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780" tabRatio="930" firstSheet="10" activeTab="21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F. prausnitzii" sheetId="25" r:id="rId5"/>
    <sheet name="Determination cell counts FP" sheetId="26" r:id="rId6"/>
    <sheet name="CalibrationB. hydrogenotrophica" sheetId="27" r:id="rId7"/>
    <sheet name="Determination cell counts BH" sheetId="28" r:id="rId8"/>
    <sheet name="Total cell count" sheetId="29" r:id="rId9"/>
    <sheet name="OD600nm" sheetId="4" r:id="rId10"/>
    <sheet name="CDM" sheetId="5" r:id="rId11"/>
    <sheet name="H2" sheetId="17" r:id="rId12"/>
    <sheet name="CO2" sheetId="7" r:id="rId13"/>
    <sheet name="Metabolites" sheetId="8" r:id="rId14"/>
    <sheet name="D-Fructose" sheetId="19" r:id="rId15"/>
    <sheet name="Formic acid" sheetId="18" r:id="rId16"/>
    <sheet name="Acetic acid" sheetId="15" r:id="rId17"/>
    <sheet name="Propionic acid" sheetId="20" r:id="rId18"/>
    <sheet name="Butyric acid" sheetId="21" r:id="rId19"/>
    <sheet name="Lactic acid" sheetId="14" r:id="rId20"/>
    <sheet name="Ethanol" sheetId="16" r:id="rId21"/>
    <sheet name="Graph" sheetId="13" r:id="rId22"/>
    <sheet name="Graph (2)" sheetId="24" r:id="rId23"/>
    <sheet name="Carbon recovery" sheetId="23" r:id="rId24"/>
  </sheets>
  <externalReferences>
    <externalReference r:id="rId25"/>
  </externalReferences>
  <definedNames>
    <definedName name="_2012_05_10_FPRAU_fruc1" localSheetId="12">'CO2'!$I$5:$I$293</definedName>
    <definedName name="_2012_06_08_BIF_REC_OLI_1" localSheetId="12">'CO2'!$N$5:$N$201</definedName>
    <definedName name="_2012_06_08_BIF_REC_OLI_1" localSheetId="11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8" l="1"/>
  <c r="I5" i="28"/>
  <c r="J5" i="28"/>
  <c r="H6" i="28"/>
  <c r="I6" i="28"/>
  <c r="J6" i="28"/>
  <c r="H7" i="28"/>
  <c r="I7" i="28"/>
  <c r="J7" i="28"/>
  <c r="H8" i="28"/>
  <c r="I8" i="28"/>
  <c r="J8" i="28"/>
  <c r="H9" i="28"/>
  <c r="I9" i="28"/>
  <c r="J9" i="28"/>
  <c r="H10" i="28"/>
  <c r="I10" i="28"/>
  <c r="J10" i="28"/>
  <c r="H11" i="28"/>
  <c r="I11" i="28"/>
  <c r="J11" i="28"/>
  <c r="H12" i="28"/>
  <c r="I12" i="28"/>
  <c r="J12" i="28"/>
  <c r="H13" i="28"/>
  <c r="I13" i="28"/>
  <c r="J13" i="28"/>
  <c r="H14" i="28"/>
  <c r="I14" i="28"/>
  <c r="J14" i="28"/>
  <c r="H15" i="28"/>
  <c r="I15" i="28"/>
  <c r="J15" i="28"/>
  <c r="H16" i="28"/>
  <c r="I16" i="28"/>
  <c r="J16" i="28"/>
  <c r="H17" i="28"/>
  <c r="I17" i="28"/>
  <c r="J17" i="28"/>
  <c r="H18" i="28"/>
  <c r="I18" i="28"/>
  <c r="J18" i="28"/>
  <c r="H19" i="28"/>
  <c r="I19" i="28"/>
  <c r="J19" i="28"/>
  <c r="H20" i="28"/>
  <c r="I20" i="28"/>
  <c r="J20" i="28"/>
  <c r="I4" i="28"/>
  <c r="J4" i="28"/>
  <c r="H4" i="28"/>
  <c r="H68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79" i="26"/>
  <c r="H75" i="26"/>
  <c r="H73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4" i="26"/>
  <c r="H5" i="26"/>
  <c r="I5" i="26"/>
  <c r="J5" i="26"/>
  <c r="H6" i="26"/>
  <c r="I6" i="26"/>
  <c r="J6" i="26"/>
  <c r="H7" i="26"/>
  <c r="I7" i="26"/>
  <c r="J7" i="26"/>
  <c r="H8" i="26"/>
  <c r="I8" i="26"/>
  <c r="J8" i="26"/>
  <c r="H9" i="26"/>
  <c r="I9" i="26"/>
  <c r="J9" i="26"/>
  <c r="H10" i="26"/>
  <c r="I10" i="26"/>
  <c r="J10" i="26"/>
  <c r="H11" i="26"/>
  <c r="I11" i="26"/>
  <c r="J11" i="26"/>
  <c r="H12" i="26"/>
  <c r="I12" i="26"/>
  <c r="J12" i="26"/>
  <c r="H13" i="26"/>
  <c r="I13" i="26"/>
  <c r="J13" i="26"/>
  <c r="H14" i="26"/>
  <c r="I14" i="26"/>
  <c r="J14" i="26"/>
  <c r="H15" i="26"/>
  <c r="I15" i="26"/>
  <c r="J15" i="26"/>
  <c r="H16" i="26"/>
  <c r="I16" i="26"/>
  <c r="J16" i="26"/>
  <c r="H17" i="26"/>
  <c r="I17" i="26"/>
  <c r="J17" i="26"/>
  <c r="H18" i="26"/>
  <c r="I18" i="26"/>
  <c r="J18" i="26"/>
  <c r="H19" i="26"/>
  <c r="I19" i="26"/>
  <c r="J19" i="26"/>
  <c r="H20" i="26"/>
  <c r="I20" i="26"/>
  <c r="J20" i="26"/>
  <c r="I4" i="26"/>
  <c r="J4" i="26"/>
  <c r="H4" i="26"/>
  <c r="B25" i="28"/>
  <c r="B24" i="28"/>
  <c r="K4" i="28"/>
  <c r="B28" i="26"/>
  <c r="B27" i="26"/>
  <c r="K4" i="26"/>
  <c r="K5" i="28"/>
  <c r="L5" i="28"/>
  <c r="M5" i="28"/>
  <c r="O5" i="28"/>
  <c r="S5" i="28"/>
  <c r="K6" i="28"/>
  <c r="L6" i="28"/>
  <c r="M6" i="28"/>
  <c r="O6" i="28"/>
  <c r="S6" i="28"/>
  <c r="K7" i="28"/>
  <c r="L7" i="28"/>
  <c r="M7" i="28"/>
  <c r="O7" i="28"/>
  <c r="S7" i="28"/>
  <c r="K8" i="28"/>
  <c r="L8" i="28"/>
  <c r="M8" i="28"/>
  <c r="O8" i="28"/>
  <c r="S8" i="28"/>
  <c r="K9" i="28"/>
  <c r="L9" i="28"/>
  <c r="M9" i="28"/>
  <c r="O9" i="28"/>
  <c r="S9" i="28"/>
  <c r="K10" i="28"/>
  <c r="L10" i="28"/>
  <c r="M10" i="28"/>
  <c r="O10" i="28"/>
  <c r="S10" i="28"/>
  <c r="K11" i="28"/>
  <c r="L11" i="28"/>
  <c r="M11" i="28"/>
  <c r="O11" i="28"/>
  <c r="S11" i="28"/>
  <c r="K12" i="28"/>
  <c r="L12" i="28"/>
  <c r="M12" i="28"/>
  <c r="O12" i="28"/>
  <c r="S12" i="28"/>
  <c r="K13" i="28"/>
  <c r="L13" i="28"/>
  <c r="M13" i="28"/>
  <c r="O13" i="28"/>
  <c r="S13" i="28"/>
  <c r="K14" i="28"/>
  <c r="L14" i="28"/>
  <c r="M14" i="28"/>
  <c r="O14" i="28"/>
  <c r="S14" i="28"/>
  <c r="K15" i="28"/>
  <c r="L15" i="28"/>
  <c r="M15" i="28"/>
  <c r="O15" i="28"/>
  <c r="S15" i="28"/>
  <c r="K16" i="28"/>
  <c r="L16" i="28"/>
  <c r="M16" i="28"/>
  <c r="O16" i="28"/>
  <c r="S16" i="28"/>
  <c r="K17" i="28"/>
  <c r="L17" i="28"/>
  <c r="M17" i="28"/>
  <c r="O17" i="28"/>
  <c r="S17" i="28"/>
  <c r="K18" i="28"/>
  <c r="L18" i="28"/>
  <c r="M18" i="28"/>
  <c r="O18" i="28"/>
  <c r="S18" i="28"/>
  <c r="K19" i="28"/>
  <c r="L19" i="28"/>
  <c r="M19" i="28"/>
  <c r="O19" i="28"/>
  <c r="S19" i="28"/>
  <c r="K20" i="28"/>
  <c r="L20" i="28"/>
  <c r="M20" i="28"/>
  <c r="O20" i="28"/>
  <c r="S20" i="28"/>
  <c r="L4" i="28"/>
  <c r="M4" i="28"/>
  <c r="O4" i="28"/>
  <c r="S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4" i="28"/>
  <c r="L4" i="26"/>
  <c r="M4" i="26"/>
  <c r="P4" i="26"/>
  <c r="K5" i="26"/>
  <c r="L5" i="26"/>
  <c r="M5" i="26"/>
  <c r="O5" i="26"/>
  <c r="S5" i="26"/>
  <c r="K6" i="26"/>
  <c r="L6" i="26"/>
  <c r="M6" i="26"/>
  <c r="O6" i="26"/>
  <c r="S6" i="26"/>
  <c r="K7" i="26"/>
  <c r="L7" i="26"/>
  <c r="M7" i="26"/>
  <c r="O7" i="26"/>
  <c r="S7" i="26"/>
  <c r="K8" i="26"/>
  <c r="L8" i="26"/>
  <c r="M8" i="26"/>
  <c r="O8" i="26"/>
  <c r="S8" i="26"/>
  <c r="K9" i="26"/>
  <c r="L9" i="26"/>
  <c r="M9" i="26"/>
  <c r="O9" i="26"/>
  <c r="S9" i="26"/>
  <c r="K10" i="26"/>
  <c r="L10" i="26"/>
  <c r="M10" i="26"/>
  <c r="O10" i="26"/>
  <c r="S10" i="26"/>
  <c r="K11" i="26"/>
  <c r="L11" i="26"/>
  <c r="M11" i="26"/>
  <c r="O11" i="26"/>
  <c r="S11" i="26"/>
  <c r="K12" i="26"/>
  <c r="L12" i="26"/>
  <c r="M12" i="26"/>
  <c r="O12" i="26"/>
  <c r="S12" i="26"/>
  <c r="K13" i="26"/>
  <c r="L13" i="26"/>
  <c r="M13" i="26"/>
  <c r="O13" i="26"/>
  <c r="S13" i="26"/>
  <c r="K14" i="26"/>
  <c r="L14" i="26"/>
  <c r="M14" i="26"/>
  <c r="O14" i="26"/>
  <c r="S14" i="26"/>
  <c r="K15" i="26"/>
  <c r="L15" i="26"/>
  <c r="M15" i="26"/>
  <c r="O15" i="26"/>
  <c r="S15" i="26"/>
  <c r="K16" i="26"/>
  <c r="L16" i="26"/>
  <c r="M16" i="26"/>
  <c r="O16" i="26"/>
  <c r="S16" i="26"/>
  <c r="K17" i="26"/>
  <c r="L17" i="26"/>
  <c r="M17" i="26"/>
  <c r="O17" i="26"/>
  <c r="S17" i="26"/>
  <c r="K18" i="26"/>
  <c r="L18" i="26"/>
  <c r="M18" i="26"/>
  <c r="O18" i="26"/>
  <c r="S18" i="26"/>
  <c r="K19" i="26"/>
  <c r="L19" i="26"/>
  <c r="M19" i="26"/>
  <c r="O19" i="26"/>
  <c r="S19" i="26"/>
  <c r="K20" i="26"/>
  <c r="L20" i="26"/>
  <c r="M20" i="26"/>
  <c r="O20" i="26"/>
  <c r="S20" i="26"/>
  <c r="O4" i="26"/>
  <c r="S4" i="26"/>
  <c r="R4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4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K21" i="29"/>
  <c r="K20" i="29"/>
  <c r="K19" i="29"/>
  <c r="K18" i="29"/>
  <c r="K17" i="29"/>
  <c r="K16" i="29"/>
  <c r="K15" i="29"/>
  <c r="K14" i="29"/>
  <c r="K13" i="29"/>
  <c r="K12" i="29"/>
  <c r="K11" i="29"/>
  <c r="K10" i="29"/>
  <c r="K9" i="29"/>
  <c r="K8" i="29"/>
  <c r="K7" i="29"/>
  <c r="K6" i="29"/>
  <c r="K5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F42" i="29"/>
  <c r="R20" i="26"/>
  <c r="E42" i="29"/>
  <c r="F41" i="29"/>
  <c r="R19" i="26"/>
  <c r="E41" i="29"/>
  <c r="F40" i="29"/>
  <c r="R18" i="26"/>
  <c r="E40" i="29"/>
  <c r="F39" i="29"/>
  <c r="R17" i="26"/>
  <c r="E39" i="29"/>
  <c r="F38" i="29"/>
  <c r="R16" i="26"/>
  <c r="E38" i="29"/>
  <c r="F37" i="29"/>
  <c r="R15" i="26"/>
  <c r="E37" i="29"/>
  <c r="F36" i="29"/>
  <c r="R14" i="26"/>
  <c r="E36" i="29"/>
  <c r="F35" i="29"/>
  <c r="R13" i="26"/>
  <c r="E35" i="29"/>
  <c r="F34" i="29"/>
  <c r="R12" i="26"/>
  <c r="E34" i="29"/>
  <c r="F33" i="29"/>
  <c r="R11" i="26"/>
  <c r="E33" i="29"/>
  <c r="F32" i="29"/>
  <c r="R10" i="26"/>
  <c r="E32" i="29"/>
  <c r="F31" i="29"/>
  <c r="R9" i="26"/>
  <c r="E31" i="29"/>
  <c r="F30" i="29"/>
  <c r="R8" i="26"/>
  <c r="E30" i="29"/>
  <c r="F29" i="29"/>
  <c r="R7" i="26"/>
  <c r="E29" i="29"/>
  <c r="F28" i="29"/>
  <c r="R6" i="26"/>
  <c r="E28" i="29"/>
  <c r="F27" i="29"/>
  <c r="R5" i="26"/>
  <c r="E27" i="29"/>
  <c r="F26" i="29"/>
  <c r="E26" i="29"/>
  <c r="M21" i="29"/>
  <c r="Q21" i="29"/>
  <c r="R20" i="28"/>
  <c r="L21" i="29"/>
  <c r="O21" i="29"/>
  <c r="P21" i="29"/>
  <c r="M20" i="29"/>
  <c r="Q20" i="29"/>
  <c r="R19" i="28"/>
  <c r="L20" i="29"/>
  <c r="O20" i="29"/>
  <c r="P20" i="29"/>
  <c r="M19" i="29"/>
  <c r="Q19" i="29"/>
  <c r="R18" i="28"/>
  <c r="L19" i="29"/>
  <c r="O19" i="29"/>
  <c r="P19" i="29"/>
  <c r="M18" i="29"/>
  <c r="Q18" i="29"/>
  <c r="R17" i="28"/>
  <c r="L18" i="29"/>
  <c r="O18" i="29"/>
  <c r="P18" i="29"/>
  <c r="M17" i="29"/>
  <c r="Q17" i="29"/>
  <c r="R16" i="28"/>
  <c r="L17" i="29"/>
  <c r="O17" i="29"/>
  <c r="P17" i="29"/>
  <c r="M16" i="29"/>
  <c r="Q16" i="29"/>
  <c r="R15" i="28"/>
  <c r="L16" i="29"/>
  <c r="O16" i="29"/>
  <c r="P16" i="29"/>
  <c r="M15" i="29"/>
  <c r="Q15" i="29"/>
  <c r="R14" i="28"/>
  <c r="L15" i="29"/>
  <c r="O15" i="29"/>
  <c r="P15" i="29"/>
  <c r="M14" i="29"/>
  <c r="Q14" i="29"/>
  <c r="R13" i="28"/>
  <c r="L14" i="29"/>
  <c r="O14" i="29"/>
  <c r="P14" i="29"/>
  <c r="M13" i="29"/>
  <c r="Q13" i="29"/>
  <c r="R12" i="28"/>
  <c r="L13" i="29"/>
  <c r="O13" i="29"/>
  <c r="P13" i="29"/>
  <c r="M12" i="29"/>
  <c r="Q12" i="29"/>
  <c r="R11" i="28"/>
  <c r="L12" i="29"/>
  <c r="O12" i="29"/>
  <c r="P12" i="29"/>
  <c r="M11" i="29"/>
  <c r="Q11" i="29"/>
  <c r="R10" i="28"/>
  <c r="L11" i="29"/>
  <c r="O11" i="29"/>
  <c r="P11" i="29"/>
  <c r="M10" i="29"/>
  <c r="Q10" i="29"/>
  <c r="R9" i="28"/>
  <c r="L10" i="29"/>
  <c r="O10" i="29"/>
  <c r="P10" i="29"/>
  <c r="M9" i="29"/>
  <c r="Q9" i="29"/>
  <c r="R8" i="28"/>
  <c r="L9" i="29"/>
  <c r="O9" i="29"/>
  <c r="P9" i="29"/>
  <c r="M8" i="29"/>
  <c r="Q8" i="29"/>
  <c r="R7" i="28"/>
  <c r="L8" i="29"/>
  <c r="O8" i="29"/>
  <c r="P8" i="29"/>
  <c r="M7" i="29"/>
  <c r="Q7" i="29"/>
  <c r="R6" i="28"/>
  <c r="L7" i="29"/>
  <c r="O7" i="29"/>
  <c r="P7" i="29"/>
  <c r="M6" i="29"/>
  <c r="Q6" i="29"/>
  <c r="R5" i="28"/>
  <c r="L6" i="29"/>
  <c r="O6" i="29"/>
  <c r="P6" i="29"/>
  <c r="M5" i="29"/>
  <c r="Q5" i="29"/>
  <c r="R4" i="28"/>
  <c r="L5" i="29"/>
  <c r="O5" i="29"/>
  <c r="P5" i="29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G48" i="27"/>
  <c r="D48" i="27"/>
  <c r="F40" i="27"/>
  <c r="G38" i="27"/>
  <c r="H38" i="27"/>
  <c r="I38" i="27"/>
  <c r="J38" i="27"/>
  <c r="K38" i="27"/>
  <c r="L38" i="27"/>
  <c r="F38" i="27"/>
  <c r="G37" i="27"/>
  <c r="H37" i="27"/>
  <c r="I37" i="27"/>
  <c r="J37" i="27"/>
  <c r="K37" i="27"/>
  <c r="L37" i="27"/>
  <c r="F37" i="27"/>
  <c r="G36" i="27"/>
  <c r="H36" i="27"/>
  <c r="I36" i="27"/>
  <c r="J36" i="27"/>
  <c r="K36" i="27"/>
  <c r="L36" i="27"/>
  <c r="F36" i="27"/>
  <c r="G35" i="27"/>
  <c r="H35" i="27"/>
  <c r="I35" i="27"/>
  <c r="J35" i="27"/>
  <c r="K35" i="27"/>
  <c r="L35" i="27"/>
  <c r="F35" i="27"/>
  <c r="G34" i="27"/>
  <c r="H34" i="27"/>
  <c r="I34" i="27"/>
  <c r="J34" i="27"/>
  <c r="K34" i="27"/>
  <c r="L34" i="27"/>
  <c r="F34" i="27"/>
  <c r="G33" i="27"/>
  <c r="H33" i="27"/>
  <c r="I33" i="27"/>
  <c r="J33" i="27"/>
  <c r="K33" i="27"/>
  <c r="L33" i="27"/>
  <c r="F33" i="27"/>
  <c r="G32" i="27"/>
  <c r="H32" i="27"/>
  <c r="I32" i="27"/>
  <c r="J32" i="27"/>
  <c r="K32" i="27"/>
  <c r="L32" i="27"/>
  <c r="F32" i="27"/>
  <c r="G31" i="27"/>
  <c r="H31" i="27"/>
  <c r="I31" i="27"/>
  <c r="J31" i="27"/>
  <c r="K31" i="27"/>
  <c r="L31" i="27"/>
  <c r="F31" i="27"/>
  <c r="G30" i="27"/>
  <c r="H30" i="27"/>
  <c r="I30" i="27"/>
  <c r="J30" i="27"/>
  <c r="K30" i="27"/>
  <c r="L30" i="27"/>
  <c r="F30" i="27"/>
  <c r="G29" i="27"/>
  <c r="H29" i="27"/>
  <c r="I29" i="27"/>
  <c r="J29" i="27"/>
  <c r="K29" i="27"/>
  <c r="L29" i="27"/>
  <c r="F29" i="27"/>
  <c r="G28" i="27"/>
  <c r="H28" i="27"/>
  <c r="I28" i="27"/>
  <c r="J28" i="27"/>
  <c r="K28" i="27"/>
  <c r="L28" i="27"/>
  <c r="F28" i="27"/>
  <c r="G27" i="27"/>
  <c r="H27" i="27"/>
  <c r="I27" i="27"/>
  <c r="J27" i="27"/>
  <c r="K27" i="27"/>
  <c r="L27" i="27"/>
  <c r="F27" i="27"/>
  <c r="G26" i="27"/>
  <c r="H26" i="27"/>
  <c r="I26" i="27"/>
  <c r="J26" i="27"/>
  <c r="K26" i="27"/>
  <c r="L26" i="27"/>
  <c r="F26" i="27"/>
  <c r="G25" i="27"/>
  <c r="H25" i="27"/>
  <c r="I25" i="27"/>
  <c r="J25" i="27"/>
  <c r="K25" i="27"/>
  <c r="L25" i="27"/>
  <c r="F25" i="27"/>
  <c r="G24" i="27"/>
  <c r="H24" i="27"/>
  <c r="I24" i="27"/>
  <c r="J24" i="27"/>
  <c r="K24" i="27"/>
  <c r="L24" i="27"/>
  <c r="F24" i="27"/>
  <c r="G23" i="27"/>
  <c r="H23" i="27"/>
  <c r="I23" i="27"/>
  <c r="J23" i="27"/>
  <c r="K23" i="27"/>
  <c r="L23" i="27"/>
  <c r="F23" i="27"/>
  <c r="O19" i="27"/>
  <c r="K19" i="27"/>
  <c r="G19" i="27"/>
  <c r="P19" i="27"/>
  <c r="R19" i="27"/>
  <c r="Q19" i="27"/>
  <c r="O18" i="27"/>
  <c r="K18" i="27"/>
  <c r="G18" i="27"/>
  <c r="P18" i="27"/>
  <c r="R18" i="27"/>
  <c r="Q18" i="27"/>
  <c r="O17" i="27"/>
  <c r="K17" i="27"/>
  <c r="G17" i="27"/>
  <c r="P17" i="27"/>
  <c r="R17" i="27"/>
  <c r="Q17" i="27"/>
  <c r="O16" i="27"/>
  <c r="K16" i="27"/>
  <c r="G16" i="27"/>
  <c r="P16" i="27"/>
  <c r="R16" i="27"/>
  <c r="Q16" i="27"/>
  <c r="O15" i="27"/>
  <c r="K15" i="27"/>
  <c r="G15" i="27"/>
  <c r="P15" i="27"/>
  <c r="R15" i="27"/>
  <c r="Q15" i="27"/>
  <c r="O14" i="27"/>
  <c r="K14" i="27"/>
  <c r="G14" i="27"/>
  <c r="P14" i="27"/>
  <c r="R14" i="27"/>
  <c r="Q14" i="27"/>
  <c r="O13" i="27"/>
  <c r="K13" i="27"/>
  <c r="G13" i="27"/>
  <c r="P13" i="27"/>
  <c r="R13" i="27"/>
  <c r="Q13" i="27"/>
  <c r="O12" i="27"/>
  <c r="K12" i="27"/>
  <c r="G12" i="27"/>
  <c r="P12" i="27"/>
  <c r="R12" i="27"/>
  <c r="Q12" i="27"/>
  <c r="O11" i="27"/>
  <c r="K11" i="27"/>
  <c r="G11" i="27"/>
  <c r="P11" i="27"/>
  <c r="R11" i="27"/>
  <c r="Q11" i="27"/>
  <c r="O10" i="27"/>
  <c r="K10" i="27"/>
  <c r="G10" i="27"/>
  <c r="P10" i="27"/>
  <c r="R10" i="27"/>
  <c r="Q10" i="27"/>
  <c r="O9" i="27"/>
  <c r="K9" i="27"/>
  <c r="G9" i="27"/>
  <c r="P9" i="27"/>
  <c r="R9" i="27"/>
  <c r="Q9" i="27"/>
  <c r="O8" i="27"/>
  <c r="K8" i="27"/>
  <c r="G8" i="27"/>
  <c r="P8" i="27"/>
  <c r="R8" i="27"/>
  <c r="Q8" i="27"/>
  <c r="O7" i="27"/>
  <c r="K7" i="27"/>
  <c r="G7" i="27"/>
  <c r="P7" i="27"/>
  <c r="R7" i="27"/>
  <c r="Q7" i="27"/>
  <c r="O6" i="27"/>
  <c r="K6" i="27"/>
  <c r="G6" i="27"/>
  <c r="P6" i="27"/>
  <c r="R6" i="27"/>
  <c r="Q6" i="27"/>
  <c r="O5" i="27"/>
  <c r="K5" i="27"/>
  <c r="G5" i="27"/>
  <c r="P5" i="27"/>
  <c r="R5" i="27"/>
  <c r="Q5" i="27"/>
  <c r="O4" i="27"/>
  <c r="K4" i="27"/>
  <c r="G4" i="27"/>
  <c r="P4" i="27"/>
  <c r="R4" i="27"/>
  <c r="Q4" i="27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N7" i="26"/>
  <c r="N6" i="26"/>
  <c r="N5" i="26"/>
  <c r="N4" i="26"/>
  <c r="F48" i="25"/>
  <c r="D48" i="25"/>
  <c r="F40" i="25"/>
  <c r="I38" i="25"/>
  <c r="J38" i="25"/>
  <c r="K38" i="25"/>
  <c r="L38" i="25"/>
  <c r="F38" i="25"/>
  <c r="G37" i="25"/>
  <c r="H37" i="25"/>
  <c r="I37" i="25"/>
  <c r="J37" i="25"/>
  <c r="K37" i="25"/>
  <c r="L37" i="25"/>
  <c r="F37" i="25"/>
  <c r="G36" i="25"/>
  <c r="H36" i="25"/>
  <c r="I36" i="25"/>
  <c r="J36" i="25"/>
  <c r="K36" i="25"/>
  <c r="L36" i="25"/>
  <c r="F36" i="25"/>
  <c r="G35" i="25"/>
  <c r="H35" i="25"/>
  <c r="I35" i="25"/>
  <c r="J35" i="25"/>
  <c r="K35" i="25"/>
  <c r="L35" i="25"/>
  <c r="F35" i="25"/>
  <c r="G34" i="25"/>
  <c r="H34" i="25"/>
  <c r="I34" i="25"/>
  <c r="J34" i="25"/>
  <c r="K34" i="25"/>
  <c r="L34" i="25"/>
  <c r="F34" i="25"/>
  <c r="G33" i="25"/>
  <c r="H33" i="25"/>
  <c r="I33" i="25"/>
  <c r="J33" i="25"/>
  <c r="K33" i="25"/>
  <c r="L33" i="25"/>
  <c r="F33" i="25"/>
  <c r="G32" i="25"/>
  <c r="H32" i="25"/>
  <c r="I32" i="25"/>
  <c r="J32" i="25"/>
  <c r="K32" i="25"/>
  <c r="L32" i="25"/>
  <c r="F32" i="25"/>
  <c r="G31" i="25"/>
  <c r="H31" i="25"/>
  <c r="I31" i="25"/>
  <c r="J31" i="25"/>
  <c r="K31" i="25"/>
  <c r="L31" i="25"/>
  <c r="F31" i="25"/>
  <c r="G30" i="25"/>
  <c r="H30" i="25"/>
  <c r="I30" i="25"/>
  <c r="J30" i="25"/>
  <c r="K30" i="25"/>
  <c r="L30" i="25"/>
  <c r="F30" i="25"/>
  <c r="G29" i="25"/>
  <c r="H29" i="25"/>
  <c r="I29" i="25"/>
  <c r="J29" i="25"/>
  <c r="K29" i="25"/>
  <c r="L29" i="25"/>
  <c r="F29" i="25"/>
  <c r="G28" i="25"/>
  <c r="H28" i="25"/>
  <c r="I28" i="25"/>
  <c r="J28" i="25"/>
  <c r="K28" i="25"/>
  <c r="L28" i="25"/>
  <c r="F28" i="25"/>
  <c r="G27" i="25"/>
  <c r="H27" i="25"/>
  <c r="I27" i="25"/>
  <c r="J27" i="25"/>
  <c r="K27" i="25"/>
  <c r="L27" i="25"/>
  <c r="F27" i="25"/>
  <c r="G26" i="25"/>
  <c r="H26" i="25"/>
  <c r="I26" i="25"/>
  <c r="J26" i="25"/>
  <c r="K26" i="25"/>
  <c r="L26" i="25"/>
  <c r="F26" i="25"/>
  <c r="G25" i="25"/>
  <c r="H25" i="25"/>
  <c r="I25" i="25"/>
  <c r="J25" i="25"/>
  <c r="K25" i="25"/>
  <c r="L25" i="25"/>
  <c r="F25" i="25"/>
  <c r="G24" i="25"/>
  <c r="H24" i="25"/>
  <c r="I24" i="25"/>
  <c r="J24" i="25"/>
  <c r="K24" i="25"/>
  <c r="L24" i="25"/>
  <c r="F24" i="25"/>
  <c r="G23" i="25"/>
  <c r="H23" i="25"/>
  <c r="I23" i="25"/>
  <c r="J23" i="25"/>
  <c r="K23" i="25"/>
  <c r="L23" i="25"/>
  <c r="F23" i="25"/>
  <c r="O19" i="25"/>
  <c r="K19" i="25"/>
  <c r="G19" i="25"/>
  <c r="P19" i="25"/>
  <c r="R19" i="25"/>
  <c r="Q19" i="25"/>
  <c r="O18" i="25"/>
  <c r="K18" i="25"/>
  <c r="G18" i="25"/>
  <c r="P18" i="25"/>
  <c r="R18" i="25"/>
  <c r="Q18" i="25"/>
  <c r="O17" i="25"/>
  <c r="K17" i="25"/>
  <c r="G17" i="25"/>
  <c r="P17" i="25"/>
  <c r="R17" i="25"/>
  <c r="Q17" i="25"/>
  <c r="O16" i="25"/>
  <c r="K16" i="25"/>
  <c r="G16" i="25"/>
  <c r="P16" i="25"/>
  <c r="R16" i="25"/>
  <c r="Q16" i="25"/>
  <c r="O15" i="25"/>
  <c r="K15" i="25"/>
  <c r="G15" i="25"/>
  <c r="P15" i="25"/>
  <c r="R15" i="25"/>
  <c r="Q15" i="25"/>
  <c r="O14" i="25"/>
  <c r="K14" i="25"/>
  <c r="G14" i="25"/>
  <c r="P14" i="25"/>
  <c r="R14" i="25"/>
  <c r="Q14" i="25"/>
  <c r="O13" i="25"/>
  <c r="K13" i="25"/>
  <c r="G13" i="25"/>
  <c r="P13" i="25"/>
  <c r="R13" i="25"/>
  <c r="Q13" i="25"/>
  <c r="O12" i="25"/>
  <c r="K12" i="25"/>
  <c r="G12" i="25"/>
  <c r="P12" i="25"/>
  <c r="R12" i="25"/>
  <c r="Q12" i="25"/>
  <c r="O11" i="25"/>
  <c r="K11" i="25"/>
  <c r="G11" i="25"/>
  <c r="P11" i="25"/>
  <c r="R11" i="25"/>
  <c r="Q11" i="25"/>
  <c r="O10" i="25"/>
  <c r="K10" i="25"/>
  <c r="G10" i="25"/>
  <c r="P10" i="25"/>
  <c r="R10" i="25"/>
  <c r="Q10" i="25"/>
  <c r="O9" i="25"/>
  <c r="K9" i="25"/>
  <c r="G9" i="25"/>
  <c r="P9" i="25"/>
  <c r="R9" i="25"/>
  <c r="Q9" i="25"/>
  <c r="L8" i="25"/>
  <c r="O8" i="25"/>
  <c r="H8" i="25"/>
  <c r="K8" i="25"/>
  <c r="D8" i="25"/>
  <c r="G8" i="25"/>
  <c r="P8" i="25"/>
  <c r="R8" i="25"/>
  <c r="Q8" i="25"/>
  <c r="L7" i="25"/>
  <c r="O7" i="25"/>
  <c r="H7" i="25"/>
  <c r="K7" i="25"/>
  <c r="D7" i="25"/>
  <c r="G7" i="25"/>
  <c r="P7" i="25"/>
  <c r="R7" i="25"/>
  <c r="Q7" i="25"/>
  <c r="O6" i="25"/>
  <c r="K6" i="25"/>
  <c r="G6" i="25"/>
  <c r="P6" i="25"/>
  <c r="R6" i="25"/>
  <c r="Q6" i="25"/>
  <c r="O5" i="25"/>
  <c r="K5" i="25"/>
  <c r="G5" i="25"/>
  <c r="P5" i="25"/>
  <c r="R5" i="25"/>
  <c r="Q5" i="25"/>
  <c r="O4" i="25"/>
  <c r="K4" i="25"/>
  <c r="G4" i="25"/>
  <c r="P4" i="25"/>
  <c r="R4" i="25"/>
  <c r="Q4" i="25"/>
  <c r="B12" i="23"/>
  <c r="B4" i="23"/>
  <c r="B3" i="23"/>
  <c r="B8" i="23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C13" i="7"/>
  <c r="D13" i="7"/>
  <c r="E13" i="7"/>
  <c r="F13" i="7"/>
  <c r="G13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C45" i="7"/>
  <c r="D45" i="7"/>
  <c r="E45" i="7"/>
  <c r="F45" i="7"/>
  <c r="G45" i="7"/>
  <c r="C46" i="7"/>
  <c r="D46" i="7"/>
  <c r="E46" i="7"/>
  <c r="F46" i="7"/>
  <c r="G46" i="7"/>
  <c r="C47" i="7"/>
  <c r="D47" i="7"/>
  <c r="E47" i="7"/>
  <c r="F47" i="7"/>
  <c r="G47" i="7"/>
  <c r="C48" i="7"/>
  <c r="D48" i="7"/>
  <c r="E48" i="7"/>
  <c r="F48" i="7"/>
  <c r="G48" i="7"/>
  <c r="C49" i="7"/>
  <c r="D49" i="7"/>
  <c r="E49" i="7"/>
  <c r="F49" i="7"/>
  <c r="G49" i="7"/>
  <c r="C50" i="7"/>
  <c r="D50" i="7"/>
  <c r="E50" i="7"/>
  <c r="F50" i="7"/>
  <c r="G50" i="7"/>
  <c r="C51" i="7"/>
  <c r="D51" i="7"/>
  <c r="E51" i="7"/>
  <c r="F51" i="7"/>
  <c r="G51" i="7"/>
  <c r="C52" i="7"/>
  <c r="D52" i="7"/>
  <c r="E52" i="7"/>
  <c r="F52" i="7"/>
  <c r="G52" i="7"/>
  <c r="C53" i="7"/>
  <c r="D53" i="7"/>
  <c r="E53" i="7"/>
  <c r="F53" i="7"/>
  <c r="G53" i="7"/>
  <c r="C54" i="7"/>
  <c r="D54" i="7"/>
  <c r="E54" i="7"/>
  <c r="F54" i="7"/>
  <c r="G54" i="7"/>
  <c r="C55" i="7"/>
  <c r="D55" i="7"/>
  <c r="E55" i="7"/>
  <c r="F55" i="7"/>
  <c r="G55" i="7"/>
  <c r="C56" i="7"/>
  <c r="D56" i="7"/>
  <c r="E56" i="7"/>
  <c r="F56" i="7"/>
  <c r="G56" i="7"/>
  <c r="C57" i="7"/>
  <c r="D57" i="7"/>
  <c r="E57" i="7"/>
  <c r="F57" i="7"/>
  <c r="G57" i="7"/>
  <c r="C58" i="7"/>
  <c r="D58" i="7"/>
  <c r="E58" i="7"/>
  <c r="F58" i="7"/>
  <c r="G58" i="7"/>
  <c r="C59" i="7"/>
  <c r="D59" i="7"/>
  <c r="E59" i="7"/>
  <c r="F59" i="7"/>
  <c r="G59" i="7"/>
  <c r="C60" i="7"/>
  <c r="D60" i="7"/>
  <c r="E60" i="7"/>
  <c r="F60" i="7"/>
  <c r="G60" i="7"/>
  <c r="C61" i="7"/>
  <c r="D61" i="7"/>
  <c r="E61" i="7"/>
  <c r="F61" i="7"/>
  <c r="G61" i="7"/>
  <c r="C62" i="7"/>
  <c r="D62" i="7"/>
  <c r="E62" i="7"/>
  <c r="F62" i="7"/>
  <c r="G62" i="7"/>
  <c r="C63" i="7"/>
  <c r="D63" i="7"/>
  <c r="E63" i="7"/>
  <c r="F63" i="7"/>
  <c r="G63" i="7"/>
  <c r="C64" i="7"/>
  <c r="D64" i="7"/>
  <c r="E64" i="7"/>
  <c r="F64" i="7"/>
  <c r="G64" i="7"/>
  <c r="C65" i="7"/>
  <c r="D65" i="7"/>
  <c r="E65" i="7"/>
  <c r="F65" i="7"/>
  <c r="G65" i="7"/>
  <c r="C66" i="7"/>
  <c r="D66" i="7"/>
  <c r="E66" i="7"/>
  <c r="F66" i="7"/>
  <c r="G66" i="7"/>
  <c r="C67" i="7"/>
  <c r="D67" i="7"/>
  <c r="E67" i="7"/>
  <c r="F67" i="7"/>
  <c r="G67" i="7"/>
  <c r="C68" i="7"/>
  <c r="D68" i="7"/>
  <c r="E68" i="7"/>
  <c r="F68" i="7"/>
  <c r="G68" i="7"/>
  <c r="C69" i="7"/>
  <c r="D69" i="7"/>
  <c r="E69" i="7"/>
  <c r="F69" i="7"/>
  <c r="G69" i="7"/>
  <c r="C70" i="7"/>
  <c r="D70" i="7"/>
  <c r="E70" i="7"/>
  <c r="F70" i="7"/>
  <c r="G70" i="7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C78" i="7"/>
  <c r="D78" i="7"/>
  <c r="E78" i="7"/>
  <c r="F78" i="7"/>
  <c r="G78" i="7"/>
  <c r="C79" i="7"/>
  <c r="D79" i="7"/>
  <c r="E79" i="7"/>
  <c r="F79" i="7"/>
  <c r="G79" i="7"/>
  <c r="C80" i="7"/>
  <c r="D80" i="7"/>
  <c r="E80" i="7"/>
  <c r="F80" i="7"/>
  <c r="G80" i="7"/>
  <c r="C81" i="7"/>
  <c r="D81" i="7"/>
  <c r="E81" i="7"/>
  <c r="F81" i="7"/>
  <c r="G81" i="7"/>
  <c r="C82" i="7"/>
  <c r="D82" i="7"/>
  <c r="E82" i="7"/>
  <c r="F82" i="7"/>
  <c r="G82" i="7"/>
  <c r="C83" i="7"/>
  <c r="D83" i="7"/>
  <c r="E83" i="7"/>
  <c r="F83" i="7"/>
  <c r="G83" i="7"/>
  <c r="C84" i="7"/>
  <c r="D84" i="7"/>
  <c r="E84" i="7"/>
  <c r="F84" i="7"/>
  <c r="G84" i="7"/>
  <c r="C85" i="7"/>
  <c r="D85" i="7"/>
  <c r="E85" i="7"/>
  <c r="F85" i="7"/>
  <c r="G85" i="7"/>
  <c r="C86" i="7"/>
  <c r="D86" i="7"/>
  <c r="E86" i="7"/>
  <c r="F86" i="7"/>
  <c r="G86" i="7"/>
  <c r="C87" i="7"/>
  <c r="D87" i="7"/>
  <c r="E87" i="7"/>
  <c r="F87" i="7"/>
  <c r="G87" i="7"/>
  <c r="C88" i="7"/>
  <c r="D88" i="7"/>
  <c r="E88" i="7"/>
  <c r="F88" i="7"/>
  <c r="G88" i="7"/>
  <c r="C89" i="7"/>
  <c r="D89" i="7"/>
  <c r="E89" i="7"/>
  <c r="F89" i="7"/>
  <c r="G89" i="7"/>
  <c r="C90" i="7"/>
  <c r="D90" i="7"/>
  <c r="E90" i="7"/>
  <c r="F90" i="7"/>
  <c r="G90" i="7"/>
  <c r="C91" i="7"/>
  <c r="D91" i="7"/>
  <c r="E91" i="7"/>
  <c r="F91" i="7"/>
  <c r="G91" i="7"/>
  <c r="C92" i="7"/>
  <c r="D92" i="7"/>
  <c r="E92" i="7"/>
  <c r="F92" i="7"/>
  <c r="G92" i="7"/>
  <c r="C93" i="7"/>
  <c r="D93" i="7"/>
  <c r="E93" i="7"/>
  <c r="F93" i="7"/>
  <c r="G93" i="7"/>
  <c r="C94" i="7"/>
  <c r="D94" i="7"/>
  <c r="E94" i="7"/>
  <c r="F94" i="7"/>
  <c r="G94" i="7"/>
  <c r="C95" i="7"/>
  <c r="D95" i="7"/>
  <c r="E95" i="7"/>
  <c r="F95" i="7"/>
  <c r="G95" i="7"/>
  <c r="C96" i="7"/>
  <c r="D96" i="7"/>
  <c r="E96" i="7"/>
  <c r="F96" i="7"/>
  <c r="G96" i="7"/>
  <c r="C97" i="7"/>
  <c r="D97" i="7"/>
  <c r="E97" i="7"/>
  <c r="F97" i="7"/>
  <c r="G97" i="7"/>
  <c r="C98" i="7"/>
  <c r="D98" i="7"/>
  <c r="E98" i="7"/>
  <c r="F98" i="7"/>
  <c r="G98" i="7"/>
  <c r="C99" i="7"/>
  <c r="D99" i="7"/>
  <c r="E99" i="7"/>
  <c r="F99" i="7"/>
  <c r="G99" i="7"/>
  <c r="C100" i="7"/>
  <c r="D100" i="7"/>
  <c r="E100" i="7"/>
  <c r="F100" i="7"/>
  <c r="G100" i="7"/>
  <c r="C101" i="7"/>
  <c r="D101" i="7"/>
  <c r="E101" i="7"/>
  <c r="F101" i="7"/>
  <c r="G101" i="7"/>
  <c r="F101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66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53" i="17"/>
  <c r="F42" i="17"/>
  <c r="F43" i="17"/>
  <c r="F44" i="17"/>
  <c r="F45" i="17"/>
  <c r="F46" i="17"/>
  <c r="F47" i="17"/>
  <c r="F48" i="17"/>
  <c r="F49" i="17"/>
  <c r="F50" i="17"/>
  <c r="F51" i="17"/>
  <c r="F52" i="17"/>
  <c r="F41" i="17"/>
  <c r="F40" i="17"/>
  <c r="F39" i="17"/>
  <c r="F37" i="17"/>
  <c r="F38" i="17"/>
  <c r="F36" i="17"/>
  <c r="F34" i="17"/>
  <c r="F35" i="17"/>
  <c r="F33" i="17"/>
  <c r="F32" i="17"/>
  <c r="F31" i="17"/>
  <c r="F29" i="17"/>
  <c r="F30" i="17"/>
  <c r="F28" i="17"/>
  <c r="F26" i="17"/>
  <c r="F27" i="17"/>
  <c r="F25" i="17"/>
  <c r="F24" i="17"/>
  <c r="F23" i="17"/>
  <c r="F21" i="17"/>
  <c r="F22" i="17"/>
  <c r="F20" i="17"/>
  <c r="F18" i="17"/>
  <c r="F19" i="17"/>
  <c r="F17" i="17"/>
  <c r="F16" i="17"/>
  <c r="F15" i="17"/>
  <c r="F13" i="17"/>
  <c r="F14" i="17"/>
  <c r="F12" i="17"/>
  <c r="F10" i="17"/>
  <c r="F11" i="17"/>
  <c r="F9" i="17"/>
  <c r="F6" i="17"/>
  <c r="F7" i="17"/>
  <c r="J7" i="2"/>
  <c r="J6" i="2"/>
  <c r="J5" i="2"/>
  <c r="J4" i="2"/>
  <c r="K4" i="2"/>
  <c r="K5" i="2"/>
  <c r="F2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4" i="2"/>
  <c r="F3" i="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4" i="22"/>
  <c r="H5" i="22"/>
  <c r="U5" i="22"/>
  <c r="L5" i="22"/>
  <c r="V5" i="22"/>
  <c r="P5" i="22"/>
  <c r="H6" i="22"/>
  <c r="U6" i="22"/>
  <c r="L6" i="22"/>
  <c r="V6" i="22"/>
  <c r="P6" i="22"/>
  <c r="H7" i="22"/>
  <c r="U7" i="22"/>
  <c r="L7" i="22"/>
  <c r="V7" i="22"/>
  <c r="P7" i="22"/>
  <c r="H8" i="22"/>
  <c r="U8" i="22"/>
  <c r="L8" i="22"/>
  <c r="V8" i="22"/>
  <c r="P8" i="22"/>
  <c r="H9" i="22"/>
  <c r="U9" i="22"/>
  <c r="L9" i="22"/>
  <c r="V9" i="22"/>
  <c r="P9" i="22"/>
  <c r="H10" i="22"/>
  <c r="U10" i="22"/>
  <c r="L10" i="22"/>
  <c r="V10" i="22"/>
  <c r="P10" i="22"/>
  <c r="H11" i="22"/>
  <c r="U11" i="22"/>
  <c r="L11" i="22"/>
  <c r="V11" i="22"/>
  <c r="P11" i="22"/>
  <c r="H12" i="22"/>
  <c r="U12" i="22"/>
  <c r="L12" i="22"/>
  <c r="V12" i="22"/>
  <c r="P12" i="22"/>
  <c r="H13" i="22"/>
  <c r="U13" i="22"/>
  <c r="L13" i="22"/>
  <c r="V13" i="22"/>
  <c r="P13" i="22"/>
  <c r="H14" i="22"/>
  <c r="U14" i="22"/>
  <c r="L14" i="22"/>
  <c r="V14" i="22"/>
  <c r="P14" i="22"/>
  <c r="H15" i="22"/>
  <c r="U15" i="22"/>
  <c r="L15" i="22"/>
  <c r="V15" i="22"/>
  <c r="P15" i="22"/>
  <c r="H16" i="22"/>
  <c r="U16" i="22"/>
  <c r="L16" i="22"/>
  <c r="V16" i="22"/>
  <c r="P16" i="22"/>
  <c r="H17" i="22"/>
  <c r="U17" i="22"/>
  <c r="L17" i="22"/>
  <c r="V17" i="22"/>
  <c r="P17" i="22"/>
  <c r="H18" i="22"/>
  <c r="U18" i="22"/>
  <c r="L18" i="22"/>
  <c r="V18" i="22"/>
  <c r="P18" i="22"/>
  <c r="H19" i="22"/>
  <c r="U19" i="22"/>
  <c r="L19" i="22"/>
  <c r="V19" i="22"/>
  <c r="P19" i="22"/>
  <c r="H20" i="22"/>
  <c r="U20" i="22"/>
  <c r="L20" i="22"/>
  <c r="V20" i="22"/>
  <c r="P20" i="22"/>
  <c r="H4" i="22"/>
  <c r="U4" i="22"/>
  <c r="L4" i="22"/>
  <c r="V4" i="22"/>
  <c r="P4" i="22"/>
  <c r="B10" i="23"/>
  <c r="B9" i="23"/>
  <c r="I3" i="2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9" i="2"/>
  <c r="C4" i="2"/>
  <c r="C5" i="2"/>
  <c r="C6" i="2"/>
  <c r="C7" i="2"/>
  <c r="C8" i="2"/>
  <c r="C9" i="2"/>
  <c r="C10" i="2"/>
  <c r="C11" i="2"/>
  <c r="C12" i="2"/>
  <c r="C13" i="2"/>
  <c r="D13" i="2"/>
  <c r="I24" i="8"/>
  <c r="G24" i="16"/>
  <c r="H24" i="16"/>
  <c r="G24" i="14"/>
  <c r="H24" i="14"/>
  <c r="G24" i="21"/>
  <c r="H24" i="21"/>
  <c r="G24" i="20"/>
  <c r="H24" i="20"/>
  <c r="G24" i="15"/>
  <c r="H24" i="15"/>
  <c r="G24" i="18"/>
  <c r="H24" i="18"/>
  <c r="G24" i="19"/>
  <c r="H24" i="19"/>
  <c r="C14" i="2"/>
  <c r="C15" i="2"/>
  <c r="C16" i="2"/>
  <c r="C17" i="2"/>
  <c r="C18" i="2"/>
  <c r="C19" i="2"/>
  <c r="C20" i="2"/>
  <c r="D20" i="2"/>
  <c r="C3" i="2"/>
  <c r="I20" i="4"/>
  <c r="J20" i="4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7" i="18"/>
  <c r="H7" i="18"/>
  <c r="G8" i="18"/>
  <c r="H8" i="18"/>
  <c r="G9" i="18"/>
  <c r="H9" i="18"/>
  <c r="C5" i="17"/>
  <c r="D5" i="17"/>
  <c r="E5" i="17"/>
  <c r="C6" i="17"/>
  <c r="D6" i="17"/>
  <c r="E6" i="17"/>
  <c r="C7" i="17"/>
  <c r="D7" i="17"/>
  <c r="E7" i="17"/>
  <c r="C8" i="17"/>
  <c r="D8" i="17"/>
  <c r="E8" i="17"/>
  <c r="C9" i="17"/>
  <c r="D9" i="17"/>
  <c r="E9" i="17"/>
  <c r="C10" i="17"/>
  <c r="D10" i="17"/>
  <c r="E10" i="17"/>
  <c r="C11" i="17"/>
  <c r="D11" i="17"/>
  <c r="E11" i="17"/>
  <c r="C12" i="17"/>
  <c r="D12" i="17"/>
  <c r="E12" i="17"/>
  <c r="C13" i="17"/>
  <c r="D13" i="17"/>
  <c r="E13" i="17"/>
  <c r="C14" i="17"/>
  <c r="D14" i="17"/>
  <c r="E14" i="17"/>
  <c r="C15" i="17"/>
  <c r="D15" i="17"/>
  <c r="E15" i="17"/>
  <c r="C16" i="17"/>
  <c r="D16" i="17"/>
  <c r="E16" i="17"/>
  <c r="C17" i="17"/>
  <c r="D17" i="17"/>
  <c r="E17" i="17"/>
  <c r="C18" i="17"/>
  <c r="D18" i="17"/>
  <c r="E18" i="17"/>
  <c r="C19" i="17"/>
  <c r="D19" i="17"/>
  <c r="E19" i="17"/>
  <c r="C20" i="17"/>
  <c r="D20" i="17"/>
  <c r="E20" i="17"/>
  <c r="C21" i="17"/>
  <c r="D21" i="17"/>
  <c r="E21" i="17"/>
  <c r="C22" i="17"/>
  <c r="D22" i="17"/>
  <c r="E22" i="17"/>
  <c r="C23" i="17"/>
  <c r="D23" i="17"/>
  <c r="E23" i="17"/>
  <c r="C24" i="17"/>
  <c r="D24" i="17"/>
  <c r="E24" i="17"/>
  <c r="C25" i="17"/>
  <c r="D25" i="17"/>
  <c r="E25" i="17"/>
  <c r="C26" i="17"/>
  <c r="D26" i="17"/>
  <c r="E26" i="17"/>
  <c r="C27" i="17"/>
  <c r="D27" i="17"/>
  <c r="E27" i="17"/>
  <c r="C28" i="17"/>
  <c r="D28" i="17"/>
  <c r="E28" i="17"/>
  <c r="C29" i="17"/>
  <c r="D29" i="17"/>
  <c r="E29" i="17"/>
  <c r="C30" i="17"/>
  <c r="D30" i="17"/>
  <c r="E30" i="17"/>
  <c r="C31" i="17"/>
  <c r="D31" i="17"/>
  <c r="E31" i="17"/>
  <c r="C32" i="17"/>
  <c r="D32" i="17"/>
  <c r="E32" i="17"/>
  <c r="C33" i="17"/>
  <c r="D33" i="17"/>
  <c r="E33" i="17"/>
  <c r="C34" i="17"/>
  <c r="D34" i="17"/>
  <c r="E34" i="17"/>
  <c r="C35" i="17"/>
  <c r="D35" i="17"/>
  <c r="E35" i="17"/>
  <c r="C36" i="17"/>
  <c r="D36" i="17"/>
  <c r="E36" i="17"/>
  <c r="C37" i="17"/>
  <c r="D37" i="17"/>
  <c r="E37" i="17"/>
  <c r="C38" i="17"/>
  <c r="D38" i="17"/>
  <c r="E38" i="17"/>
  <c r="C39" i="17"/>
  <c r="D39" i="17"/>
  <c r="E39" i="17"/>
  <c r="C40" i="17"/>
  <c r="D40" i="17"/>
  <c r="E40" i="17"/>
  <c r="C41" i="17"/>
  <c r="D41" i="17"/>
  <c r="E41" i="17"/>
  <c r="C42" i="17"/>
  <c r="D42" i="17"/>
  <c r="E42" i="17"/>
  <c r="C43" i="17"/>
  <c r="D43" i="17"/>
  <c r="E43" i="17"/>
  <c r="C44" i="17"/>
  <c r="D44" i="17"/>
  <c r="E44" i="17"/>
  <c r="C45" i="17"/>
  <c r="D45" i="17"/>
  <c r="E45" i="17"/>
  <c r="C46" i="17"/>
  <c r="D46" i="17"/>
  <c r="E46" i="17"/>
  <c r="C47" i="17"/>
  <c r="D47" i="17"/>
  <c r="E47" i="17"/>
  <c r="C48" i="17"/>
  <c r="D48" i="17"/>
  <c r="E48" i="17"/>
  <c r="C49" i="17"/>
  <c r="D49" i="17"/>
  <c r="E49" i="17"/>
  <c r="C50" i="17"/>
  <c r="D50" i="17"/>
  <c r="E50" i="17"/>
  <c r="C51" i="17"/>
  <c r="D51" i="17"/>
  <c r="E51" i="17"/>
  <c r="C52" i="17"/>
  <c r="D52" i="17"/>
  <c r="E52" i="17"/>
  <c r="C53" i="17"/>
  <c r="D53" i="17"/>
  <c r="E53" i="17"/>
  <c r="C54" i="17"/>
  <c r="D54" i="17"/>
  <c r="E54" i="17"/>
  <c r="C55" i="17"/>
  <c r="D55" i="17"/>
  <c r="E55" i="17"/>
  <c r="C56" i="17"/>
  <c r="D56" i="17"/>
  <c r="E56" i="17"/>
  <c r="C57" i="17"/>
  <c r="D57" i="17"/>
  <c r="E57" i="17"/>
  <c r="C58" i="17"/>
  <c r="D58" i="17"/>
  <c r="E58" i="17"/>
  <c r="C59" i="17"/>
  <c r="D59" i="17"/>
  <c r="E59" i="17"/>
  <c r="C60" i="17"/>
  <c r="D60" i="17"/>
  <c r="E60" i="17"/>
  <c r="C61" i="17"/>
  <c r="D61" i="17"/>
  <c r="E61" i="17"/>
  <c r="C62" i="17"/>
  <c r="D62" i="17"/>
  <c r="E62" i="17"/>
  <c r="C63" i="17"/>
  <c r="D63" i="17"/>
  <c r="E63" i="17"/>
  <c r="C64" i="17"/>
  <c r="D64" i="17"/>
  <c r="E64" i="17"/>
  <c r="C65" i="17"/>
  <c r="D65" i="17"/>
  <c r="E65" i="17"/>
  <c r="C66" i="17"/>
  <c r="D66" i="17"/>
  <c r="E66" i="17"/>
  <c r="C67" i="17"/>
  <c r="D67" i="17"/>
  <c r="E67" i="17"/>
  <c r="C68" i="17"/>
  <c r="D68" i="17"/>
  <c r="E68" i="17"/>
  <c r="C69" i="17"/>
  <c r="D69" i="17"/>
  <c r="E69" i="17"/>
  <c r="C70" i="17"/>
  <c r="D70" i="17"/>
  <c r="E70" i="17"/>
  <c r="C71" i="17"/>
  <c r="D71" i="17"/>
  <c r="E71" i="17"/>
  <c r="C72" i="17"/>
  <c r="D72" i="17"/>
  <c r="E72" i="17"/>
  <c r="C73" i="17"/>
  <c r="D73" i="17"/>
  <c r="E73" i="17"/>
  <c r="C74" i="17"/>
  <c r="D74" i="17"/>
  <c r="E74" i="17"/>
  <c r="C75" i="17"/>
  <c r="D75" i="17"/>
  <c r="E75" i="17"/>
  <c r="C76" i="17"/>
  <c r="D76" i="17"/>
  <c r="E76" i="17"/>
  <c r="C77" i="17"/>
  <c r="D77" i="17"/>
  <c r="E77" i="17"/>
  <c r="C78" i="17"/>
  <c r="D78" i="17"/>
  <c r="E78" i="17"/>
  <c r="C79" i="17"/>
  <c r="D79" i="17"/>
  <c r="E79" i="17"/>
  <c r="C80" i="17"/>
  <c r="D80" i="17"/>
  <c r="E80" i="17"/>
  <c r="C81" i="17"/>
  <c r="D81" i="17"/>
  <c r="E81" i="17"/>
  <c r="C82" i="17"/>
  <c r="D82" i="17"/>
  <c r="E82" i="17"/>
  <c r="C83" i="17"/>
  <c r="D83" i="17"/>
  <c r="E83" i="17"/>
  <c r="C84" i="17"/>
  <c r="D84" i="17"/>
  <c r="E84" i="17"/>
  <c r="C85" i="17"/>
  <c r="D85" i="17"/>
  <c r="E85" i="17"/>
  <c r="C86" i="17"/>
  <c r="D86" i="17"/>
  <c r="E86" i="17"/>
  <c r="C87" i="17"/>
  <c r="D87" i="17"/>
  <c r="E87" i="17"/>
  <c r="C88" i="17"/>
  <c r="D88" i="17"/>
  <c r="E88" i="17"/>
  <c r="C89" i="17"/>
  <c r="D89" i="17"/>
  <c r="E89" i="17"/>
  <c r="C90" i="17"/>
  <c r="D90" i="17"/>
  <c r="E90" i="17"/>
  <c r="C91" i="17"/>
  <c r="D91" i="17"/>
  <c r="E91" i="17"/>
  <c r="C92" i="17"/>
  <c r="D92" i="17"/>
  <c r="E92" i="17"/>
  <c r="C93" i="17"/>
  <c r="D93" i="17"/>
  <c r="E93" i="17"/>
  <c r="C94" i="17"/>
  <c r="D94" i="17"/>
  <c r="E94" i="17"/>
  <c r="C95" i="17"/>
  <c r="D95" i="17"/>
  <c r="E95" i="17"/>
  <c r="C96" i="17"/>
  <c r="D96" i="17"/>
  <c r="E96" i="17"/>
  <c r="C97" i="17"/>
  <c r="D97" i="17"/>
  <c r="E97" i="17"/>
  <c r="C98" i="17"/>
  <c r="D98" i="17"/>
  <c r="E98" i="17"/>
  <c r="C99" i="17"/>
  <c r="D99" i="17"/>
  <c r="E99" i="17"/>
  <c r="C100" i="17"/>
  <c r="D100" i="17"/>
  <c r="E100" i="17"/>
  <c r="C101" i="17"/>
  <c r="D101" i="17"/>
  <c r="E101" i="17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19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L24" i="8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3" i="4"/>
  <c r="D4" i="2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G18" i="19"/>
  <c r="H18" i="19"/>
  <c r="G19" i="19"/>
  <c r="H19" i="19"/>
  <c r="G20" i="19"/>
  <c r="H20" i="19"/>
  <c r="G21" i="19"/>
  <c r="H21" i="19"/>
  <c r="G22" i="19"/>
  <c r="H22" i="19"/>
  <c r="G23" i="19"/>
  <c r="H23" i="19"/>
  <c r="H7" i="19"/>
  <c r="G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4" i="8"/>
  <c r="H24" i="8"/>
  <c r="U3" i="8"/>
  <c r="Q3" i="8"/>
  <c r="M3" i="8"/>
  <c r="Q24" i="8"/>
  <c r="M24" i="8"/>
  <c r="T3" i="8"/>
  <c r="P3" i="8"/>
  <c r="L3" i="8"/>
  <c r="I4" i="2"/>
  <c r="J3" i="2"/>
  <c r="K3" i="2"/>
  <c r="X4" i="22"/>
  <c r="I10" i="2"/>
  <c r="I5" i="2"/>
  <c r="I6" i="2"/>
  <c r="K6" i="2"/>
  <c r="I7" i="2"/>
  <c r="K7" i="2"/>
  <c r="I8" i="2"/>
  <c r="J8" i="2"/>
  <c r="K8" i="2"/>
  <c r="I9" i="2"/>
  <c r="J9" i="2"/>
  <c r="K9" i="2"/>
  <c r="T10" i="8"/>
  <c r="X5" i="22"/>
  <c r="X6" i="22"/>
  <c r="X7" i="22"/>
  <c r="X8" i="22"/>
  <c r="X9" i="22"/>
  <c r="X10" i="22"/>
  <c r="I11" i="2"/>
  <c r="J10" i="2"/>
  <c r="K10" i="2"/>
  <c r="X11" i="22"/>
  <c r="I12" i="2"/>
  <c r="J11" i="2"/>
  <c r="K11" i="2"/>
  <c r="X12" i="22"/>
  <c r="I13" i="2"/>
  <c r="J12" i="2"/>
  <c r="K12" i="2"/>
  <c r="X13" i="22"/>
  <c r="I14" i="2"/>
  <c r="J13" i="2"/>
  <c r="K13" i="2"/>
  <c r="X14" i="22"/>
  <c r="I15" i="2"/>
  <c r="J14" i="2"/>
  <c r="K14" i="2"/>
  <c r="X15" i="22"/>
  <c r="I16" i="2"/>
  <c r="J15" i="2"/>
  <c r="K15" i="2"/>
  <c r="X16" i="22"/>
  <c r="I17" i="2"/>
  <c r="J16" i="2"/>
  <c r="K16" i="2"/>
  <c r="X17" i="22"/>
  <c r="I18" i="2"/>
  <c r="J17" i="2"/>
  <c r="K17" i="2"/>
  <c r="X18" i="22"/>
  <c r="I19" i="2"/>
  <c r="J18" i="2"/>
  <c r="K18" i="2"/>
  <c r="X19" i="22"/>
  <c r="I20" i="2"/>
  <c r="J19" i="2"/>
  <c r="K19" i="2"/>
  <c r="X20" i="22"/>
  <c r="L25" i="8"/>
  <c r="L4" i="8"/>
  <c r="M25" i="8"/>
  <c r="M41" i="8"/>
  <c r="C6" i="23"/>
  <c r="M4" i="8"/>
  <c r="M20" i="8"/>
  <c r="C5" i="23"/>
  <c r="U20" i="8"/>
  <c r="U4" i="8"/>
  <c r="C4" i="23"/>
  <c r="Q20" i="8"/>
  <c r="Q4" i="8"/>
  <c r="C3" i="23"/>
  <c r="T4" i="8"/>
  <c r="P20" i="8"/>
  <c r="I20" i="8"/>
  <c r="I4" i="8"/>
  <c r="C2" i="23"/>
  <c r="H20" i="8"/>
  <c r="J20" i="2"/>
  <c r="L20" i="8"/>
  <c r="B5" i="23"/>
  <c r="C17" i="23"/>
  <c r="T20" i="8"/>
  <c r="C18" i="23"/>
  <c r="H41" i="8"/>
  <c r="I41" i="8"/>
  <c r="P41" i="8"/>
  <c r="Q41" i="8"/>
  <c r="K20" i="2"/>
  <c r="G20" i="5"/>
  <c r="R20" i="22"/>
  <c r="Q20" i="22"/>
  <c r="S20" i="22"/>
  <c r="T20" i="22"/>
  <c r="R20" i="3"/>
  <c r="Q20" i="3"/>
  <c r="S20" i="3"/>
  <c r="H19" i="8"/>
  <c r="L40" i="8"/>
  <c r="L41" i="8"/>
  <c r="B6" i="23"/>
  <c r="D21" i="23"/>
  <c r="L19" i="8"/>
  <c r="T19" i="8"/>
  <c r="P19" i="8"/>
  <c r="Q5" i="22"/>
  <c r="T5" i="22"/>
  <c r="Q6" i="22"/>
  <c r="T6" i="22"/>
  <c r="Q7" i="22"/>
  <c r="T7" i="22"/>
  <c r="Q8" i="22"/>
  <c r="T8" i="22"/>
  <c r="Q9" i="22"/>
  <c r="T9" i="22"/>
  <c r="Q10" i="22"/>
  <c r="T10" i="22"/>
  <c r="Q11" i="22"/>
  <c r="T11" i="22"/>
  <c r="Q12" i="22"/>
  <c r="T12" i="22"/>
  <c r="Q13" i="22"/>
  <c r="T13" i="22"/>
  <c r="Q14" i="22"/>
  <c r="T14" i="22"/>
  <c r="Q15" i="22"/>
  <c r="T15" i="22"/>
  <c r="Q16" i="22"/>
  <c r="T16" i="22"/>
  <c r="Q17" i="22"/>
  <c r="T17" i="22"/>
  <c r="Q18" i="22"/>
  <c r="T18" i="22"/>
  <c r="Q19" i="22"/>
  <c r="T19" i="22"/>
  <c r="Q4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4" i="22"/>
  <c r="D22" i="23"/>
  <c r="F8" i="17"/>
  <c r="F5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B7" i="23"/>
  <c r="D19" i="23"/>
  <c r="D18" i="23"/>
  <c r="D17" i="23"/>
  <c r="M40" i="8"/>
  <c r="M19" i="8"/>
  <c r="U19" i="8"/>
  <c r="Q19" i="8"/>
  <c r="I19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T13" i="8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H35" i="8"/>
  <c r="I35" i="8"/>
  <c r="M35" i="8"/>
  <c r="P35" i="8"/>
  <c r="Q35" i="8"/>
  <c r="H36" i="8"/>
  <c r="I36" i="8"/>
  <c r="M36" i="8"/>
  <c r="P36" i="8"/>
  <c r="Q36" i="8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P40" i="8"/>
  <c r="Q40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3" i="5"/>
  <c r="G14" i="5"/>
  <c r="G15" i="5"/>
  <c r="G16" i="5"/>
  <c r="G17" i="5"/>
  <c r="G18" i="5"/>
  <c r="G3" i="5"/>
  <c r="P25" i="8"/>
  <c r="I25" i="8"/>
  <c r="Q25" i="8"/>
  <c r="H25" i="8"/>
  <c r="G4" i="5"/>
  <c r="P5" i="8"/>
  <c r="I5" i="8"/>
  <c r="H5" i="8"/>
  <c r="T5" i="8"/>
  <c r="Q26" i="8"/>
  <c r="Q5" i="8"/>
  <c r="P26" i="8"/>
  <c r="H26" i="8"/>
  <c r="L5" i="8"/>
  <c r="M26" i="8"/>
  <c r="U5" i="8"/>
  <c r="I26" i="8"/>
  <c r="M5" i="8"/>
  <c r="L7" i="8"/>
  <c r="G5" i="5"/>
  <c r="I6" i="8"/>
  <c r="M27" i="8"/>
  <c r="I27" i="8"/>
  <c r="Q27" i="8"/>
  <c r="P6" i="8"/>
  <c r="P27" i="8"/>
  <c r="H27" i="8"/>
  <c r="H6" i="8"/>
  <c r="L6" i="8"/>
  <c r="U6" i="8"/>
  <c r="Q6" i="8"/>
  <c r="T6" i="8"/>
  <c r="M6" i="8"/>
  <c r="P28" i="8"/>
  <c r="Q28" i="8"/>
  <c r="I28" i="8"/>
  <c r="M7" i="8"/>
  <c r="H28" i="8"/>
  <c r="I7" i="8"/>
  <c r="T7" i="8"/>
  <c r="U7" i="8"/>
  <c r="M28" i="8"/>
  <c r="Q7" i="8"/>
  <c r="H7" i="8"/>
  <c r="P7" i="8"/>
  <c r="G6" i="5"/>
  <c r="U8" i="8"/>
  <c r="M8" i="8"/>
  <c r="I29" i="8"/>
  <c r="P29" i="8"/>
  <c r="H8" i="8"/>
  <c r="H29" i="8"/>
  <c r="G7" i="5"/>
  <c r="T8" i="8"/>
  <c r="Q8" i="8"/>
  <c r="M29" i="8"/>
  <c r="T9" i="8"/>
  <c r="L8" i="8"/>
  <c r="I8" i="8"/>
  <c r="P8" i="8"/>
  <c r="Q29" i="8"/>
  <c r="L9" i="8"/>
  <c r="M30" i="8"/>
  <c r="U9" i="8"/>
  <c r="M9" i="8"/>
  <c r="H30" i="8"/>
  <c r="I30" i="8"/>
  <c r="P30" i="8"/>
  <c r="H9" i="8"/>
  <c r="P9" i="8"/>
  <c r="Q9" i="8"/>
  <c r="G8" i="5"/>
  <c r="Q30" i="8"/>
  <c r="I9" i="8"/>
  <c r="Q31" i="8"/>
  <c r="U10" i="8"/>
  <c r="M31" i="8"/>
  <c r="H31" i="8"/>
  <c r="Q10" i="8"/>
  <c r="I10" i="8"/>
  <c r="L10" i="8"/>
  <c r="G9" i="5"/>
  <c r="P31" i="8"/>
  <c r="P10" i="8"/>
  <c r="M10" i="8"/>
  <c r="I31" i="8"/>
  <c r="H10" i="8"/>
  <c r="P32" i="8"/>
  <c r="T11" i="8"/>
  <c r="L11" i="8"/>
  <c r="I32" i="8"/>
  <c r="Q11" i="8"/>
  <c r="I11" i="8"/>
  <c r="G10" i="5"/>
  <c r="M32" i="8"/>
  <c r="H32" i="8"/>
  <c r="P11" i="8"/>
  <c r="Q32" i="8"/>
  <c r="U11" i="8"/>
  <c r="M11" i="8"/>
  <c r="H11" i="8"/>
  <c r="Q33" i="8"/>
  <c r="U12" i="8"/>
  <c r="M12" i="8"/>
  <c r="H12" i="8"/>
  <c r="M33" i="8"/>
  <c r="H33" i="8"/>
  <c r="P12" i="8"/>
  <c r="G11" i="5"/>
  <c r="I33" i="8"/>
  <c r="Q12" i="8"/>
  <c r="I12" i="8"/>
  <c r="P33" i="8"/>
  <c r="T12" i="8"/>
  <c r="L12" i="8"/>
  <c r="G12" i="5"/>
  <c r="H34" i="8"/>
  <c r="H13" i="8"/>
  <c r="U13" i="8"/>
  <c r="L13" i="8"/>
  <c r="Q34" i="8"/>
  <c r="I34" i="8"/>
  <c r="Q13" i="8"/>
  <c r="I13" i="8"/>
  <c r="P34" i="8"/>
  <c r="P13" i="8"/>
  <c r="M34" i="8"/>
  <c r="M13" i="8"/>
  <c r="P4" i="8"/>
  <c r="D20" i="23"/>
  <c r="C20" i="23"/>
  <c r="H4" i="8"/>
  <c r="B2" i="23"/>
  <c r="D15" i="23"/>
  <c r="D16" i="23"/>
  <c r="C15" i="23"/>
  <c r="C16" i="23"/>
  <c r="C19" i="23"/>
  <c r="C21" i="23"/>
  <c r="C22" i="23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<sst xmlns="http://schemas.openxmlformats.org/spreadsheetml/2006/main" count="734" uniqueCount="313">
  <si>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</si>
  <si>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</si>
  <si>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</si>
  <si>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</si>
  <si>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</si>
  <si>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</si>
  <si>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</si>
  <si>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</si>
  <si>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</si>
  <si>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</si>
  <si>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</si>
  <si>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</si>
  <si>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</si>
  <si>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</si>
  <si>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</si>
  <si>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</si>
  <si>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</si>
  <si>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</si>
  <si>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</si>
  <si>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</si>
  <si>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</si>
  <si>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</si>
  <si>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</si>
  <si>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</si>
  <si>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</si>
  <si>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</si>
  <si>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</si>
  <si>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</si>
  <si>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</si>
  <si>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</si>
  <si>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</si>
  <si>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</si>
  <si>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</si>
  <si>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</si>
  <si>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</si>
  <si>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</si>
  <si>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</si>
  <si>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</si>
  <si>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</si>
  <si>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</si>
  <si>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</si>
  <si>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</si>
  <si>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</si>
  <si>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</si>
  <si>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</si>
  <si>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</si>
  <si>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</si>
  <si>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</si>
  <si>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</si>
  <si>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</si>
  <si>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</si>
  <si>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</si>
  <si>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</si>
  <si>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</si>
  <si>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</si>
  <si>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</si>
  <si>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</si>
  <si>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</si>
  <si>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</si>
  <si>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</si>
  <si>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</si>
  <si>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</si>
  <si>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</si>
  <si>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</si>
  <si>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</si>
  <si>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</si>
  <si>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</si>
  <si>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</si>
  <si>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</si>
  <si>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</si>
  <si>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</si>
  <si>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</si>
  <si>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</si>
  <si>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</si>
  <si>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</si>
  <si>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</si>
  <si>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</si>
  <si>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</si>
  <si>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</si>
  <si>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</si>
  <si>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</si>
  <si>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</si>
  <si>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</si>
  <si>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</si>
  <si>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</si>
  <si>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</si>
  <si>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</si>
  <si>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</si>
  <si>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</si>
  <si>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</si>
  <si>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</si>
  <si>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</si>
  <si>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</si>
  <si>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</si>
  <si>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</si>
  <si>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</si>
  <si>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</si>
  <si>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</si>
  <si>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</si>
  <si>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</si>
  <si>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</si>
  <si>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</si>
  <si>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</si>
  <si>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</si>
  <si>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</si>
  <si>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</si>
  <si>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</si>
  <si>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</si>
  <si>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</si>
  <si>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</si>
  <si>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</si>
  <si>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</si>
  <si>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</si>
  <si>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</si>
  <si>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</si>
  <si>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</si>
  <si>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</si>
  <si>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</si>
  <si>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</si>
  <si>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</si>
  <si>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</si>
  <si>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</si>
  <si>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</si>
  <si>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</si>
  <si>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</si>
  <si>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</si>
  <si>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</si>
  <si>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t>Theoretical</t>
  </si>
  <si>
    <t>Experimental</t>
  </si>
  <si>
    <t>x</t>
  </si>
  <si>
    <t>2x</t>
  </si>
  <si>
    <t>z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</si>
  <si>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</si>
  <si>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</si>
  <si>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</si>
  <si>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</si>
  <si>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</si>
  <si>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</si>
  <si>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</si>
  <si>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</si>
  <si>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</si>
  <si>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</si>
  <si>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</si>
  <si>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</si>
  <si>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</si>
  <si>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r>
      <rPr>
        <i/>
        <sz val="11"/>
        <color theme="1"/>
        <rFont val="Calibri"/>
        <family val="2"/>
        <scheme val="minor"/>
      </rPr>
      <t xml:space="preserve">Faecalibacterium prausnitzii </t>
    </r>
    <r>
      <rPr>
        <sz val="11"/>
        <color theme="1"/>
        <rFont val="Calibri"/>
        <family val="2"/>
        <scheme val="minor"/>
      </rPr>
      <t>DSM 17677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and Blautia hydrogenotrophica DSM 10507</t>
    </r>
    <r>
      <rPr>
        <vertAlign val="superscript"/>
        <sz val="11"/>
        <color theme="1"/>
        <rFont val="Calibri"/>
        <family val="2"/>
        <scheme val="minor"/>
      </rPr>
      <t>T</t>
    </r>
  </si>
  <si>
    <t>LOG</t>
  </si>
  <si>
    <t>STDEV LOG(Count/mL)</t>
  </si>
  <si>
    <t>0,'74</t>
  </si>
  <si>
    <t>Na-acetate trihydrate (0 mM)</t>
  </si>
  <si>
    <t>0.40</t>
  </si>
  <si>
    <t>0.20</t>
  </si>
  <si>
    <t>0.00</t>
  </si>
  <si>
    <t>x moles D-fructose consumed</t>
  </si>
  <si>
    <t>2x moles pyruvate produced</t>
  </si>
  <si>
    <t>z moles lactate produced</t>
  </si>
  <si>
    <t>f moles formate produced</t>
  </si>
  <si>
    <t>2x-z-f moles CO2 produced</t>
  </si>
  <si>
    <t>y moles acetaat consumed</t>
  </si>
  <si>
    <t>2x-z+y moles acetyl-CoA produced</t>
  </si>
  <si>
    <t>0 moles H2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</si>
  <si>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</si>
  <si>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</si>
  <si>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</si>
  <si>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</si>
  <si>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</si>
  <si>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</si>
  <si>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</si>
  <si>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</si>
  <si>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</si>
  <si>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</si>
  <si>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</si>
  <si>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</si>
  <si>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</si>
  <si>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</si>
  <si>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</si>
  <si>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</si>
  <si>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</si>
  <si>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</si>
  <si>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(2x-2+y)/2 moles butyrate produced</t>
  </si>
  <si>
    <t>Acetic acid produced</t>
  </si>
  <si>
    <t>Formic acid consumed</t>
  </si>
  <si>
    <t xml:space="preserve">Volume (ul) </t>
  </si>
  <si>
    <t>Outliers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</si>
  <si>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</si>
  <si>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</si>
  <si>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</si>
  <si>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</si>
  <si>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</si>
  <si>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</si>
  <si>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</si>
  <si>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</si>
  <si>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</si>
  <si>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</si>
  <si>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</si>
  <si>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</si>
  <si>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</si>
  <si>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</si>
  <si>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</si>
  <si>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</si>
  <si>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</si>
  <si>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</si>
  <si>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</si>
  <si>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</si>
  <si>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</si>
  <si>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</si>
  <si>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 per mL</t>
  </si>
  <si>
    <t>CT2 normalized per mL</t>
  </si>
  <si>
    <t>CT3 normalized per mL</t>
  </si>
  <si>
    <t>Average CT normalized per mL</t>
  </si>
  <si>
    <t>outliers</t>
  </si>
  <si>
    <t>IPC FP10 epp</t>
  </si>
  <si>
    <t>Threshold</t>
  </si>
  <si>
    <t>AUTO</t>
  </si>
  <si>
    <t>Ct Threshold</t>
  </si>
  <si>
    <t>baseline</t>
  </si>
  <si>
    <t>Rico</t>
  </si>
  <si>
    <t>intercept</t>
  </si>
  <si>
    <t>Efficiency E (%)</t>
  </si>
  <si>
    <t>F. prausnitzii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</si>
  <si>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</si>
  <si>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</si>
  <si>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</si>
  <si>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</si>
  <si>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</si>
  <si>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</si>
  <si>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</si>
  <si>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</si>
  <si>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</si>
  <si>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</si>
  <si>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</si>
  <si>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</si>
  <si>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  (cells/ml medium)</t>
  </si>
  <si>
    <t>Log (cells/ml medium)</t>
  </si>
  <si>
    <t>STDV Log (cells/ml medium)</t>
  </si>
  <si>
    <t>Dilution log (10x)</t>
  </si>
  <si>
    <t xml:space="preserve">Dilution </t>
  </si>
  <si>
    <t>IPC value epp 10 plate 20150707</t>
  </si>
  <si>
    <t>IPC value  epp 10 plate 20150702</t>
  </si>
  <si>
    <t>IPC value epp 10 plate 20150708</t>
  </si>
  <si>
    <t>IPC value epp 10 plate 20150709</t>
  </si>
  <si>
    <t>IPC value epp 9 plate 20150714</t>
  </si>
  <si>
    <t>IPC value epp 9 plate 20150715</t>
  </si>
  <si>
    <t>IPC value epp 9 plate 20150717</t>
  </si>
  <si>
    <t>IPC value epp 9 plate 201507120</t>
  </si>
  <si>
    <t>IPC value epp 8 plate 20150722</t>
  </si>
  <si>
    <t>IPC value epp 8 plate 20150729</t>
  </si>
  <si>
    <t>IPC value epp 7 plate 20150730</t>
  </si>
  <si>
    <t>IPC value epp 7 plate 20150804</t>
  </si>
  <si>
    <t>IPC value epp 6 plate 20150804</t>
  </si>
  <si>
    <t>IPC value epp 6 plate 20150807</t>
  </si>
  <si>
    <t>IPC value epp 6 plate 20150820</t>
  </si>
  <si>
    <t>IPC value epp 6 plate 20150902</t>
  </si>
  <si>
    <t>IPC value epp 5 plate 20150910</t>
  </si>
  <si>
    <t>IPC value epp 5 plate 20150911</t>
  </si>
  <si>
    <t>IPC value epp 5 plate 20150922</t>
  </si>
  <si>
    <t>IPC value epp 4 plate 20150929</t>
  </si>
  <si>
    <t>Total Average</t>
  </si>
  <si>
    <t>IPC BH10 epp</t>
  </si>
  <si>
    <t>Taqman probe BH4O</t>
  </si>
  <si>
    <t>B. hydrogenotrophica</t>
  </si>
  <si>
    <t xml:space="preserve">Dilution per ml </t>
  </si>
  <si>
    <t>IPC value  epp 10 plate  20150724</t>
  </si>
  <si>
    <t>IPC value  epp 10 plate  20150821</t>
  </si>
  <si>
    <t>IPC value  epp 9 plate  20150901</t>
  </si>
  <si>
    <t>IPC value  epp 9 plate  20150902</t>
  </si>
  <si>
    <t>IPC value  epp 8 plate  20150902</t>
  </si>
  <si>
    <t>IPC value  epp 8 plate  20150903</t>
  </si>
  <si>
    <t>IPC value  epp 8 plate  20150907</t>
  </si>
  <si>
    <t>IPC value  epp 8 plate  20150908</t>
  </si>
  <si>
    <t>IPC value  epp 7 plate  20150910</t>
  </si>
  <si>
    <t>IPC value  epp 7 plate  20150914</t>
  </si>
  <si>
    <t>IPC value  epp 6 plate  20150910</t>
  </si>
  <si>
    <t>IPC value  epp 6 plate  20150929</t>
  </si>
  <si>
    <t>R. intestinalis</t>
  </si>
  <si>
    <t xml:space="preserve">Total cell count </t>
  </si>
  <si>
    <t>IPC value epp 4 plate 20151002</t>
  </si>
  <si>
    <t>IPC value  epp 6 plate  20151002</t>
  </si>
  <si>
    <t>IPC value  epp 5 plate  20151009</t>
  </si>
  <si>
    <t>IPC value epp 4 plate 20151009</t>
  </si>
  <si>
    <t>IPC value epp 4 plate 20151007</t>
  </si>
  <si>
    <t>IPC value  epp 5 plate  20151111</t>
  </si>
  <si>
    <t>IPC value  epp 4 plate  20151112</t>
  </si>
  <si>
    <t>IPC value  epp 4 plate  20151125</t>
  </si>
  <si>
    <t>IPC value  epp 4 plate  20160126</t>
  </si>
  <si>
    <t>IPC value  epp 3 plate  20160126</t>
  </si>
  <si>
    <t>IPC value  epp 3 plate  20160209</t>
  </si>
  <si>
    <t xml:space="preserve">Total Average </t>
  </si>
  <si>
    <t>IPC value epp 3 plate 20151020</t>
  </si>
  <si>
    <t>IPC value epp 3 plate 20151111</t>
  </si>
  <si>
    <t>IPC value epp 2 plate 20151111</t>
  </si>
  <si>
    <t>IPC value epp 2 plate 20151112</t>
  </si>
  <si>
    <t>IPC value epp 2 plate 20151204</t>
  </si>
  <si>
    <t>IPC value epp 1 plate 20160119</t>
  </si>
  <si>
    <t>IPC value epp 1 plate 20160208</t>
  </si>
  <si>
    <t>IPC value  epp 3 plate  20160222</t>
  </si>
  <si>
    <t>IPC value  epp 2 plate  20160223</t>
  </si>
  <si>
    <t>IPC value  epp 2 plate  20160224</t>
  </si>
  <si>
    <t>IPC value  epp 2 plate  20160308</t>
  </si>
  <si>
    <t>IPC value  epp 2 plate  20160310</t>
  </si>
  <si>
    <t>IPC value epp 1 plate 20160222</t>
  </si>
  <si>
    <t>IPC value epp 1 plate 20160223</t>
  </si>
  <si>
    <t>IPC value epp 9 plate 20160223</t>
  </si>
  <si>
    <t>IPC value epp 9 plate 20160225</t>
  </si>
  <si>
    <t>IPC value epp 9 plate 20160308</t>
  </si>
  <si>
    <t>IPC value epp 9 plate 20160310</t>
  </si>
  <si>
    <t>IPC value epp 8 plate 20160325</t>
  </si>
  <si>
    <t>IPC value epp 8 plate 20160405</t>
  </si>
  <si>
    <t>IPC value  epp 2 plate  20160311</t>
  </si>
  <si>
    <t>IPC value  epp 1 plate  20160318</t>
  </si>
  <si>
    <t>IPC value  epp 1 plate  20160325</t>
  </si>
  <si>
    <t>IPC value  epp 1 plate  20160405</t>
  </si>
  <si>
    <t>IPC value  epp 9 plate  20160411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</si>
</sst>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i/>
      <sz val="11"/>
      <name val="Calibri"/>
      <scheme val="minor"/>
    </font>
    <font>
      <b/>
      <sz val="11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18" fillId="0" borderId="16" xfId="0" applyNumberFormat="1" applyFont="1" applyBorder="1" applyAlignment="1">
      <alignment horizontal="center" vertical="center"/>
    </xf>
    <xf numFmtId="164" fontId="18" fillId="0" borderId="18" xfId="0" applyNumberFormat="1" applyFont="1" applyBorder="1" applyAlignment="1">
      <alignment horizontal="center" vertical="center"/>
    </xf>
    <xf numFmtId="164" fontId="24" fillId="0" borderId="3" xfId="0" applyNumberFormat="1" applyFont="1" applyBorder="1" applyAlignment="1">
      <alignment horizontal="center" vertical="center"/>
    </xf>
    <xf numFmtId="164" fontId="24" fillId="0" borderId="20" xfId="0" applyNumberFormat="1" applyFont="1" applyBorder="1" applyAlignment="1">
      <alignment horizontal="center" vertical="center"/>
    </xf>
    <xf numFmtId="164" fontId="18" fillId="0" borderId="16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18" fillId="11" borderId="0" xfId="0" applyFont="1" applyFill="1"/>
    <xf numFmtId="0" fontId="0" fillId="0" borderId="18" xfId="0" applyBorder="1" applyAlignment="1">
      <alignment horizontal="center" vertical="center"/>
    </xf>
    <xf numFmtId="2" fontId="25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/>
    </xf>
    <xf numFmtId="165" fontId="0" fillId="0" borderId="0" xfId="0" applyNumberFormat="1"/>
    <xf numFmtId="165" fontId="25" fillId="0" borderId="0" xfId="0" applyNumberFormat="1" applyFont="1"/>
    <xf numFmtId="165" fontId="26" fillId="0" borderId="0" xfId="0" applyNumberFormat="1" applyFont="1"/>
    <xf numFmtId="0" fontId="27" fillId="0" borderId="0" xfId="321"/>
    <xf numFmtId="0" fontId="27" fillId="2" borderId="4" xfId="321" applyFill="1" applyBorder="1" applyAlignment="1">
      <alignment horizontal="center" vertical="center"/>
    </xf>
    <xf numFmtId="0" fontId="27" fillId="2" borderId="16" xfId="321" applyFill="1" applyBorder="1" applyAlignment="1">
      <alignment horizontal="center" vertical="center"/>
    </xf>
    <xf numFmtId="0" fontId="27" fillId="2" borderId="3" xfId="321" applyFill="1" applyBorder="1" applyAlignment="1">
      <alignment horizontal="center" vertical="center"/>
    </xf>
    <xf numFmtId="0" fontId="27" fillId="0" borderId="3" xfId="321" applyFill="1" applyBorder="1" applyAlignment="1">
      <alignment horizontal="center" vertical="center"/>
    </xf>
    <xf numFmtId="0" fontId="27" fillId="0" borderId="16" xfId="321" applyFill="1" applyBorder="1" applyAlignment="1">
      <alignment horizontal="center" vertical="center"/>
    </xf>
    <xf numFmtId="11" fontId="27" fillId="0" borderId="16" xfId="321" applyNumberFormat="1" applyFill="1" applyBorder="1" applyAlignment="1">
      <alignment horizontal="center" vertical="center"/>
    </xf>
    <xf numFmtId="0" fontId="0" fillId="0" borderId="16" xfId="321" applyFont="1" applyBorder="1" applyAlignment="1">
      <alignment horizontal="center" vertical="center"/>
    </xf>
    <xf numFmtId="0" fontId="27" fillId="0" borderId="16" xfId="321" applyBorder="1" applyAlignment="1">
      <alignment horizontal="center" vertical="center"/>
    </xf>
    <xf numFmtId="11" fontId="27" fillId="0" borderId="16" xfId="321" applyNumberFormat="1" applyBorder="1" applyAlignment="1">
      <alignment horizontal="center" vertical="center"/>
    </xf>
    <xf numFmtId="2" fontId="27" fillId="0" borderId="16" xfId="321" applyNumberFormat="1" applyBorder="1" applyAlignment="1">
      <alignment horizontal="center" vertical="center"/>
    </xf>
    <xf numFmtId="0" fontId="0" fillId="0" borderId="0" xfId="321" applyFont="1"/>
    <xf numFmtId="0" fontId="27" fillId="2" borderId="22" xfId="321" applyFill="1" applyBorder="1" applyAlignment="1">
      <alignment wrapText="1"/>
    </xf>
    <xf numFmtId="0" fontId="0" fillId="2" borderId="22" xfId="321" applyFont="1" applyFill="1" applyBorder="1" applyAlignment="1">
      <alignment wrapText="1"/>
    </xf>
    <xf numFmtId="0" fontId="0" fillId="2" borderId="22" xfId="321" applyFont="1" applyFill="1" applyBorder="1" applyAlignment="1">
      <alignment horizontal="center" vertical="center" wrapText="1"/>
    </xf>
    <xf numFmtId="165" fontId="27" fillId="0" borderId="16" xfId="321" applyNumberFormat="1" applyBorder="1" applyAlignment="1">
      <alignment horizontal="center" vertical="center"/>
    </xf>
    <xf numFmtId="165" fontId="27" fillId="0" borderId="16" xfId="321" applyNumberFormat="1" applyBorder="1"/>
    <xf numFmtId="165" fontId="27" fillId="0" borderId="0" xfId="321" applyNumberFormat="1"/>
    <xf numFmtId="0" fontId="27" fillId="2" borderId="16" xfId="321" applyFill="1" applyBorder="1"/>
    <xf numFmtId="0" fontId="28" fillId="0" borderId="16" xfId="321" applyFont="1" applyBorder="1"/>
    <xf numFmtId="0" fontId="27" fillId="0" borderId="16" xfId="321" applyBorder="1"/>
    <xf numFmtId="0" fontId="29" fillId="12" borderId="0" xfId="321" applyFont="1" applyFill="1"/>
    <xf numFmtId="165" fontId="25" fillId="0" borderId="18" xfId="0" applyNumberFormat="1" applyFont="1" applyBorder="1" applyAlignment="1">
      <alignment horizontal="center" vertical="center"/>
    </xf>
    <xf numFmtId="2" fontId="27" fillId="0" borderId="16" xfId="321" applyNumberFormat="1" applyBorder="1"/>
    <xf numFmtId="1" fontId="27" fillId="0" borderId="16" xfId="321" applyNumberFormat="1" applyBorder="1"/>
    <xf numFmtId="1" fontId="0" fillId="0" borderId="0" xfId="0" applyNumberFormat="1" applyBorder="1" applyAlignment="1">
      <alignment horizontal="center" vertical="center"/>
    </xf>
    <xf numFmtId="165" fontId="27" fillId="0" borderId="0" xfId="321" applyNumberFormat="1" applyBorder="1" applyAlignment="1">
      <alignment horizontal="center" vertical="center"/>
    </xf>
    <xf numFmtId="165" fontId="27" fillId="0" borderId="0" xfId="321" applyNumberFormat="1" applyBorder="1"/>
    <xf numFmtId="165" fontId="25" fillId="0" borderId="0" xfId="0" applyNumberFormat="1" applyFont="1" applyBorder="1" applyAlignment="1">
      <alignment horizontal="center" vertical="center"/>
    </xf>
    <xf numFmtId="2" fontId="27" fillId="0" borderId="0" xfId="321" applyNumberFormat="1" applyBorder="1"/>
    <xf numFmtId="1" fontId="27" fillId="0" borderId="0" xfId="321" applyNumberFormat="1" applyBorder="1"/>
    <xf numFmtId="0" fontId="0" fillId="0" borderId="16" xfId="321" applyFont="1" applyBorder="1"/>
    <xf numFmtId="165" fontId="25" fillId="0" borderId="16" xfId="0" applyNumberFormat="1" applyFont="1" applyBorder="1" applyAlignment="1">
      <alignment horizontal="center" vertical="center"/>
    </xf>
    <xf numFmtId="0" fontId="0" fillId="0" borderId="0" xfId="321" applyFont="1" applyFill="1" applyBorder="1"/>
    <xf numFmtId="1" fontId="27" fillId="0" borderId="0" xfId="321" applyNumberFormat="1"/>
    <xf numFmtId="0" fontId="30" fillId="2" borderId="0" xfId="321" applyFont="1" applyFill="1"/>
    <xf numFmtId="0" fontId="25" fillId="0" borderId="0" xfId="0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165" fontId="25" fillId="0" borderId="3" xfId="0" applyNumberFormat="1" applyFont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0" fontId="0" fillId="0" borderId="0" xfId="321" applyFont="1" applyFill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0" borderId="21" xfId="321" applyFont="1" applyBorder="1" applyAlignment="1">
      <alignment horizontal="center"/>
    </xf>
    <xf numFmtId="0" fontId="27" fillId="0" borderId="21" xfId="321" applyBorder="1" applyAlignment="1">
      <alignment horizontal="center"/>
    </xf>
    <xf numFmtId="0" fontId="27" fillId="0" borderId="17" xfId="321" applyNumberFormat="1" applyFill="1" applyBorder="1" applyAlignment="1">
      <alignment horizontal="center" vertical="center"/>
    </xf>
    <xf numFmtId="0" fontId="27" fillId="0" borderId="5" xfId="321" applyNumberFormat="1" applyFill="1" applyBorder="1" applyAlignment="1">
      <alignment horizontal="center" vertical="center"/>
    </xf>
    <xf numFmtId="0" fontId="27" fillId="0" borderId="18" xfId="321" applyNumberFormat="1" applyFill="1" applyBorder="1" applyAlignment="1">
      <alignment horizontal="center" vertical="center"/>
    </xf>
    <xf numFmtId="0" fontId="27" fillId="2" borderId="4" xfId="321" applyFill="1" applyBorder="1" applyAlignment="1">
      <alignment horizontal="center" vertical="center"/>
    </xf>
    <xf numFmtId="0" fontId="27" fillId="2" borderId="3" xfId="321" applyFill="1" applyBorder="1" applyAlignment="1">
      <alignment horizontal="center" vertical="center"/>
    </xf>
    <xf numFmtId="0" fontId="0" fillId="2" borderId="4" xfId="321" applyFont="1" applyFill="1" applyBorder="1" applyAlignment="1">
      <alignment horizontal="center" vertical="center"/>
    </xf>
    <xf numFmtId="0" fontId="27" fillId="2" borderId="16" xfId="32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3" xfId="0" applyFont="1" applyFill="1" applyBorder="1" applyAlignment="1">
      <alignment horizontal="center" vertical="center"/>
    </xf>
    <xf numFmtId="0" fontId="0" fillId="2" borderId="3" xfId="32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370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Input" xfId="10"/>
    <cellStyle name="Linked Cell" xfId="11"/>
    <cellStyle name="Neutral" xfId="12"/>
    <cellStyle name="Normal" xfId="0" builtinId="0"/>
    <cellStyle name="Normal 2" xfId="321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chartsheet" Target="chartsheets/sheet1.xml"/><Relationship Id="rId23" Type="http://schemas.openxmlformats.org/officeDocument/2006/relationships/chartsheet" Target="chartsheets/sheet2.xml"/><Relationship Id="rId24" Type="http://schemas.openxmlformats.org/officeDocument/2006/relationships/worksheet" Target="worksheets/sheet22.xml"/><Relationship Id="rId25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27" Type="http://schemas.openxmlformats.org/officeDocument/2006/relationships/connections" Target="connections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('[1]Calibration F. prausnitzii'!$R$4:$R$5,'[1]Calibration F. prausnitzii'!$R$7:$R$9,'[1]Calibration F. prausnitzii'!$R$12:$R$18)</c:f>
              <c:numCache>
                <c:formatCode>General</c:formatCode>
                <c:ptCount val="12"/>
                <c:pt idx="0">
                  <c:v>8.615856001921256</c:v>
                </c:pt>
                <c:pt idx="1">
                  <c:v>7.578787169009893</c:v>
                </c:pt>
                <c:pt idx="2">
                  <c:v>5.16625245195416</c:v>
                </c:pt>
                <c:pt idx="3">
                  <c:v>4.327142945090009</c:v>
                </c:pt>
                <c:pt idx="4">
                  <c:v>8.5970052819172</c:v>
                </c:pt>
                <c:pt idx="5">
                  <c:v>7.638654956108294</c:v>
                </c:pt>
                <c:pt idx="6">
                  <c:v>7.317915960046743</c:v>
                </c:pt>
                <c:pt idx="7">
                  <c:v>6.979500247162297</c:v>
                </c:pt>
                <c:pt idx="8">
                  <c:v>6.727141401256697</c:v>
                </c:pt>
                <c:pt idx="9">
                  <c:v>6.258345785566837</c:v>
                </c:pt>
                <c:pt idx="10">
                  <c:v>5.898754948228658</c:v>
                </c:pt>
                <c:pt idx="11">
                  <c:v>5.513685518117733</c:v>
                </c:pt>
              </c:numCache>
            </c:numRef>
          </c:xVal>
          <c:yVal>
            <c:numRef>
              <c:f>('Calibration F. prausnitzii'!$L$23:$L$24,'Calibration F. prausnitzii'!$L$26:$L$28,'Calibration F. prausnitzii'!$L$31:$L$37)</c:f>
              <c:numCache>
                <c:formatCode>0.0</c:formatCode>
                <c:ptCount val="12"/>
                <c:pt idx="0">
                  <c:v>7.615938071690805</c:v>
                </c:pt>
                <c:pt idx="1">
                  <c:v>10.99721674549859</c:v>
                </c:pt>
                <c:pt idx="2">
                  <c:v>18.92516283619683</c:v>
                </c:pt>
                <c:pt idx="3">
                  <c:v>22.15071698455295</c:v>
                </c:pt>
                <c:pt idx="4">
                  <c:v>7.926772761510367</c:v>
                </c:pt>
                <c:pt idx="5">
                  <c:v>11.08311685737625</c:v>
                </c:pt>
                <c:pt idx="6">
                  <c:v>13.44173781888341</c:v>
                </c:pt>
                <c:pt idx="7">
                  <c:v>14.0348183395133</c:v>
                </c:pt>
                <c:pt idx="8">
                  <c:v>13.99912230985021</c:v>
                </c:pt>
                <c:pt idx="9">
                  <c:v>15.79201794481929</c:v>
                </c:pt>
                <c:pt idx="10">
                  <c:v>16.9694255274202</c:v>
                </c:pt>
                <c:pt idx="11">
                  <c:v>17.46778266446447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23272"/>
        <c:axId val="2071441880"/>
      </c:scatterChart>
      <c:valAx>
        <c:axId val="2071423272"/>
        <c:scaling>
          <c:orientation val="minMax"/>
          <c:max val="15.0"/>
          <c:min val="0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71441880"/>
        <c:crosses val="autoZero"/>
        <c:crossBetween val="midCat"/>
        <c:majorUnit val="2.0"/>
      </c:valAx>
      <c:valAx>
        <c:axId val="207144188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crossAx val="2071423272"/>
        <c:crosses val="autoZero"/>
        <c:crossBetween val="midCat"/>
        <c:minorUnit val="1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B. hydrogenotrophica</a:t>
            </a:r>
            <a:endParaRPr lang="nl-BE" i="1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518545148449"/>
          <c:y val="0.13013698630137"/>
          <c:w val="0.833789874261263"/>
          <c:h val="0.73188751662891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'CalibrationB. hydrogenotrophica'!$R$4:$R$19</c:f>
              <c:numCache>
                <c:formatCode>0.00</c:formatCode>
                <c:ptCount val="16"/>
                <c:pt idx="0">
                  <c:v>8.313473506507658</c:v>
                </c:pt>
                <c:pt idx="1">
                  <c:v>7.276996109489027</c:v>
                </c:pt>
                <c:pt idx="2">
                  <c:v>6.34002746828266</c:v>
                </c:pt>
                <c:pt idx="3">
                  <c:v>5.410412073674764</c:v>
                </c:pt>
                <c:pt idx="4">
                  <c:v>4.624207964119256</c:v>
                </c:pt>
                <c:pt idx="5">
                  <c:v>8.368066736978313</c:v>
                </c:pt>
                <c:pt idx="6">
                  <c:v>8.001570749713231</c:v>
                </c:pt>
                <c:pt idx="7">
                  <c:v>7.678536588070615</c:v>
                </c:pt>
                <c:pt idx="8">
                  <c:v>7.377558180514065</c:v>
                </c:pt>
                <c:pt idx="9">
                  <c:v>6.962198804905538</c:v>
                </c:pt>
                <c:pt idx="10">
                  <c:v>6.642461222625335</c:v>
                </c:pt>
                <c:pt idx="11">
                  <c:v>6.437813958847346</c:v>
                </c:pt>
                <c:pt idx="12">
                  <c:v>6.193364379200031</c:v>
                </c:pt>
                <c:pt idx="13">
                  <c:v>5.945938002689035</c:v>
                </c:pt>
                <c:pt idx="14">
                  <c:v>5.659438986853353</c:v>
                </c:pt>
                <c:pt idx="15">
                  <c:v>5.359831154750319</c:v>
                </c:pt>
              </c:numCache>
            </c:numRef>
          </c:xVal>
          <c:yVal>
            <c:numRef>
              <c:f>'CalibrationB. hydrogenotrophica'!$F$23:$F$38</c:f>
              <c:numCache>
                <c:formatCode>0.0</c:formatCode>
                <c:ptCount val="16"/>
                <c:pt idx="0">
                  <c:v>12.0253438949585</c:v>
                </c:pt>
                <c:pt idx="1">
                  <c:v>17.51580047607422</c:v>
                </c:pt>
                <c:pt idx="2">
                  <c:v>19.98495546976725</c:v>
                </c:pt>
                <c:pt idx="3">
                  <c:v>24.50247510274251</c:v>
                </c:pt>
                <c:pt idx="4">
                  <c:v>27.92595100402832</c:v>
                </c:pt>
                <c:pt idx="5">
                  <c:v>13.76362260182699</c:v>
                </c:pt>
                <c:pt idx="6">
                  <c:v>15.44432004292806</c:v>
                </c:pt>
                <c:pt idx="7">
                  <c:v>16.26623217264811</c:v>
                </c:pt>
                <c:pt idx="8">
                  <c:v>18.50184694925944</c:v>
                </c:pt>
                <c:pt idx="9">
                  <c:v>18.70137278238932</c:v>
                </c:pt>
                <c:pt idx="10">
                  <c:v>19.19911956787109</c:v>
                </c:pt>
                <c:pt idx="11">
                  <c:v>20.34818077087402</c:v>
                </c:pt>
                <c:pt idx="12">
                  <c:v>21.39213307698568</c:v>
                </c:pt>
                <c:pt idx="13">
                  <c:v>22.52744038899739</c:v>
                </c:pt>
                <c:pt idx="14">
                  <c:v>25.06320190429687</c:v>
                </c:pt>
                <c:pt idx="15">
                  <c:v>25.82879130045573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15864"/>
        <c:axId val="-2092033576"/>
      </c:scatterChart>
      <c:valAx>
        <c:axId val="2128115864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092033576"/>
        <c:crosses val="autoZero"/>
        <c:crossBetween val="midCat"/>
        <c:majorUnit val="2.0"/>
      </c:valAx>
      <c:valAx>
        <c:axId val="-2092033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128115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760358848587"/>
          <c:y val="0.0157103087009521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0.025668744453469</c:v>
                  </c:pt>
                  <c:pt idx="1">
                    <c:v>1.89039238358016E-16</c:v>
                  </c:pt>
                  <c:pt idx="2">
                    <c:v>0.0222589242432781</c:v>
                  </c:pt>
                  <c:pt idx="3">
                    <c:v>0.0223196166065862</c:v>
                  </c:pt>
                  <c:pt idx="4">
                    <c:v>0.0342618454447466</c:v>
                  </c:pt>
                  <c:pt idx="5">
                    <c:v>1.92413769650867E-16</c:v>
                  </c:pt>
                  <c:pt idx="6">
                    <c:v>0.0396544390241184</c:v>
                  </c:pt>
                  <c:pt idx="7">
                    <c:v>0.0133895486966766</c:v>
                  </c:pt>
                  <c:pt idx="8">
                    <c:v>0.0233902135239139</c:v>
                  </c:pt>
                  <c:pt idx="9">
                    <c:v>0.0272461786505778</c:v>
                  </c:pt>
                  <c:pt idx="10">
                    <c:v>0.0494010387425125</c:v>
                  </c:pt>
                  <c:pt idx="11">
                    <c:v>0.0137013829421009</c:v>
                  </c:pt>
                  <c:pt idx="12">
                    <c:v>0.0362824469856234</c:v>
                  </c:pt>
                  <c:pt idx="13">
                    <c:v>0.0597756558499321</c:v>
                  </c:pt>
                  <c:pt idx="14">
                    <c:v>0.0412203121891672</c:v>
                  </c:pt>
                  <c:pt idx="15">
                    <c:v>0.0495406497295585</c:v>
                  </c:pt>
                  <c:pt idx="16">
                    <c:v>0.131214399752768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0.025668744453469</c:v>
                  </c:pt>
                  <c:pt idx="1">
                    <c:v>1.89039238358016E-16</c:v>
                  </c:pt>
                  <c:pt idx="2">
                    <c:v>0.0222589242432781</c:v>
                  </c:pt>
                  <c:pt idx="3">
                    <c:v>0.0223196166065862</c:v>
                  </c:pt>
                  <c:pt idx="4">
                    <c:v>0.0342618454447466</c:v>
                  </c:pt>
                  <c:pt idx="5">
                    <c:v>1.92413769650867E-16</c:v>
                  </c:pt>
                  <c:pt idx="6">
                    <c:v>0.0396544390241184</c:v>
                  </c:pt>
                  <c:pt idx="7">
                    <c:v>0.0133895486966766</c:v>
                  </c:pt>
                  <c:pt idx="8">
                    <c:v>0.0233902135239139</c:v>
                  </c:pt>
                  <c:pt idx="9">
                    <c:v>0.0272461786505778</c:v>
                  </c:pt>
                  <c:pt idx="10">
                    <c:v>0.0494010387425125</c:v>
                  </c:pt>
                  <c:pt idx="11">
                    <c:v>0.0137013829421009</c:v>
                  </c:pt>
                  <c:pt idx="12">
                    <c:v>0.0362824469856234</c:v>
                  </c:pt>
                  <c:pt idx="13">
                    <c:v>0.0597756558499321</c:v>
                  </c:pt>
                  <c:pt idx="14">
                    <c:v>0.0412203121891672</c:v>
                  </c:pt>
                  <c:pt idx="15">
                    <c:v>0.0495406497295585</c:v>
                  </c:pt>
                  <c:pt idx="16">
                    <c:v>0.131214399752768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0.941060889018099</c:v>
                </c:pt>
                <c:pt idx="1">
                  <c:v>0.978743202071141</c:v>
                </c:pt>
                <c:pt idx="2">
                  <c:v>1.02391051519079</c:v>
                </c:pt>
                <c:pt idx="3">
                  <c:v>1.07134159711614</c:v>
                </c:pt>
                <c:pt idx="4">
                  <c:v>1.106529049024551</c:v>
                </c:pt>
                <c:pt idx="5">
                  <c:v>1.064138434640069</c:v>
                </c:pt>
                <c:pt idx="6">
                  <c:v>1.076041549121501</c:v>
                </c:pt>
                <c:pt idx="7">
                  <c:v>1.105455714842601</c:v>
                </c:pt>
                <c:pt idx="8">
                  <c:v>1.192900889719613</c:v>
                </c:pt>
                <c:pt idx="9">
                  <c:v>2.155090635227064</c:v>
                </c:pt>
                <c:pt idx="10">
                  <c:v>3.955248564946054</c:v>
                </c:pt>
                <c:pt idx="11">
                  <c:v>3.947338067816161</c:v>
                </c:pt>
                <c:pt idx="12">
                  <c:v>4.029996828205209</c:v>
                </c:pt>
                <c:pt idx="13">
                  <c:v>4.045831786272814</c:v>
                </c:pt>
                <c:pt idx="14">
                  <c:v>4.259941942590793</c:v>
                </c:pt>
                <c:pt idx="15">
                  <c:v>4.95803298718668</c:v>
                </c:pt>
                <c:pt idx="16">
                  <c:v>5.392249127341734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dPt>
            <c:idx val="13"/>
            <c:marker>
              <c:symbol val="triangle"/>
              <c:size val="8"/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0.117109158007323</c:v>
                  </c:pt>
                  <c:pt idx="1">
                    <c:v>0.0333680976620121</c:v>
                  </c:pt>
                  <c:pt idx="2">
                    <c:v>0.102008867359406</c:v>
                  </c:pt>
                  <c:pt idx="3">
                    <c:v>0.0885831492644806</c:v>
                  </c:pt>
                  <c:pt idx="4">
                    <c:v>0.0672926638180784</c:v>
                  </c:pt>
                  <c:pt idx="5">
                    <c:v>0.0854735634390342</c:v>
                  </c:pt>
                  <c:pt idx="6">
                    <c:v>0.547706872623921</c:v>
                  </c:pt>
                  <c:pt idx="7">
                    <c:v>0.35534767121875</c:v>
                  </c:pt>
                  <c:pt idx="8">
                    <c:v>0.299785747900834</c:v>
                  </c:pt>
                  <c:pt idx="9">
                    <c:v>0.354547328901003</c:v>
                  </c:pt>
                  <c:pt idx="10">
                    <c:v>0.969275335962022</c:v>
                  </c:pt>
                  <c:pt idx="11">
                    <c:v>0.544950973746853</c:v>
                  </c:pt>
                  <c:pt idx="12">
                    <c:v>0.843425586559366</c:v>
                  </c:pt>
                  <c:pt idx="13">
                    <c:v>0.1632800744945</c:v>
                  </c:pt>
                  <c:pt idx="14">
                    <c:v>0.518569825788795</c:v>
                  </c:pt>
                  <c:pt idx="15">
                    <c:v>0.577116404196531</c:v>
                  </c:pt>
                  <c:pt idx="16">
                    <c:v>2.03312189900901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0.117109158007323</c:v>
                  </c:pt>
                  <c:pt idx="1">
                    <c:v>0.0333680976620121</c:v>
                  </c:pt>
                  <c:pt idx="2">
                    <c:v>0.102008867359406</c:v>
                  </c:pt>
                  <c:pt idx="3">
                    <c:v>0.0885831492644806</c:v>
                  </c:pt>
                  <c:pt idx="4">
                    <c:v>0.0672926638180784</c:v>
                  </c:pt>
                  <c:pt idx="5">
                    <c:v>0.0854735634390342</c:v>
                  </c:pt>
                  <c:pt idx="6">
                    <c:v>0.547706872623921</c:v>
                  </c:pt>
                  <c:pt idx="7">
                    <c:v>0.35534767121875</c:v>
                  </c:pt>
                  <c:pt idx="8">
                    <c:v>0.299785747900834</c:v>
                  </c:pt>
                  <c:pt idx="9">
                    <c:v>0.354547328901003</c:v>
                  </c:pt>
                  <c:pt idx="10">
                    <c:v>0.969275335962022</c:v>
                  </c:pt>
                  <c:pt idx="11">
                    <c:v>0.544950973746853</c:v>
                  </c:pt>
                  <c:pt idx="12">
                    <c:v>0.843425586559366</c:v>
                  </c:pt>
                  <c:pt idx="13">
                    <c:v>0.1632800744945</c:v>
                  </c:pt>
                  <c:pt idx="14">
                    <c:v>0.518569825788795</c:v>
                  </c:pt>
                  <c:pt idx="15">
                    <c:v>0.577116404196531</c:v>
                  </c:pt>
                  <c:pt idx="16">
                    <c:v>2.03312189900901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3.45692341402314</c:v>
                </c:pt>
                <c:pt idx="1">
                  <c:v>3.737226938145355</c:v>
                </c:pt>
                <c:pt idx="2">
                  <c:v>4.084739327067758</c:v>
                </c:pt>
                <c:pt idx="3">
                  <c:v>4.821304799411582</c:v>
                </c:pt>
                <c:pt idx="4">
                  <c:v>6.46009572653552</c:v>
                </c:pt>
                <c:pt idx="5">
                  <c:v>9.600420038045838</c:v>
                </c:pt>
                <c:pt idx="6">
                  <c:v>15.54622912201138</c:v>
                </c:pt>
                <c:pt idx="7">
                  <c:v>28.64294247320275</c:v>
                </c:pt>
                <c:pt idx="8">
                  <c:v>37.89424927515246</c:v>
                </c:pt>
                <c:pt idx="9">
                  <c:v>50.74576281175742</c:v>
                </c:pt>
                <c:pt idx="10">
                  <c:v>59.60494907039135</c:v>
                </c:pt>
                <c:pt idx="11">
                  <c:v>61.20691365818804</c:v>
                </c:pt>
                <c:pt idx="12">
                  <c:v>62.57926908212433</c:v>
                </c:pt>
                <c:pt idx="13">
                  <c:v>62.42486967083802</c:v>
                </c:pt>
                <c:pt idx="14">
                  <c:v>62.58178282907434</c:v>
                </c:pt>
                <c:pt idx="15">
                  <c:v>64.92607094798053</c:v>
                </c:pt>
                <c:pt idx="16">
                  <c:v>65.99716877334245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0.0664524585633997</c:v>
                  </c:pt>
                  <c:pt idx="1">
                    <c:v>0.0251329147090784</c:v>
                  </c:pt>
                  <c:pt idx="2">
                    <c:v>0.0251495921574587</c:v>
                  </c:pt>
                  <c:pt idx="3">
                    <c:v>0.0436791454251855</c:v>
                  </c:pt>
                  <c:pt idx="4">
                    <c:v>0.0438944651561547</c:v>
                  </c:pt>
                  <c:pt idx="5">
                    <c:v>0.117229440987596</c:v>
                  </c:pt>
                  <c:pt idx="6">
                    <c:v>0.225509454538243</c:v>
                  </c:pt>
                  <c:pt idx="7">
                    <c:v>0.114216840437371</c:v>
                  </c:pt>
                  <c:pt idx="8">
                    <c:v>0.0264277969668709</c:v>
                  </c:pt>
                  <c:pt idx="9">
                    <c:v>0.0461767788116416</c:v>
                  </c:pt>
                  <c:pt idx="10">
                    <c:v>0.139326487793746</c:v>
                  </c:pt>
                  <c:pt idx="11">
                    <c:v>0.0464421625979154</c:v>
                  </c:pt>
                  <c:pt idx="12">
                    <c:v>0.0268370609162052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0.0664524585633997</c:v>
                  </c:pt>
                  <c:pt idx="1">
                    <c:v>0.0251329147090784</c:v>
                  </c:pt>
                  <c:pt idx="2">
                    <c:v>0.0251495921574587</c:v>
                  </c:pt>
                  <c:pt idx="3">
                    <c:v>0.0436791454251855</c:v>
                  </c:pt>
                  <c:pt idx="4">
                    <c:v>0.0438944651561547</c:v>
                  </c:pt>
                  <c:pt idx="5">
                    <c:v>0.117229440987596</c:v>
                  </c:pt>
                  <c:pt idx="6">
                    <c:v>0.225509454538243</c:v>
                  </c:pt>
                  <c:pt idx="7">
                    <c:v>0.114216840437371</c:v>
                  </c:pt>
                  <c:pt idx="8">
                    <c:v>0.0264277969668709</c:v>
                  </c:pt>
                  <c:pt idx="9">
                    <c:v>0.0461767788116416</c:v>
                  </c:pt>
                  <c:pt idx="10">
                    <c:v>0.139326487793746</c:v>
                  </c:pt>
                  <c:pt idx="11">
                    <c:v>0.0464421625979154</c:v>
                  </c:pt>
                  <c:pt idx="12">
                    <c:v>0.0268370609162052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1.102084763461185</c:v>
                </c:pt>
                <c:pt idx="1">
                  <c:v>0.972203169878024</c:v>
                </c:pt>
                <c:pt idx="2">
                  <c:v>0.972848294741911</c:v>
                </c:pt>
                <c:pt idx="3">
                  <c:v>1.441411799031121</c:v>
                </c:pt>
                <c:pt idx="4">
                  <c:v>2.98482363061852</c:v>
                </c:pt>
                <c:pt idx="5">
                  <c:v>5.317027666085155</c:v>
                </c:pt>
                <c:pt idx="6">
                  <c:v>5.570653718563837</c:v>
                </c:pt>
                <c:pt idx="7">
                  <c:v>8.184459037663883</c:v>
                </c:pt>
                <c:pt idx="8">
                  <c:v>8.727630736345473</c:v>
                </c:pt>
                <c:pt idx="9">
                  <c:v>7.065047158181155</c:v>
                </c:pt>
                <c:pt idx="10">
                  <c:v>3.761815170431142</c:v>
                </c:pt>
                <c:pt idx="11">
                  <c:v>1.486149203133291</c:v>
                </c:pt>
                <c:pt idx="12">
                  <c:v>0.309887686884589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0.00908272130692046</c:v>
                </c:pt>
                <c:pt idx="1">
                  <c:v>0.0403991430819548</c:v>
                </c:pt>
                <c:pt idx="2">
                  <c:v>0.0933623012344766</c:v>
                </c:pt>
                <c:pt idx="3">
                  <c:v>0.163533736492059</c:v>
                </c:pt>
                <c:pt idx="4">
                  <c:v>0.253536886196735</c:v>
                </c:pt>
                <c:pt idx="5">
                  <c:v>0.364825281294589</c:v>
                </c:pt>
                <c:pt idx="6">
                  <c:v>0.500084167309259</c:v>
                </c:pt>
                <c:pt idx="7">
                  <c:v>0.672407468336615</c:v>
                </c:pt>
                <c:pt idx="8">
                  <c:v>0.898908531698571</c:v>
                </c:pt>
                <c:pt idx="9">
                  <c:v>1.136316917566102</c:v>
                </c:pt>
                <c:pt idx="10">
                  <c:v>1.486447184993906</c:v>
                </c:pt>
                <c:pt idx="11">
                  <c:v>2.048751020509315</c:v>
                </c:pt>
                <c:pt idx="12">
                  <c:v>2.807270040653546</c:v>
                </c:pt>
                <c:pt idx="13">
                  <c:v>3.786385625159007</c:v>
                </c:pt>
                <c:pt idx="14">
                  <c:v>4.962406737468989</c:v>
                </c:pt>
                <c:pt idx="15">
                  <c:v>6.365754339746674</c:v>
                </c:pt>
                <c:pt idx="16">
                  <c:v>7.997684504632117</c:v>
                </c:pt>
                <c:pt idx="17">
                  <c:v>9.822955977951855</c:v>
                </c:pt>
                <c:pt idx="18">
                  <c:v>11.85073923237954</c:v>
                </c:pt>
                <c:pt idx="19">
                  <c:v>14.04026671579805</c:v>
                </c:pt>
                <c:pt idx="20">
                  <c:v>16.35046313040571</c:v>
                </c:pt>
                <c:pt idx="21">
                  <c:v>18.71600195840772</c:v>
                </c:pt>
                <c:pt idx="22">
                  <c:v>21.0707818240307</c:v>
                </c:pt>
                <c:pt idx="23">
                  <c:v>23.44221432083828</c:v>
                </c:pt>
                <c:pt idx="24">
                  <c:v>25.81692551624642</c:v>
                </c:pt>
                <c:pt idx="25">
                  <c:v>28.14153505602326</c:v>
                </c:pt>
                <c:pt idx="26">
                  <c:v>30.46405735508432</c:v>
                </c:pt>
                <c:pt idx="27">
                  <c:v>32.81531133607096</c:v>
                </c:pt>
                <c:pt idx="28">
                  <c:v>35.20793908617503</c:v>
                </c:pt>
                <c:pt idx="29">
                  <c:v>37.55377643425921</c:v>
                </c:pt>
                <c:pt idx="30">
                  <c:v>39.67675860779527</c:v>
                </c:pt>
                <c:pt idx="31">
                  <c:v>41.60641877788471</c:v>
                </c:pt>
                <c:pt idx="32">
                  <c:v>43.41246371220502</c:v>
                </c:pt>
                <c:pt idx="33">
                  <c:v>45.07749403958191</c:v>
                </c:pt>
                <c:pt idx="34">
                  <c:v>46.64391527440854</c:v>
                </c:pt>
                <c:pt idx="35">
                  <c:v>48.11271327805525</c:v>
                </c:pt>
                <c:pt idx="36">
                  <c:v>49.45501313183949</c:v>
                </c:pt>
                <c:pt idx="37">
                  <c:v>50.67486560822404</c:v>
                </c:pt>
                <c:pt idx="38">
                  <c:v>51.75757754165188</c:v>
                </c:pt>
                <c:pt idx="39">
                  <c:v>52.71219587124742</c:v>
                </c:pt>
                <c:pt idx="40">
                  <c:v>53.54340885376885</c:v>
                </c:pt>
                <c:pt idx="41">
                  <c:v>54.26422955098656</c:v>
                </c:pt>
                <c:pt idx="42">
                  <c:v>54.8828279900131</c:v>
                </c:pt>
                <c:pt idx="43">
                  <c:v>55.41366101258491</c:v>
                </c:pt>
                <c:pt idx="44">
                  <c:v>55.87269320224944</c:v>
                </c:pt>
                <c:pt idx="45">
                  <c:v>56.2677200919583</c:v>
                </c:pt>
                <c:pt idx="46">
                  <c:v>56.61242170439955</c:v>
                </c:pt>
                <c:pt idx="47">
                  <c:v>56.91715155806492</c:v>
                </c:pt>
                <c:pt idx="48">
                  <c:v>57.1944661991875</c:v>
                </c:pt>
                <c:pt idx="49">
                  <c:v>57.44630486940957</c:v>
                </c:pt>
                <c:pt idx="50">
                  <c:v>57.66749327187465</c:v>
                </c:pt>
                <c:pt idx="51">
                  <c:v>57.8619028010793</c:v>
                </c:pt>
                <c:pt idx="52">
                  <c:v>58.03437477373529</c:v>
                </c:pt>
                <c:pt idx="53">
                  <c:v>58.18848976319394</c:v>
                </c:pt>
                <c:pt idx="54">
                  <c:v>58.32732342338509</c:v>
                </c:pt>
                <c:pt idx="55">
                  <c:v>58.45673572262545</c:v>
                </c:pt>
                <c:pt idx="56">
                  <c:v>58.58144252536805</c:v>
                </c:pt>
                <c:pt idx="57">
                  <c:v>58.70438366532875</c:v>
                </c:pt>
                <c:pt idx="58">
                  <c:v>58.8282755467874</c:v>
                </c:pt>
                <c:pt idx="59">
                  <c:v>58.95829903699072</c:v>
                </c:pt>
                <c:pt idx="60">
                  <c:v>59.10270132595558</c:v>
                </c:pt>
                <c:pt idx="61">
                  <c:v>59.27584041918312</c:v>
                </c:pt>
                <c:pt idx="62">
                  <c:v>59.48787116772795</c:v>
                </c:pt>
                <c:pt idx="63">
                  <c:v>59.74652417542451</c:v>
                </c:pt>
                <c:pt idx="64">
                  <c:v>60.06580267928464</c:v>
                </c:pt>
                <c:pt idx="65">
                  <c:v>60.41506165287886</c:v>
                </c:pt>
                <c:pt idx="66">
                  <c:v>60.74744329105567</c:v>
                </c:pt>
                <c:pt idx="67">
                  <c:v>61.05041720243984</c:v>
                </c:pt>
                <c:pt idx="68">
                  <c:v>61.31713014610996</c:v>
                </c:pt>
                <c:pt idx="69">
                  <c:v>61.55093769616951</c:v>
                </c:pt>
                <c:pt idx="70">
                  <c:v>61.75767002599562</c:v>
                </c:pt>
                <c:pt idx="71">
                  <c:v>61.93809388973604</c:v>
                </c:pt>
                <c:pt idx="72">
                  <c:v>62.09619881360495</c:v>
                </c:pt>
                <c:pt idx="73">
                  <c:v>62.23553438291214</c:v>
                </c:pt>
                <c:pt idx="74">
                  <c:v>62.3603043559644</c:v>
                </c:pt>
                <c:pt idx="75">
                  <c:v>62.47188921813394</c:v>
                </c:pt>
                <c:pt idx="76">
                  <c:v>62.57101528179591</c:v>
                </c:pt>
                <c:pt idx="77">
                  <c:v>62.66018884382953</c:v>
                </c:pt>
                <c:pt idx="78">
                  <c:v>62.74019742577931</c:v>
                </c:pt>
                <c:pt idx="79">
                  <c:v>62.81217667634016</c:v>
                </c:pt>
                <c:pt idx="80">
                  <c:v>62.87774262688406</c:v>
                </c:pt>
                <c:pt idx="81">
                  <c:v>62.93859328534905</c:v>
                </c:pt>
                <c:pt idx="82">
                  <c:v>62.99682561229454</c:v>
                </c:pt>
                <c:pt idx="83">
                  <c:v>63.05228549177639</c:v>
                </c:pt>
                <c:pt idx="84">
                  <c:v>63.10414496047752</c:v>
                </c:pt>
                <c:pt idx="85">
                  <c:v>63.15362164365894</c:v>
                </c:pt>
                <c:pt idx="86">
                  <c:v>63.20077620397951</c:v>
                </c:pt>
                <c:pt idx="87">
                  <c:v>63.24506650308247</c:v>
                </c:pt>
                <c:pt idx="88">
                  <c:v>63.2881905489058</c:v>
                </c:pt>
                <c:pt idx="89">
                  <c:v>63.33010735316654</c:v>
                </c:pt>
                <c:pt idx="90">
                  <c:v>63.37164597220257</c:v>
                </c:pt>
                <c:pt idx="91">
                  <c:v>63.4144836465552</c:v>
                </c:pt>
                <c:pt idx="92">
                  <c:v>63.45794488932022</c:v>
                </c:pt>
                <c:pt idx="93">
                  <c:v>63.50252101338345</c:v>
                </c:pt>
                <c:pt idx="94">
                  <c:v>63.54813058868929</c:v>
                </c:pt>
                <c:pt idx="95">
                  <c:v>63.5956529505362</c:v>
                </c:pt>
                <c:pt idx="96">
                  <c:v>63.64939475140419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1.069708546310125</c:v>
                  </c:pt>
                  <c:pt idx="1">
                    <c:v>0.154245806526422</c:v>
                  </c:pt>
                  <c:pt idx="2">
                    <c:v>0.192767938555923</c:v>
                  </c:pt>
                  <c:pt idx="3">
                    <c:v>0.269996642151428</c:v>
                  </c:pt>
                  <c:pt idx="4">
                    <c:v>0.358231194157447</c:v>
                  </c:pt>
                  <c:pt idx="5">
                    <c:v>0.323975543150305</c:v>
                  </c:pt>
                  <c:pt idx="6">
                    <c:v>1.058999575970463</c:v>
                  </c:pt>
                  <c:pt idx="7">
                    <c:v>0.311432958655093</c:v>
                  </c:pt>
                  <c:pt idx="8">
                    <c:v>0.0913417037972687</c:v>
                  </c:pt>
                  <c:pt idx="9">
                    <c:v>0.0500544263509713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1.069708546310125</c:v>
                  </c:pt>
                  <c:pt idx="1">
                    <c:v>0.154245806526422</c:v>
                  </c:pt>
                  <c:pt idx="2">
                    <c:v>0.192767938555923</c:v>
                  </c:pt>
                  <c:pt idx="3">
                    <c:v>0.269996642151428</c:v>
                  </c:pt>
                  <c:pt idx="4">
                    <c:v>0.358231194157447</c:v>
                  </c:pt>
                  <c:pt idx="5">
                    <c:v>0.323975543150305</c:v>
                  </c:pt>
                  <c:pt idx="6">
                    <c:v>1.058999575970463</c:v>
                  </c:pt>
                  <c:pt idx="7">
                    <c:v>0.311432958655093</c:v>
                  </c:pt>
                  <c:pt idx="8">
                    <c:v>0.0913417037972687</c:v>
                  </c:pt>
                  <c:pt idx="9">
                    <c:v>0.0500544263509713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47.01228984547505</c:v>
                </c:pt>
                <c:pt idx="1">
                  <c:v>47.29479935159676</c:v>
                </c:pt>
                <c:pt idx="2">
                  <c:v>47.912334433656</c:v>
                </c:pt>
                <c:pt idx="3">
                  <c:v>45.76265391570397</c:v>
                </c:pt>
                <c:pt idx="4">
                  <c:v>43.53967511482752</c:v>
                </c:pt>
                <c:pt idx="5">
                  <c:v>36.70145537343726</c:v>
                </c:pt>
                <c:pt idx="6">
                  <c:v>26.11499419215444</c:v>
                </c:pt>
                <c:pt idx="7">
                  <c:v>19.56579310675959</c:v>
                </c:pt>
                <c:pt idx="8">
                  <c:v>12.77105658405704</c:v>
                </c:pt>
                <c:pt idx="9">
                  <c:v>5.568628356718106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0.0131213284551611</c:v>
                  </c:pt>
                  <c:pt idx="1">
                    <c:v>0.0347382271843438</c:v>
                  </c:pt>
                  <c:pt idx="2">
                    <c:v>0.0227565985226931</c:v>
                  </c:pt>
                  <c:pt idx="3">
                    <c:v>0.0131743524909141</c:v>
                  </c:pt>
                  <c:pt idx="4">
                    <c:v>0.0132392964820665</c:v>
                  </c:pt>
                  <c:pt idx="5">
                    <c:v>0.104377703615446</c:v>
                  </c:pt>
                  <c:pt idx="6">
                    <c:v>0.433070851451228</c:v>
                  </c:pt>
                  <c:pt idx="7">
                    <c:v>0.277854684615924</c:v>
                  </c:pt>
                  <c:pt idx="8">
                    <c:v>0.131703534888227</c:v>
                  </c:pt>
                  <c:pt idx="9">
                    <c:v>0.141350514260136</c:v>
                  </c:pt>
                  <c:pt idx="10">
                    <c:v>0.203473946501978</c:v>
                  </c:pt>
                  <c:pt idx="11">
                    <c:v>0.0840463449386756</c:v>
                  </c:pt>
                  <c:pt idx="12">
                    <c:v>0.203653535157319</c:v>
                  </c:pt>
                  <c:pt idx="13">
                    <c:v>0.105849339765568</c:v>
                  </c:pt>
                  <c:pt idx="14">
                    <c:v>0.231247924553508</c:v>
                  </c:pt>
                  <c:pt idx="15">
                    <c:v>0.184228756894947</c:v>
                  </c:pt>
                  <c:pt idx="16">
                    <c:v>0.766505550533545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0.0131213284551611</c:v>
                  </c:pt>
                  <c:pt idx="1">
                    <c:v>0.0347382271843438</c:v>
                  </c:pt>
                  <c:pt idx="2">
                    <c:v>0.0227565985226931</c:v>
                  </c:pt>
                  <c:pt idx="3">
                    <c:v>0.0131743524909141</c:v>
                  </c:pt>
                  <c:pt idx="4">
                    <c:v>0.0132392964820665</c:v>
                  </c:pt>
                  <c:pt idx="5">
                    <c:v>0.104377703615446</c:v>
                  </c:pt>
                  <c:pt idx="6">
                    <c:v>0.433070851451228</c:v>
                  </c:pt>
                  <c:pt idx="7">
                    <c:v>0.277854684615924</c:v>
                  </c:pt>
                  <c:pt idx="8">
                    <c:v>0.131703534888227</c:v>
                  </c:pt>
                  <c:pt idx="9">
                    <c:v>0.141350514260136</c:v>
                  </c:pt>
                  <c:pt idx="10">
                    <c:v>0.203473946501978</c:v>
                  </c:pt>
                  <c:pt idx="11">
                    <c:v>0.0840463449386756</c:v>
                  </c:pt>
                  <c:pt idx="12">
                    <c:v>0.203653535157319</c:v>
                  </c:pt>
                  <c:pt idx="13">
                    <c:v>0.105849339765568</c:v>
                  </c:pt>
                  <c:pt idx="14">
                    <c:v>0.231247924553508</c:v>
                  </c:pt>
                  <c:pt idx="15">
                    <c:v>0.184228756894947</c:v>
                  </c:pt>
                  <c:pt idx="16">
                    <c:v>0.766505550533545</c:v>
                  </c:pt>
                </c:numCache>
              </c:numRef>
            </c:minus>
          </c:errBars>
          <c:xVal>
            <c:numRef>
              <c:f>Metabolites!$E$25:$E$41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0.416658138364202</c:v>
                </c:pt>
                <c:pt idx="1">
                  <c:v>0.515474179976016</c:v>
                </c:pt>
                <c:pt idx="2">
                  <c:v>0.705454554203485</c:v>
                </c:pt>
                <c:pt idx="3">
                  <c:v>1.855916693514903</c:v>
                </c:pt>
                <c:pt idx="4">
                  <c:v>4.685595080722855</c:v>
                </c:pt>
                <c:pt idx="5">
                  <c:v>9.104669809659695</c:v>
                </c:pt>
                <c:pt idx="6">
                  <c:v>12.57703131117712</c:v>
                </c:pt>
                <c:pt idx="7">
                  <c:v>18.98372749295719</c:v>
                </c:pt>
                <c:pt idx="8">
                  <c:v>21.45809499095218</c:v>
                </c:pt>
                <c:pt idx="9">
                  <c:v>22.93335925188968</c:v>
                </c:pt>
                <c:pt idx="10">
                  <c:v>23.4937904226907</c:v>
                </c:pt>
                <c:pt idx="11">
                  <c:v>23.65553768893987</c:v>
                </c:pt>
                <c:pt idx="12">
                  <c:v>23.959723909205</c:v>
                </c:pt>
                <c:pt idx="13">
                  <c:v>23.65213285901926</c:v>
                </c:pt>
                <c:pt idx="14">
                  <c:v>24.31443595931189</c:v>
                </c:pt>
                <c:pt idx="15">
                  <c:v>25.46608702876562</c:v>
                </c:pt>
                <c:pt idx="16">
                  <c:v>25.89965827019863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0.0164986229062794</c:v>
                </c:pt>
                <c:pt idx="1">
                  <c:v>0.0950050700275363</c:v>
                </c:pt>
                <c:pt idx="2">
                  <c:v>0.249433252065996</c:v>
                </c:pt>
                <c:pt idx="3">
                  <c:v>0.482285377455713</c:v>
                </c:pt>
                <c:pt idx="4">
                  <c:v>0.817093762109598</c:v>
                </c:pt>
                <c:pt idx="5">
                  <c:v>1.236784555702481</c:v>
                </c:pt>
                <c:pt idx="6">
                  <c:v>1.763119969627467</c:v>
                </c:pt>
                <c:pt idx="7">
                  <c:v>2.503221976753683</c:v>
                </c:pt>
                <c:pt idx="8">
                  <c:v>3.516543142458654</c:v>
                </c:pt>
                <c:pt idx="9">
                  <c:v>4.599707538507843</c:v>
                </c:pt>
                <c:pt idx="10">
                  <c:v>6.019474835858256</c:v>
                </c:pt>
                <c:pt idx="11">
                  <c:v>8.022115853163988</c:v>
                </c:pt>
                <c:pt idx="12">
                  <c:v>10.45604691888715</c:v>
                </c:pt>
                <c:pt idx="13">
                  <c:v>13.4125254091881</c:v>
                </c:pt>
                <c:pt idx="14">
                  <c:v>16.39521328296351</c:v>
                </c:pt>
                <c:pt idx="15">
                  <c:v>19.0460160254054</c:v>
                </c:pt>
                <c:pt idx="16">
                  <c:v>21.63892985518515</c:v>
                </c:pt>
                <c:pt idx="17">
                  <c:v>24.28130909176569</c:v>
                </c:pt>
                <c:pt idx="18">
                  <c:v>27.07644037575741</c:v>
                </c:pt>
                <c:pt idx="19">
                  <c:v>29.80467689313306</c:v>
                </c:pt>
                <c:pt idx="20">
                  <c:v>32.3984658079073</c:v>
                </c:pt>
                <c:pt idx="21">
                  <c:v>35.13389869633229</c:v>
                </c:pt>
                <c:pt idx="22">
                  <c:v>37.92367253493207</c:v>
                </c:pt>
                <c:pt idx="23">
                  <c:v>40.75922254357634</c:v>
                </c:pt>
                <c:pt idx="24">
                  <c:v>43.38597721167754</c:v>
                </c:pt>
                <c:pt idx="25">
                  <c:v>45.78088900193046</c:v>
                </c:pt>
                <c:pt idx="26">
                  <c:v>48.22866980962094</c:v>
                </c:pt>
                <c:pt idx="27">
                  <c:v>50.36992394400438</c:v>
                </c:pt>
                <c:pt idx="28">
                  <c:v>51.99108858677683</c:v>
                </c:pt>
                <c:pt idx="29">
                  <c:v>53.33546719935481</c:v>
                </c:pt>
                <c:pt idx="30">
                  <c:v>54.53957648617034</c:v>
                </c:pt>
                <c:pt idx="31">
                  <c:v>55.64999259159202</c:v>
                </c:pt>
                <c:pt idx="32">
                  <c:v>56.6152654333042</c:v>
                </c:pt>
                <c:pt idx="33">
                  <c:v>57.53030753386715</c:v>
                </c:pt>
                <c:pt idx="34">
                  <c:v>58.3846728341543</c:v>
                </c:pt>
                <c:pt idx="35">
                  <c:v>59.04514347486156</c:v>
                </c:pt>
                <c:pt idx="36">
                  <c:v>59.5895549140539</c:v>
                </c:pt>
                <c:pt idx="37">
                  <c:v>59.99311997767761</c:v>
                </c:pt>
                <c:pt idx="38">
                  <c:v>60.2524759820888</c:v>
                </c:pt>
                <c:pt idx="39">
                  <c:v>60.39915465207854</c:v>
                </c:pt>
                <c:pt idx="40">
                  <c:v>60.46887794567046</c:v>
                </c:pt>
                <c:pt idx="41">
                  <c:v>60.50728971899098</c:v>
                </c:pt>
                <c:pt idx="42">
                  <c:v>60.53749875188892</c:v>
                </c:pt>
                <c:pt idx="43">
                  <c:v>60.56744314875656</c:v>
                </c:pt>
                <c:pt idx="44">
                  <c:v>60.59456492405378</c:v>
                </c:pt>
                <c:pt idx="45">
                  <c:v>60.62128974530556</c:v>
                </c:pt>
                <c:pt idx="46">
                  <c:v>60.65136646018835</c:v>
                </c:pt>
                <c:pt idx="47">
                  <c:v>60.6851036479847</c:v>
                </c:pt>
                <c:pt idx="48">
                  <c:v>60.71711858579791</c:v>
                </c:pt>
                <c:pt idx="49">
                  <c:v>60.75129914232318</c:v>
                </c:pt>
                <c:pt idx="50">
                  <c:v>60.79081764061748</c:v>
                </c:pt>
                <c:pt idx="51">
                  <c:v>60.82916559676218</c:v>
                </c:pt>
                <c:pt idx="52">
                  <c:v>60.87041658038154</c:v>
                </c:pt>
                <c:pt idx="53">
                  <c:v>60.91428961988782</c:v>
                </c:pt>
                <c:pt idx="54">
                  <c:v>60.95839645678537</c:v>
                </c:pt>
                <c:pt idx="55">
                  <c:v>61.00395480742025</c:v>
                </c:pt>
                <c:pt idx="56">
                  <c:v>61.0541958450513</c:v>
                </c:pt>
                <c:pt idx="57">
                  <c:v>61.10607605641001</c:v>
                </c:pt>
                <c:pt idx="58">
                  <c:v>61.16385563431544</c:v>
                </c:pt>
                <c:pt idx="59">
                  <c:v>61.22247760858628</c:v>
                </c:pt>
                <c:pt idx="60">
                  <c:v>61.27365487257791</c:v>
                </c:pt>
                <c:pt idx="61">
                  <c:v>61.33577471832697</c:v>
                </c:pt>
                <c:pt idx="62">
                  <c:v>61.41110134533467</c:v>
                </c:pt>
                <c:pt idx="63">
                  <c:v>61.49185755356677</c:v>
                </c:pt>
                <c:pt idx="64">
                  <c:v>61.5727618661282</c:v>
                </c:pt>
                <c:pt idx="65">
                  <c:v>61.6660561168817</c:v>
                </c:pt>
                <c:pt idx="66">
                  <c:v>61.76606370188389</c:v>
                </c:pt>
                <c:pt idx="67">
                  <c:v>61.85002901942144</c:v>
                </c:pt>
                <c:pt idx="68">
                  <c:v>61.91444675153028</c:v>
                </c:pt>
                <c:pt idx="69">
                  <c:v>61.96272275127436</c:v>
                </c:pt>
                <c:pt idx="70">
                  <c:v>62.00319950052487</c:v>
                </c:pt>
                <c:pt idx="71">
                  <c:v>62.03849314475957</c:v>
                </c:pt>
                <c:pt idx="72">
                  <c:v>62.07408299765292</c:v>
                </c:pt>
                <c:pt idx="73">
                  <c:v>62.11041337219287</c:v>
                </c:pt>
                <c:pt idx="74">
                  <c:v>62.1420541406446</c:v>
                </c:pt>
                <c:pt idx="75">
                  <c:v>62.17344843288774</c:v>
                </c:pt>
                <c:pt idx="76">
                  <c:v>62.20879180957252</c:v>
                </c:pt>
                <c:pt idx="77">
                  <c:v>62.2460108100884</c:v>
                </c:pt>
                <c:pt idx="78">
                  <c:v>62.28372330953187</c:v>
                </c:pt>
                <c:pt idx="79">
                  <c:v>62.31951045269417</c:v>
                </c:pt>
                <c:pt idx="80">
                  <c:v>62.35539651424617</c:v>
                </c:pt>
                <c:pt idx="81">
                  <c:v>62.39182580717581</c:v>
                </c:pt>
                <c:pt idx="82">
                  <c:v>62.42707026547089</c:v>
                </c:pt>
                <c:pt idx="83">
                  <c:v>62.4630055129625</c:v>
                </c:pt>
                <c:pt idx="84">
                  <c:v>62.49908886478344</c:v>
                </c:pt>
                <c:pt idx="85">
                  <c:v>62.53462953173715</c:v>
                </c:pt>
                <c:pt idx="86">
                  <c:v>62.5711577430565</c:v>
                </c:pt>
                <c:pt idx="87">
                  <c:v>62.61064749445183</c:v>
                </c:pt>
                <c:pt idx="88">
                  <c:v>62.64584276680728</c:v>
                </c:pt>
                <c:pt idx="89">
                  <c:v>62.67689166445215</c:v>
                </c:pt>
                <c:pt idx="90">
                  <c:v>62.71346906171112</c:v>
                </c:pt>
                <c:pt idx="91">
                  <c:v>62.75147776981324</c:v>
                </c:pt>
                <c:pt idx="92">
                  <c:v>62.78504389454615</c:v>
                </c:pt>
                <c:pt idx="93">
                  <c:v>62.81599387380133</c:v>
                </c:pt>
                <c:pt idx="94">
                  <c:v>62.85271937538963</c:v>
                </c:pt>
                <c:pt idx="95">
                  <c:v>62.89290046249194</c:v>
                </c:pt>
                <c:pt idx="96">
                  <c:v>62.93344930701624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571000"/>
        <c:axId val="-2110135672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3458.0</c:v>
                </c:pt>
                <c:pt idx="1">
                  <c:v>6313.0</c:v>
                </c:pt>
                <c:pt idx="2">
                  <c:v>10495.0</c:v>
                </c:pt>
                <c:pt idx="3">
                  <c:v>26767.0</c:v>
                </c:pt>
                <c:pt idx="4">
                  <c:v>6340.0</c:v>
                </c:pt>
                <c:pt idx="5">
                  <c:v>13915.0</c:v>
                </c:pt>
                <c:pt idx="6">
                  <c:v>16883.0</c:v>
                </c:pt>
                <c:pt idx="7">
                  <c:v>25646.0</c:v>
                </c:pt>
                <c:pt idx="8">
                  <c:v>24956.0</c:v>
                </c:pt>
                <c:pt idx="9">
                  <c:v>25049.0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cytometer'!$X$4:$X$20</c:f>
                <c:numCache>
                  <c:formatCode>General</c:formatCode>
                  <c:ptCount val="17"/>
                  <c:pt idx="0">
                    <c:v>0.0350938520998181</c:v>
                  </c:pt>
                  <c:pt idx="1">
                    <c:v>0.0190674110410149</c:v>
                  </c:pt>
                  <c:pt idx="2">
                    <c:v>0.0140413154531526</c:v>
                  </c:pt>
                  <c:pt idx="3">
                    <c:v>0.0488940823771818</c:v>
                  </c:pt>
                  <c:pt idx="4">
                    <c:v>0.0214115444669459</c:v>
                  </c:pt>
                  <c:pt idx="5">
                    <c:v>0.00820633026071628</c:v>
                  </c:pt>
                  <c:pt idx="6">
                    <c:v>0.014642785375995</c:v>
                  </c:pt>
                  <c:pt idx="7">
                    <c:v>0.0145961675678217</c:v>
                  </c:pt>
                  <c:pt idx="8">
                    <c:v>0.0109769361844837</c:v>
                  </c:pt>
                  <c:pt idx="9">
                    <c:v>0.00742050307794914</c:v>
                  </c:pt>
                  <c:pt idx="10">
                    <c:v>0.00621996687991172</c:v>
                  </c:pt>
                  <c:pt idx="11">
                    <c:v>0.0159442912905659</c:v>
                  </c:pt>
                  <c:pt idx="12">
                    <c:v>0.00845376925768579</c:v>
                  </c:pt>
                  <c:pt idx="13">
                    <c:v>0.00635625536827817</c:v>
                  </c:pt>
                  <c:pt idx="14">
                    <c:v>0.0451804667382884</c:v>
                  </c:pt>
                  <c:pt idx="15">
                    <c:v>0.0593044622031185</c:v>
                  </c:pt>
                  <c:pt idx="16">
                    <c:v>0.0197704855824363</c:v>
                  </c:pt>
                </c:numCache>
              </c:numRef>
            </c:plus>
            <c:minus>
              <c:numRef>
                <c:f>'Flow cytometer'!$X$4:$X$20</c:f>
                <c:numCache>
                  <c:formatCode>General</c:formatCode>
                  <c:ptCount val="17"/>
                  <c:pt idx="0">
                    <c:v>0.0350938520998181</c:v>
                  </c:pt>
                  <c:pt idx="1">
                    <c:v>0.0190674110410149</c:v>
                  </c:pt>
                  <c:pt idx="2">
                    <c:v>0.0140413154531526</c:v>
                  </c:pt>
                  <c:pt idx="3">
                    <c:v>0.0488940823771818</c:v>
                  </c:pt>
                  <c:pt idx="4">
                    <c:v>0.0214115444669459</c:v>
                  </c:pt>
                  <c:pt idx="5">
                    <c:v>0.00820633026071628</c:v>
                  </c:pt>
                  <c:pt idx="6">
                    <c:v>0.014642785375995</c:v>
                  </c:pt>
                  <c:pt idx="7">
                    <c:v>0.0145961675678217</c:v>
                  </c:pt>
                  <c:pt idx="8">
                    <c:v>0.0109769361844837</c:v>
                  </c:pt>
                  <c:pt idx="9">
                    <c:v>0.00742050307794914</c:v>
                  </c:pt>
                  <c:pt idx="10">
                    <c:v>0.00621996687991172</c:v>
                  </c:pt>
                  <c:pt idx="11">
                    <c:v>0.0159442912905659</c:v>
                  </c:pt>
                  <c:pt idx="12">
                    <c:v>0.00845376925768579</c:v>
                  </c:pt>
                  <c:pt idx="13">
                    <c:v>0.00635625536827817</c:v>
                  </c:pt>
                  <c:pt idx="14">
                    <c:v>0.0451804667382884</c:v>
                  </c:pt>
                  <c:pt idx="15">
                    <c:v>0.0593044622031185</c:v>
                  </c:pt>
                  <c:pt idx="16">
                    <c:v>0.0197704855824363</c:v>
                  </c:pt>
                </c:numCache>
              </c:numRef>
            </c:minus>
          </c:errBars>
          <c:xVal>
            <c:numRef>
              <c:f>'Flow cytometer'!$D$4:$D$20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'Flow cytometer'!$S$4:$S$20</c:f>
              <c:numCache>
                <c:formatCode>0.00</c:formatCode>
                <c:ptCount val="17"/>
                <c:pt idx="0">
                  <c:v>7.680835475723326</c:v>
                </c:pt>
                <c:pt idx="1">
                  <c:v>7.953497610729486</c:v>
                </c:pt>
                <c:pt idx="2">
                  <c:v>8.188391964767733</c:v>
                </c:pt>
                <c:pt idx="3">
                  <c:v>8.558712713034413</c:v>
                </c:pt>
                <c:pt idx="4">
                  <c:v>8.96893762458954</c:v>
                </c:pt>
                <c:pt idx="5">
                  <c:v>9.30839365852509</c:v>
                </c:pt>
                <c:pt idx="6">
                  <c:v>9.418021098907912</c:v>
                </c:pt>
                <c:pt idx="7">
                  <c:v>9.576948802710437</c:v>
                </c:pt>
                <c:pt idx="8">
                  <c:v>9.5829556837682</c:v>
                </c:pt>
                <c:pt idx="9">
                  <c:v>9.596164575482925</c:v>
                </c:pt>
                <c:pt idx="10">
                  <c:v>9.602972218462443</c:v>
                </c:pt>
                <c:pt idx="11">
                  <c:v>9.533688560906634</c:v>
                </c:pt>
                <c:pt idx="12">
                  <c:v>9.611706312535155</c:v>
                </c:pt>
                <c:pt idx="13">
                  <c:v>9.598996750803543</c:v>
                </c:pt>
                <c:pt idx="14">
                  <c:v>9.457807599637064</c:v>
                </c:pt>
                <c:pt idx="15">
                  <c:v>9.350795521564345</c:v>
                </c:pt>
                <c:pt idx="16">
                  <c:v>9.186366086910231</c:v>
                </c:pt>
              </c:numCache>
            </c:numRef>
          </c:yVal>
          <c:smooth val="0"/>
        </c:ser>
        <c:ser>
          <c:idx val="5"/>
          <c:order val="9"/>
          <c:tx>
            <c:v>qPCR FP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FP'!$S$4:$S$20</c:f>
                <c:numCache>
                  <c:formatCode>General</c:formatCode>
                  <c:ptCount val="17"/>
                  <c:pt idx="0">
                    <c:v>0.0801703908050999</c:v>
                  </c:pt>
                  <c:pt idx="1">
                    <c:v>0.0915972938146726</c:v>
                  </c:pt>
                  <c:pt idx="2">
                    <c:v>0.00761327336690817</c:v>
                  </c:pt>
                  <c:pt idx="3">
                    <c:v>0.0334560463638527</c:v>
                  </c:pt>
                  <c:pt idx="4">
                    <c:v>0.106371791196624</c:v>
                  </c:pt>
                  <c:pt idx="5">
                    <c:v>0.0299034116025375</c:v>
                  </c:pt>
                  <c:pt idx="6">
                    <c:v>0.0136418614873108</c:v>
                  </c:pt>
                  <c:pt idx="7">
                    <c:v>0.0190500835113249</c:v>
                  </c:pt>
                  <c:pt idx="8">
                    <c:v>0.0267805412440907</c:v>
                  </c:pt>
                  <c:pt idx="9">
                    <c:v>0.0300036629089946</c:v>
                  </c:pt>
                  <c:pt idx="10">
                    <c:v>0.0379553380811084</c:v>
                  </c:pt>
                  <c:pt idx="11">
                    <c:v>0.0286462555972557</c:v>
                  </c:pt>
                  <c:pt idx="12">
                    <c:v>0.031053638822543</c:v>
                  </c:pt>
                  <c:pt idx="13">
                    <c:v>0.0189951812853075</c:v>
                  </c:pt>
                  <c:pt idx="14">
                    <c:v>0.0282559039262787</c:v>
                  </c:pt>
                  <c:pt idx="15">
                    <c:v>0.0443094934476918</c:v>
                  </c:pt>
                  <c:pt idx="16">
                    <c:v>0.297149512739426</c:v>
                  </c:pt>
                </c:numCache>
              </c:numRef>
            </c:plus>
            <c:minus>
              <c:numRef>
                <c:f>'Determination cell counts FP'!$S$4:$S$20</c:f>
                <c:numCache>
                  <c:formatCode>General</c:formatCode>
                  <c:ptCount val="17"/>
                  <c:pt idx="0">
                    <c:v>0.0801703908050999</c:v>
                  </c:pt>
                  <c:pt idx="1">
                    <c:v>0.0915972938146726</c:v>
                  </c:pt>
                  <c:pt idx="2">
                    <c:v>0.00761327336690817</c:v>
                  </c:pt>
                  <c:pt idx="3">
                    <c:v>0.0334560463638527</c:v>
                  </c:pt>
                  <c:pt idx="4">
                    <c:v>0.106371791196624</c:v>
                  </c:pt>
                  <c:pt idx="5">
                    <c:v>0.0299034116025375</c:v>
                  </c:pt>
                  <c:pt idx="6">
                    <c:v>0.0136418614873108</c:v>
                  </c:pt>
                  <c:pt idx="7">
                    <c:v>0.0190500835113249</c:v>
                  </c:pt>
                  <c:pt idx="8">
                    <c:v>0.0267805412440907</c:v>
                  </c:pt>
                  <c:pt idx="9">
                    <c:v>0.0300036629089946</c:v>
                  </c:pt>
                  <c:pt idx="10">
                    <c:v>0.0379553380811084</c:v>
                  </c:pt>
                  <c:pt idx="11">
                    <c:v>0.0286462555972557</c:v>
                  </c:pt>
                  <c:pt idx="12">
                    <c:v>0.031053638822543</c:v>
                  </c:pt>
                  <c:pt idx="13">
                    <c:v>0.0189951812853075</c:v>
                  </c:pt>
                  <c:pt idx="14">
                    <c:v>0.0282559039262787</c:v>
                  </c:pt>
                  <c:pt idx="15">
                    <c:v>0.0443094934476918</c:v>
                  </c:pt>
                  <c:pt idx="16">
                    <c:v>0.297149512739426</c:v>
                  </c:pt>
                </c:numCache>
              </c:numRef>
            </c:minus>
          </c:errBars>
          <c:xVal>
            <c:numRef>
              <c:f>'Determination cell counts FP'!$D$4:$D$20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FP'!$R$4:$R$20</c:f>
              <c:numCache>
                <c:formatCode>0.00</c:formatCode>
                <c:ptCount val="17"/>
                <c:pt idx="0">
                  <c:v>6.90334194456414</c:v>
                </c:pt>
                <c:pt idx="1">
                  <c:v>7.192973208368009</c:v>
                </c:pt>
                <c:pt idx="2">
                  <c:v>7.761817439100771</c:v>
                </c:pt>
                <c:pt idx="3">
                  <c:v>8.23594701938171</c:v>
                </c:pt>
                <c:pt idx="4">
                  <c:v>8.707830133782264</c:v>
                </c:pt>
                <c:pt idx="5">
                  <c:v>9.124362131047135</c:v>
                </c:pt>
                <c:pt idx="6">
                  <c:v>9.42697505639721</c:v>
                </c:pt>
                <c:pt idx="7">
                  <c:v>9.519570039197008</c:v>
                </c:pt>
                <c:pt idx="8">
                  <c:v>9.587310059004394</c:v>
                </c:pt>
                <c:pt idx="9">
                  <c:v>9.589331795954915</c:v>
                </c:pt>
                <c:pt idx="10">
                  <c:v>9.559296430057555</c:v>
                </c:pt>
                <c:pt idx="11">
                  <c:v>9.494019481531872</c:v>
                </c:pt>
                <c:pt idx="12">
                  <c:v>9.528768240602229</c:v>
                </c:pt>
                <c:pt idx="13">
                  <c:v>9.532012870373057</c:v>
                </c:pt>
                <c:pt idx="14">
                  <c:v>9.395574020644815</c:v>
                </c:pt>
                <c:pt idx="15">
                  <c:v>9.27398305129091</c:v>
                </c:pt>
                <c:pt idx="16">
                  <c:v>8.87584818634212</c:v>
                </c:pt>
              </c:numCache>
            </c:numRef>
          </c:yVal>
          <c:smooth val="0"/>
        </c:ser>
        <c:ser>
          <c:idx val="7"/>
          <c:order val="10"/>
          <c:tx>
            <c:v>qPCR BH</c:v>
          </c:tx>
          <c:spPr>
            <a:ln>
              <a:solidFill>
                <a:srgbClr val="008000"/>
              </a:solidFill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BH'!$S$4:$S$20</c:f>
                <c:numCache>
                  <c:formatCode>General</c:formatCode>
                  <c:ptCount val="17"/>
                  <c:pt idx="0">
                    <c:v>0.13088428658136</c:v>
                  </c:pt>
                  <c:pt idx="1">
                    <c:v>0.101807762682939</c:v>
                  </c:pt>
                  <c:pt idx="2">
                    <c:v>0.044277531312702</c:v>
                  </c:pt>
                  <c:pt idx="3">
                    <c:v>0.0012945296820895</c:v>
                  </c:pt>
                  <c:pt idx="4">
                    <c:v>0.0662497860769649</c:v>
                  </c:pt>
                  <c:pt idx="5">
                    <c:v>0.103730406972105</c:v>
                  </c:pt>
                  <c:pt idx="6">
                    <c:v>0.0185818932192473</c:v>
                  </c:pt>
                  <c:pt idx="7">
                    <c:v>0.0205032006166914</c:v>
                  </c:pt>
                  <c:pt idx="8">
                    <c:v>0.029694770598359</c:v>
                  </c:pt>
                  <c:pt idx="9">
                    <c:v>0.0658157415271916</c:v>
                  </c:pt>
                  <c:pt idx="10">
                    <c:v>0.0250059815441959</c:v>
                  </c:pt>
                  <c:pt idx="11">
                    <c:v>0.0131230061167963</c:v>
                  </c:pt>
                  <c:pt idx="12">
                    <c:v>0.0285819078939225</c:v>
                  </c:pt>
                  <c:pt idx="13">
                    <c:v>0.0259666707058491</c:v>
                  </c:pt>
                  <c:pt idx="14">
                    <c:v>0.0317034064714332</c:v>
                  </c:pt>
                  <c:pt idx="15">
                    <c:v>0.0369332274143149</c:v>
                  </c:pt>
                  <c:pt idx="16">
                    <c:v>0.0594380351964442</c:v>
                  </c:pt>
                </c:numCache>
              </c:numRef>
            </c:plus>
            <c:minus>
              <c:numRef>
                <c:f>'Determination cell counts BH'!$S$4:$S$20</c:f>
                <c:numCache>
                  <c:formatCode>General</c:formatCode>
                  <c:ptCount val="17"/>
                  <c:pt idx="0">
                    <c:v>0.13088428658136</c:v>
                  </c:pt>
                  <c:pt idx="1">
                    <c:v>0.101807762682939</c:v>
                  </c:pt>
                  <c:pt idx="2">
                    <c:v>0.044277531312702</c:v>
                  </c:pt>
                  <c:pt idx="3">
                    <c:v>0.0012945296820895</c:v>
                  </c:pt>
                  <c:pt idx="4">
                    <c:v>0.0662497860769649</c:v>
                  </c:pt>
                  <c:pt idx="5">
                    <c:v>0.103730406972105</c:v>
                  </c:pt>
                  <c:pt idx="6">
                    <c:v>0.0185818932192473</c:v>
                  </c:pt>
                  <c:pt idx="7">
                    <c:v>0.0205032006166914</c:v>
                  </c:pt>
                  <c:pt idx="8">
                    <c:v>0.029694770598359</c:v>
                  </c:pt>
                  <c:pt idx="9">
                    <c:v>0.0658157415271916</c:v>
                  </c:pt>
                  <c:pt idx="10">
                    <c:v>0.0250059815441959</c:v>
                  </c:pt>
                  <c:pt idx="11">
                    <c:v>0.0131230061167963</c:v>
                  </c:pt>
                  <c:pt idx="12">
                    <c:v>0.0285819078939225</c:v>
                  </c:pt>
                  <c:pt idx="13">
                    <c:v>0.0259666707058491</c:v>
                  </c:pt>
                  <c:pt idx="14">
                    <c:v>0.0317034064714332</c:v>
                  </c:pt>
                  <c:pt idx="15">
                    <c:v>0.0369332274143149</c:v>
                  </c:pt>
                  <c:pt idx="16">
                    <c:v>0.0594380351964442</c:v>
                  </c:pt>
                </c:numCache>
              </c:numRef>
            </c:minus>
          </c:errBars>
          <c:xVal>
            <c:numRef>
              <c:f>'Determination cell counts BH'!$D$4:$D$20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BH'!$R$4:$R$20</c:f>
              <c:numCache>
                <c:formatCode>0.00</c:formatCode>
                <c:ptCount val="17"/>
                <c:pt idx="0">
                  <c:v>7.604412783130565</c:v>
                </c:pt>
                <c:pt idx="1">
                  <c:v>7.771084461959544</c:v>
                </c:pt>
                <c:pt idx="2">
                  <c:v>8.08353957159179</c:v>
                </c:pt>
                <c:pt idx="3">
                  <c:v>8.37333247237746</c:v>
                </c:pt>
                <c:pt idx="4">
                  <c:v>8.728635030312691</c:v>
                </c:pt>
                <c:pt idx="5">
                  <c:v>8.80234101258113</c:v>
                </c:pt>
                <c:pt idx="6">
                  <c:v>9.026515937523647</c:v>
                </c:pt>
                <c:pt idx="7">
                  <c:v>9.125383147965957</c:v>
                </c:pt>
                <c:pt idx="8">
                  <c:v>9.256530908082076</c:v>
                </c:pt>
                <c:pt idx="9">
                  <c:v>9.435386714986822</c:v>
                </c:pt>
                <c:pt idx="10">
                  <c:v>9.629533286913312</c:v>
                </c:pt>
                <c:pt idx="11">
                  <c:v>9.742108256650031</c:v>
                </c:pt>
                <c:pt idx="12">
                  <c:v>9.813041785500331</c:v>
                </c:pt>
                <c:pt idx="13">
                  <c:v>9.80352438050464</c:v>
                </c:pt>
                <c:pt idx="14">
                  <c:v>9.9652624066569</c:v>
                </c:pt>
                <c:pt idx="15">
                  <c:v>9.930338088607118</c:v>
                </c:pt>
                <c:pt idx="16">
                  <c:v>9.374136363915875</c:v>
                </c:pt>
              </c:numCache>
            </c:numRef>
          </c:yVal>
          <c:smooth val="0"/>
        </c:ser>
        <c:ser>
          <c:idx val="11"/>
          <c:order val="11"/>
          <c:tx>
            <c:v>Total qPCR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'Total cell count'!$K$5:$K$21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'Total cell count'!$P$5:$P$21</c:f>
              <c:numCache>
                <c:formatCode>0.00</c:formatCode>
                <c:ptCount val="17"/>
                <c:pt idx="0">
                  <c:v>7.683244595108441</c:v>
                </c:pt>
                <c:pt idx="1">
                  <c:v>7.872891038965489</c:v>
                </c:pt>
                <c:pt idx="2">
                  <c:v>8.252842407801516</c:v>
                </c:pt>
                <c:pt idx="3">
                  <c:v>8.611079832810724</c:v>
                </c:pt>
                <c:pt idx="4">
                  <c:v>9.019387148237695</c:v>
                </c:pt>
                <c:pt idx="5">
                  <c:v>9.293568467857018</c:v>
                </c:pt>
                <c:pt idx="6">
                  <c:v>9.57238483608877</c:v>
                </c:pt>
                <c:pt idx="7">
                  <c:v>9.666773707813229</c:v>
                </c:pt>
                <c:pt idx="8">
                  <c:v>9.753709604800425</c:v>
                </c:pt>
                <c:pt idx="9">
                  <c:v>9.820174981702391</c:v>
                </c:pt>
                <c:pt idx="10">
                  <c:v>9.896863203150065</c:v>
                </c:pt>
                <c:pt idx="11">
                  <c:v>9.936573062984018</c:v>
                </c:pt>
                <c:pt idx="12">
                  <c:v>9.99479066828542</c:v>
                </c:pt>
                <c:pt idx="13">
                  <c:v>9.989679715353616</c:v>
                </c:pt>
                <c:pt idx="14">
                  <c:v>10.06884265539675</c:v>
                </c:pt>
                <c:pt idx="15">
                  <c:v>10.01691858515033</c:v>
                </c:pt>
                <c:pt idx="16">
                  <c:v>9.49387929880304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620312"/>
        <c:axId val="-2110144152"/>
      </c:scatterChart>
      <c:valAx>
        <c:axId val="207157100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10135672"/>
        <c:crosses val="autoZero"/>
        <c:crossBetween val="midCat"/>
        <c:majorUnit val="6.0"/>
      </c:valAx>
      <c:valAx>
        <c:axId val="-211013567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71571000"/>
        <c:crosses val="autoZero"/>
        <c:crossBetween val="midCat"/>
      </c:valAx>
      <c:valAx>
        <c:axId val="-2110144152"/>
        <c:scaling>
          <c:orientation val="minMax"/>
          <c:max val="12.0"/>
          <c:min val="6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10620312"/>
        <c:crosses val="max"/>
        <c:crossBetween val="midCat"/>
        <c:majorUnit val="1.0"/>
        <c:minorUnit val="0.2"/>
      </c:valAx>
      <c:valAx>
        <c:axId val="-2110620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1014415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0.025668744453469</c:v>
                  </c:pt>
                  <c:pt idx="1">
                    <c:v>1.89039238358016E-16</c:v>
                  </c:pt>
                  <c:pt idx="2">
                    <c:v>0.0222589242432781</c:v>
                  </c:pt>
                  <c:pt idx="3">
                    <c:v>0.0223196166065862</c:v>
                  </c:pt>
                  <c:pt idx="4">
                    <c:v>0.0342618454447466</c:v>
                  </c:pt>
                  <c:pt idx="5">
                    <c:v>1.92413769650867E-16</c:v>
                  </c:pt>
                  <c:pt idx="6">
                    <c:v>0.0396544390241184</c:v>
                  </c:pt>
                  <c:pt idx="7">
                    <c:v>0.0133895486966766</c:v>
                  </c:pt>
                  <c:pt idx="8">
                    <c:v>0.0233902135239139</c:v>
                  </c:pt>
                  <c:pt idx="9">
                    <c:v>0.0272461786505778</c:v>
                  </c:pt>
                  <c:pt idx="10">
                    <c:v>0.0494010387425125</c:v>
                  </c:pt>
                  <c:pt idx="11">
                    <c:v>0.0137013829421009</c:v>
                  </c:pt>
                  <c:pt idx="12">
                    <c:v>0.0362824469856234</c:v>
                  </c:pt>
                  <c:pt idx="13">
                    <c:v>0.0597756558499321</c:v>
                  </c:pt>
                  <c:pt idx="14">
                    <c:v>0.0412203121891672</c:v>
                  </c:pt>
                  <c:pt idx="15">
                    <c:v>0.0495406497295585</c:v>
                  </c:pt>
                  <c:pt idx="16">
                    <c:v>0.131214399752768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0.025668744453469</c:v>
                  </c:pt>
                  <c:pt idx="1">
                    <c:v>1.89039238358016E-16</c:v>
                  </c:pt>
                  <c:pt idx="2">
                    <c:v>0.0222589242432781</c:v>
                  </c:pt>
                  <c:pt idx="3">
                    <c:v>0.0223196166065862</c:v>
                  </c:pt>
                  <c:pt idx="4">
                    <c:v>0.0342618454447466</c:v>
                  </c:pt>
                  <c:pt idx="5">
                    <c:v>1.92413769650867E-16</c:v>
                  </c:pt>
                  <c:pt idx="6">
                    <c:v>0.0396544390241184</c:v>
                  </c:pt>
                  <c:pt idx="7">
                    <c:v>0.0133895486966766</c:v>
                  </c:pt>
                  <c:pt idx="8">
                    <c:v>0.0233902135239139</c:v>
                  </c:pt>
                  <c:pt idx="9">
                    <c:v>0.0272461786505778</c:v>
                  </c:pt>
                  <c:pt idx="10">
                    <c:v>0.0494010387425125</c:v>
                  </c:pt>
                  <c:pt idx="11">
                    <c:v>0.0137013829421009</c:v>
                  </c:pt>
                  <c:pt idx="12">
                    <c:v>0.0362824469856234</c:v>
                  </c:pt>
                  <c:pt idx="13">
                    <c:v>0.0597756558499321</c:v>
                  </c:pt>
                  <c:pt idx="14">
                    <c:v>0.0412203121891672</c:v>
                  </c:pt>
                  <c:pt idx="15">
                    <c:v>0.0495406497295585</c:v>
                  </c:pt>
                  <c:pt idx="16">
                    <c:v>0.131214399752768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0.941060889018099</c:v>
                </c:pt>
                <c:pt idx="1">
                  <c:v>0.978743202071141</c:v>
                </c:pt>
                <c:pt idx="2">
                  <c:v>1.02391051519079</c:v>
                </c:pt>
                <c:pt idx="3">
                  <c:v>1.07134159711614</c:v>
                </c:pt>
                <c:pt idx="4">
                  <c:v>1.106529049024551</c:v>
                </c:pt>
                <c:pt idx="5">
                  <c:v>1.064138434640069</c:v>
                </c:pt>
                <c:pt idx="6">
                  <c:v>1.076041549121501</c:v>
                </c:pt>
                <c:pt idx="7">
                  <c:v>1.105455714842601</c:v>
                </c:pt>
                <c:pt idx="8">
                  <c:v>1.192900889719613</c:v>
                </c:pt>
                <c:pt idx="9">
                  <c:v>2.155090635227064</c:v>
                </c:pt>
                <c:pt idx="10">
                  <c:v>3.955248564946054</c:v>
                </c:pt>
                <c:pt idx="11">
                  <c:v>3.947338067816161</c:v>
                </c:pt>
                <c:pt idx="12">
                  <c:v>4.029996828205209</c:v>
                </c:pt>
                <c:pt idx="13">
                  <c:v>4.045831786272814</c:v>
                </c:pt>
                <c:pt idx="14">
                  <c:v>4.259941942590793</c:v>
                </c:pt>
                <c:pt idx="15">
                  <c:v>4.95803298718668</c:v>
                </c:pt>
                <c:pt idx="16">
                  <c:v>5.392249127341734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triang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0.117109158007323</c:v>
                  </c:pt>
                  <c:pt idx="1">
                    <c:v>0.0333680976620121</c:v>
                  </c:pt>
                  <c:pt idx="2">
                    <c:v>0.102008867359406</c:v>
                  </c:pt>
                  <c:pt idx="3">
                    <c:v>0.0885831492644806</c:v>
                  </c:pt>
                  <c:pt idx="4">
                    <c:v>0.0672926638180784</c:v>
                  </c:pt>
                  <c:pt idx="5">
                    <c:v>0.0854735634390342</c:v>
                  </c:pt>
                  <c:pt idx="6">
                    <c:v>0.547706872623921</c:v>
                  </c:pt>
                  <c:pt idx="7">
                    <c:v>0.35534767121875</c:v>
                  </c:pt>
                  <c:pt idx="8">
                    <c:v>0.299785747900834</c:v>
                  </c:pt>
                  <c:pt idx="9">
                    <c:v>0.354547328901003</c:v>
                  </c:pt>
                  <c:pt idx="10">
                    <c:v>0.969275335962022</c:v>
                  </c:pt>
                  <c:pt idx="11">
                    <c:v>0.544950973746853</c:v>
                  </c:pt>
                  <c:pt idx="12">
                    <c:v>0.843425586559366</c:v>
                  </c:pt>
                  <c:pt idx="13">
                    <c:v>0.1632800744945</c:v>
                  </c:pt>
                  <c:pt idx="14">
                    <c:v>0.518569825788795</c:v>
                  </c:pt>
                  <c:pt idx="15">
                    <c:v>0.577116404196531</c:v>
                  </c:pt>
                  <c:pt idx="16">
                    <c:v>2.03312189900901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0.117109158007323</c:v>
                  </c:pt>
                  <c:pt idx="1">
                    <c:v>0.0333680976620121</c:v>
                  </c:pt>
                  <c:pt idx="2">
                    <c:v>0.102008867359406</c:v>
                  </c:pt>
                  <c:pt idx="3">
                    <c:v>0.0885831492644806</c:v>
                  </c:pt>
                  <c:pt idx="4">
                    <c:v>0.0672926638180784</c:v>
                  </c:pt>
                  <c:pt idx="5">
                    <c:v>0.0854735634390342</c:v>
                  </c:pt>
                  <c:pt idx="6">
                    <c:v>0.547706872623921</c:v>
                  </c:pt>
                  <c:pt idx="7">
                    <c:v>0.35534767121875</c:v>
                  </c:pt>
                  <c:pt idx="8">
                    <c:v>0.299785747900834</c:v>
                  </c:pt>
                  <c:pt idx="9">
                    <c:v>0.354547328901003</c:v>
                  </c:pt>
                  <c:pt idx="10">
                    <c:v>0.969275335962022</c:v>
                  </c:pt>
                  <c:pt idx="11">
                    <c:v>0.544950973746853</c:v>
                  </c:pt>
                  <c:pt idx="12">
                    <c:v>0.843425586559366</c:v>
                  </c:pt>
                  <c:pt idx="13">
                    <c:v>0.1632800744945</c:v>
                  </c:pt>
                  <c:pt idx="14">
                    <c:v>0.518569825788795</c:v>
                  </c:pt>
                  <c:pt idx="15">
                    <c:v>0.577116404196531</c:v>
                  </c:pt>
                  <c:pt idx="16">
                    <c:v>2.03312189900901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3.45692341402314</c:v>
                </c:pt>
                <c:pt idx="1">
                  <c:v>3.737226938145355</c:v>
                </c:pt>
                <c:pt idx="2">
                  <c:v>4.084739327067758</c:v>
                </c:pt>
                <c:pt idx="3">
                  <c:v>4.821304799411582</c:v>
                </c:pt>
                <c:pt idx="4">
                  <c:v>6.46009572653552</c:v>
                </c:pt>
                <c:pt idx="5">
                  <c:v>9.600420038045838</c:v>
                </c:pt>
                <c:pt idx="6">
                  <c:v>15.54622912201138</c:v>
                </c:pt>
                <c:pt idx="7">
                  <c:v>28.64294247320275</c:v>
                </c:pt>
                <c:pt idx="8">
                  <c:v>37.89424927515246</c:v>
                </c:pt>
                <c:pt idx="9">
                  <c:v>50.74576281175742</c:v>
                </c:pt>
                <c:pt idx="10">
                  <c:v>59.60494907039135</c:v>
                </c:pt>
                <c:pt idx="11">
                  <c:v>61.20691365818804</c:v>
                </c:pt>
                <c:pt idx="12">
                  <c:v>62.57926908212433</c:v>
                </c:pt>
                <c:pt idx="13">
                  <c:v>62.42486967083802</c:v>
                </c:pt>
                <c:pt idx="14">
                  <c:v>62.58178282907434</c:v>
                </c:pt>
                <c:pt idx="15">
                  <c:v>64.92607094798053</c:v>
                </c:pt>
                <c:pt idx="16">
                  <c:v>65.99716877334245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0.0664524585633997</c:v>
                  </c:pt>
                  <c:pt idx="1">
                    <c:v>0.0251329147090784</c:v>
                  </c:pt>
                  <c:pt idx="2">
                    <c:v>0.0251495921574587</c:v>
                  </c:pt>
                  <c:pt idx="3">
                    <c:v>0.0436791454251855</c:v>
                  </c:pt>
                  <c:pt idx="4">
                    <c:v>0.0438944651561547</c:v>
                  </c:pt>
                  <c:pt idx="5">
                    <c:v>0.117229440987596</c:v>
                  </c:pt>
                  <c:pt idx="6">
                    <c:v>0.225509454538243</c:v>
                  </c:pt>
                  <c:pt idx="7">
                    <c:v>0.114216840437371</c:v>
                  </c:pt>
                  <c:pt idx="8">
                    <c:v>0.0264277969668709</c:v>
                  </c:pt>
                  <c:pt idx="9">
                    <c:v>0.0461767788116416</c:v>
                  </c:pt>
                  <c:pt idx="10">
                    <c:v>0.139326487793746</c:v>
                  </c:pt>
                  <c:pt idx="11">
                    <c:v>0.0464421625979154</c:v>
                  </c:pt>
                  <c:pt idx="12">
                    <c:v>0.0268370609162052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0.0664524585633997</c:v>
                  </c:pt>
                  <c:pt idx="1">
                    <c:v>0.0251329147090784</c:v>
                  </c:pt>
                  <c:pt idx="2">
                    <c:v>0.0251495921574587</c:v>
                  </c:pt>
                  <c:pt idx="3">
                    <c:v>0.0436791454251855</c:v>
                  </c:pt>
                  <c:pt idx="4">
                    <c:v>0.0438944651561547</c:v>
                  </c:pt>
                  <c:pt idx="5">
                    <c:v>0.117229440987596</c:v>
                  </c:pt>
                  <c:pt idx="6">
                    <c:v>0.225509454538243</c:v>
                  </c:pt>
                  <c:pt idx="7">
                    <c:v>0.114216840437371</c:v>
                  </c:pt>
                  <c:pt idx="8">
                    <c:v>0.0264277969668709</c:v>
                  </c:pt>
                  <c:pt idx="9">
                    <c:v>0.0461767788116416</c:v>
                  </c:pt>
                  <c:pt idx="10">
                    <c:v>0.139326487793746</c:v>
                  </c:pt>
                  <c:pt idx="11">
                    <c:v>0.0464421625979154</c:v>
                  </c:pt>
                  <c:pt idx="12">
                    <c:v>0.0268370609162052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1.102084763461185</c:v>
                </c:pt>
                <c:pt idx="1">
                  <c:v>0.972203169878024</c:v>
                </c:pt>
                <c:pt idx="2">
                  <c:v>0.972848294741911</c:v>
                </c:pt>
                <c:pt idx="3">
                  <c:v>1.441411799031121</c:v>
                </c:pt>
                <c:pt idx="4">
                  <c:v>2.98482363061852</c:v>
                </c:pt>
                <c:pt idx="5">
                  <c:v>5.317027666085155</c:v>
                </c:pt>
                <c:pt idx="6">
                  <c:v>5.570653718563837</c:v>
                </c:pt>
                <c:pt idx="7">
                  <c:v>8.184459037663883</c:v>
                </c:pt>
                <c:pt idx="8">
                  <c:v>8.727630736345473</c:v>
                </c:pt>
                <c:pt idx="9">
                  <c:v>7.065047158181155</c:v>
                </c:pt>
                <c:pt idx="10">
                  <c:v>3.761815170431142</c:v>
                </c:pt>
                <c:pt idx="11">
                  <c:v>1.486149203133291</c:v>
                </c:pt>
                <c:pt idx="12">
                  <c:v>0.309887686884589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0.00908272130692046</c:v>
                </c:pt>
                <c:pt idx="1">
                  <c:v>0.0403991430819548</c:v>
                </c:pt>
                <c:pt idx="2">
                  <c:v>0.0933623012344766</c:v>
                </c:pt>
                <c:pt idx="3">
                  <c:v>0.163533736492059</c:v>
                </c:pt>
                <c:pt idx="4">
                  <c:v>0.253536886196735</c:v>
                </c:pt>
                <c:pt idx="5">
                  <c:v>0.364825281294589</c:v>
                </c:pt>
                <c:pt idx="6">
                  <c:v>0.500084167309259</c:v>
                </c:pt>
                <c:pt idx="7">
                  <c:v>0.672407468336615</c:v>
                </c:pt>
                <c:pt idx="8">
                  <c:v>0.898908531698571</c:v>
                </c:pt>
                <c:pt idx="9">
                  <c:v>1.136316917566102</c:v>
                </c:pt>
                <c:pt idx="10">
                  <c:v>1.486447184993906</c:v>
                </c:pt>
                <c:pt idx="11">
                  <c:v>2.048751020509315</c:v>
                </c:pt>
                <c:pt idx="12">
                  <c:v>2.807270040653546</c:v>
                </c:pt>
                <c:pt idx="13">
                  <c:v>3.786385625159007</c:v>
                </c:pt>
                <c:pt idx="14">
                  <c:v>4.962406737468989</c:v>
                </c:pt>
                <c:pt idx="15">
                  <c:v>6.365754339746674</c:v>
                </c:pt>
                <c:pt idx="16">
                  <c:v>7.997684504632117</c:v>
                </c:pt>
                <c:pt idx="17">
                  <c:v>9.822955977951855</c:v>
                </c:pt>
                <c:pt idx="18">
                  <c:v>11.85073923237954</c:v>
                </c:pt>
                <c:pt idx="19">
                  <c:v>14.04026671579805</c:v>
                </c:pt>
                <c:pt idx="20">
                  <c:v>16.35046313040571</c:v>
                </c:pt>
                <c:pt idx="21">
                  <c:v>18.71600195840772</c:v>
                </c:pt>
                <c:pt idx="22">
                  <c:v>21.0707818240307</c:v>
                </c:pt>
                <c:pt idx="23">
                  <c:v>23.44221432083828</c:v>
                </c:pt>
                <c:pt idx="24">
                  <c:v>25.81692551624642</c:v>
                </c:pt>
                <c:pt idx="25">
                  <c:v>28.14153505602326</c:v>
                </c:pt>
                <c:pt idx="26">
                  <c:v>30.46405735508432</c:v>
                </c:pt>
                <c:pt idx="27">
                  <c:v>32.81531133607096</c:v>
                </c:pt>
                <c:pt idx="28">
                  <c:v>35.20793908617503</c:v>
                </c:pt>
                <c:pt idx="29">
                  <c:v>37.55377643425921</c:v>
                </c:pt>
                <c:pt idx="30">
                  <c:v>39.67675860779527</c:v>
                </c:pt>
                <c:pt idx="31">
                  <c:v>41.60641877788471</c:v>
                </c:pt>
                <c:pt idx="32">
                  <c:v>43.41246371220502</c:v>
                </c:pt>
                <c:pt idx="33">
                  <c:v>45.07749403958191</c:v>
                </c:pt>
                <c:pt idx="34">
                  <c:v>46.64391527440854</c:v>
                </c:pt>
                <c:pt idx="35">
                  <c:v>48.11271327805525</c:v>
                </c:pt>
                <c:pt idx="36">
                  <c:v>49.45501313183949</c:v>
                </c:pt>
                <c:pt idx="37">
                  <c:v>50.67486560822404</c:v>
                </c:pt>
                <c:pt idx="38">
                  <c:v>51.75757754165188</c:v>
                </c:pt>
                <c:pt idx="39">
                  <c:v>52.71219587124742</c:v>
                </c:pt>
                <c:pt idx="40">
                  <c:v>53.54340885376885</c:v>
                </c:pt>
                <c:pt idx="41">
                  <c:v>54.26422955098656</c:v>
                </c:pt>
                <c:pt idx="42">
                  <c:v>54.8828279900131</c:v>
                </c:pt>
                <c:pt idx="43">
                  <c:v>55.41366101258491</c:v>
                </c:pt>
                <c:pt idx="44">
                  <c:v>55.87269320224944</c:v>
                </c:pt>
                <c:pt idx="45">
                  <c:v>56.2677200919583</c:v>
                </c:pt>
                <c:pt idx="46">
                  <c:v>56.61242170439955</c:v>
                </c:pt>
                <c:pt idx="47">
                  <c:v>56.91715155806492</c:v>
                </c:pt>
                <c:pt idx="48">
                  <c:v>57.1944661991875</c:v>
                </c:pt>
                <c:pt idx="49">
                  <c:v>57.44630486940957</c:v>
                </c:pt>
                <c:pt idx="50">
                  <c:v>57.66749327187465</c:v>
                </c:pt>
                <c:pt idx="51">
                  <c:v>57.8619028010793</c:v>
                </c:pt>
                <c:pt idx="52">
                  <c:v>58.03437477373529</c:v>
                </c:pt>
                <c:pt idx="53">
                  <c:v>58.18848976319394</c:v>
                </c:pt>
                <c:pt idx="54">
                  <c:v>58.32732342338509</c:v>
                </c:pt>
                <c:pt idx="55">
                  <c:v>58.45673572262545</c:v>
                </c:pt>
                <c:pt idx="56">
                  <c:v>58.58144252536805</c:v>
                </c:pt>
                <c:pt idx="57">
                  <c:v>58.70438366532875</c:v>
                </c:pt>
                <c:pt idx="58">
                  <c:v>58.8282755467874</c:v>
                </c:pt>
                <c:pt idx="59">
                  <c:v>58.95829903699072</c:v>
                </c:pt>
                <c:pt idx="60">
                  <c:v>59.10270132595558</c:v>
                </c:pt>
                <c:pt idx="61">
                  <c:v>59.27584041918312</c:v>
                </c:pt>
                <c:pt idx="62">
                  <c:v>59.48787116772795</c:v>
                </c:pt>
                <c:pt idx="63">
                  <c:v>59.74652417542451</c:v>
                </c:pt>
                <c:pt idx="64">
                  <c:v>60.06580267928464</c:v>
                </c:pt>
                <c:pt idx="65">
                  <c:v>60.41506165287886</c:v>
                </c:pt>
                <c:pt idx="66">
                  <c:v>60.74744329105567</c:v>
                </c:pt>
                <c:pt idx="67">
                  <c:v>61.05041720243984</c:v>
                </c:pt>
                <c:pt idx="68">
                  <c:v>61.31713014610996</c:v>
                </c:pt>
                <c:pt idx="69">
                  <c:v>61.55093769616951</c:v>
                </c:pt>
                <c:pt idx="70">
                  <c:v>61.75767002599562</c:v>
                </c:pt>
                <c:pt idx="71">
                  <c:v>61.93809388973604</c:v>
                </c:pt>
                <c:pt idx="72">
                  <c:v>62.09619881360495</c:v>
                </c:pt>
                <c:pt idx="73">
                  <c:v>62.23553438291214</c:v>
                </c:pt>
                <c:pt idx="74">
                  <c:v>62.3603043559644</c:v>
                </c:pt>
                <c:pt idx="75">
                  <c:v>62.47188921813394</c:v>
                </c:pt>
                <c:pt idx="76">
                  <c:v>62.57101528179591</c:v>
                </c:pt>
                <c:pt idx="77">
                  <c:v>62.66018884382953</c:v>
                </c:pt>
                <c:pt idx="78">
                  <c:v>62.74019742577931</c:v>
                </c:pt>
                <c:pt idx="79">
                  <c:v>62.81217667634016</c:v>
                </c:pt>
                <c:pt idx="80">
                  <c:v>62.87774262688406</c:v>
                </c:pt>
                <c:pt idx="81">
                  <c:v>62.93859328534905</c:v>
                </c:pt>
                <c:pt idx="82">
                  <c:v>62.99682561229454</c:v>
                </c:pt>
                <c:pt idx="83">
                  <c:v>63.05228549177639</c:v>
                </c:pt>
                <c:pt idx="84">
                  <c:v>63.10414496047752</c:v>
                </c:pt>
                <c:pt idx="85">
                  <c:v>63.15362164365894</c:v>
                </c:pt>
                <c:pt idx="86">
                  <c:v>63.20077620397951</c:v>
                </c:pt>
                <c:pt idx="87">
                  <c:v>63.24506650308247</c:v>
                </c:pt>
                <c:pt idx="88">
                  <c:v>63.2881905489058</c:v>
                </c:pt>
                <c:pt idx="89">
                  <c:v>63.33010735316654</c:v>
                </c:pt>
                <c:pt idx="90">
                  <c:v>63.37164597220257</c:v>
                </c:pt>
                <c:pt idx="91">
                  <c:v>63.4144836465552</c:v>
                </c:pt>
                <c:pt idx="92">
                  <c:v>63.45794488932022</c:v>
                </c:pt>
                <c:pt idx="93">
                  <c:v>63.50252101338345</c:v>
                </c:pt>
                <c:pt idx="94">
                  <c:v>63.54813058868929</c:v>
                </c:pt>
                <c:pt idx="95">
                  <c:v>63.5956529505362</c:v>
                </c:pt>
                <c:pt idx="96">
                  <c:v>63.64939475140419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1.069708546310125</c:v>
                  </c:pt>
                  <c:pt idx="1">
                    <c:v>0.154245806526422</c:v>
                  </c:pt>
                  <c:pt idx="2">
                    <c:v>0.192767938555923</c:v>
                  </c:pt>
                  <c:pt idx="3">
                    <c:v>0.269996642151428</c:v>
                  </c:pt>
                  <c:pt idx="4">
                    <c:v>0.358231194157447</c:v>
                  </c:pt>
                  <c:pt idx="5">
                    <c:v>0.323975543150305</c:v>
                  </c:pt>
                  <c:pt idx="6">
                    <c:v>1.058999575970463</c:v>
                  </c:pt>
                  <c:pt idx="7">
                    <c:v>0.311432958655093</c:v>
                  </c:pt>
                  <c:pt idx="8">
                    <c:v>0.0913417037972687</c:v>
                  </c:pt>
                  <c:pt idx="9">
                    <c:v>0.0500544263509713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1.069708546310125</c:v>
                  </c:pt>
                  <c:pt idx="1">
                    <c:v>0.154245806526422</c:v>
                  </c:pt>
                  <c:pt idx="2">
                    <c:v>0.192767938555923</c:v>
                  </c:pt>
                  <c:pt idx="3">
                    <c:v>0.269996642151428</c:v>
                  </c:pt>
                  <c:pt idx="4">
                    <c:v>0.358231194157447</c:v>
                  </c:pt>
                  <c:pt idx="5">
                    <c:v>0.323975543150305</c:v>
                  </c:pt>
                  <c:pt idx="6">
                    <c:v>1.058999575970463</c:v>
                  </c:pt>
                  <c:pt idx="7">
                    <c:v>0.311432958655093</c:v>
                  </c:pt>
                  <c:pt idx="8">
                    <c:v>0.0913417037972687</c:v>
                  </c:pt>
                  <c:pt idx="9">
                    <c:v>0.0500544263509713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47.01228984547505</c:v>
                </c:pt>
                <c:pt idx="1">
                  <c:v>47.29479935159676</c:v>
                </c:pt>
                <c:pt idx="2">
                  <c:v>47.912334433656</c:v>
                </c:pt>
                <c:pt idx="3">
                  <c:v>45.76265391570397</c:v>
                </c:pt>
                <c:pt idx="4">
                  <c:v>43.53967511482752</c:v>
                </c:pt>
                <c:pt idx="5">
                  <c:v>36.70145537343726</c:v>
                </c:pt>
                <c:pt idx="6">
                  <c:v>26.11499419215444</c:v>
                </c:pt>
                <c:pt idx="7">
                  <c:v>19.56579310675959</c:v>
                </c:pt>
                <c:pt idx="8">
                  <c:v>12.77105658405704</c:v>
                </c:pt>
                <c:pt idx="9">
                  <c:v>5.568628356718106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0.0131213284551611</c:v>
                  </c:pt>
                  <c:pt idx="1">
                    <c:v>0.0347382271843438</c:v>
                  </c:pt>
                  <c:pt idx="2">
                    <c:v>0.0227565985226931</c:v>
                  </c:pt>
                  <c:pt idx="3">
                    <c:v>0.0131743524909141</c:v>
                  </c:pt>
                  <c:pt idx="4">
                    <c:v>0.0132392964820665</c:v>
                  </c:pt>
                  <c:pt idx="5">
                    <c:v>0.104377703615446</c:v>
                  </c:pt>
                  <c:pt idx="6">
                    <c:v>0.433070851451228</c:v>
                  </c:pt>
                  <c:pt idx="7">
                    <c:v>0.277854684615924</c:v>
                  </c:pt>
                  <c:pt idx="8">
                    <c:v>0.131703534888227</c:v>
                  </c:pt>
                  <c:pt idx="9">
                    <c:v>0.141350514260136</c:v>
                  </c:pt>
                  <c:pt idx="10">
                    <c:v>0.203473946501978</c:v>
                  </c:pt>
                  <c:pt idx="11">
                    <c:v>0.0840463449386756</c:v>
                  </c:pt>
                  <c:pt idx="12">
                    <c:v>0.203653535157319</c:v>
                  </c:pt>
                  <c:pt idx="13">
                    <c:v>0.105849339765568</c:v>
                  </c:pt>
                  <c:pt idx="14">
                    <c:v>0.231247924553508</c:v>
                  </c:pt>
                  <c:pt idx="15">
                    <c:v>0.184228756894947</c:v>
                  </c:pt>
                  <c:pt idx="16">
                    <c:v>0.766505550533545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0.0131213284551611</c:v>
                  </c:pt>
                  <c:pt idx="1">
                    <c:v>0.0347382271843438</c:v>
                  </c:pt>
                  <c:pt idx="2">
                    <c:v>0.0227565985226931</c:v>
                  </c:pt>
                  <c:pt idx="3">
                    <c:v>0.0131743524909141</c:v>
                  </c:pt>
                  <c:pt idx="4">
                    <c:v>0.0132392964820665</c:v>
                  </c:pt>
                  <c:pt idx="5">
                    <c:v>0.104377703615446</c:v>
                  </c:pt>
                  <c:pt idx="6">
                    <c:v>0.433070851451228</c:v>
                  </c:pt>
                  <c:pt idx="7">
                    <c:v>0.277854684615924</c:v>
                  </c:pt>
                  <c:pt idx="8">
                    <c:v>0.131703534888227</c:v>
                  </c:pt>
                  <c:pt idx="9">
                    <c:v>0.141350514260136</c:v>
                  </c:pt>
                  <c:pt idx="10">
                    <c:v>0.203473946501978</c:v>
                  </c:pt>
                  <c:pt idx="11">
                    <c:v>0.0840463449386756</c:v>
                  </c:pt>
                  <c:pt idx="12">
                    <c:v>0.203653535157319</c:v>
                  </c:pt>
                  <c:pt idx="13">
                    <c:v>0.105849339765568</c:v>
                  </c:pt>
                  <c:pt idx="14">
                    <c:v>0.231247924553508</c:v>
                  </c:pt>
                  <c:pt idx="15">
                    <c:v>0.184228756894947</c:v>
                  </c:pt>
                  <c:pt idx="16">
                    <c:v>0.766505550533545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0.416658138364202</c:v>
                </c:pt>
                <c:pt idx="1">
                  <c:v>0.515474179976016</c:v>
                </c:pt>
                <c:pt idx="2">
                  <c:v>0.705454554203485</c:v>
                </c:pt>
                <c:pt idx="3">
                  <c:v>1.855916693514903</c:v>
                </c:pt>
                <c:pt idx="4">
                  <c:v>4.685595080722855</c:v>
                </c:pt>
                <c:pt idx="5">
                  <c:v>9.104669809659695</c:v>
                </c:pt>
                <c:pt idx="6">
                  <c:v>12.57703131117712</c:v>
                </c:pt>
                <c:pt idx="7">
                  <c:v>18.98372749295719</c:v>
                </c:pt>
                <c:pt idx="8">
                  <c:v>21.45809499095218</c:v>
                </c:pt>
                <c:pt idx="9">
                  <c:v>22.93335925188968</c:v>
                </c:pt>
                <c:pt idx="10">
                  <c:v>23.4937904226907</c:v>
                </c:pt>
                <c:pt idx="11">
                  <c:v>23.65553768893987</c:v>
                </c:pt>
                <c:pt idx="12">
                  <c:v>23.959723909205</c:v>
                </c:pt>
                <c:pt idx="13">
                  <c:v>23.65213285901926</c:v>
                </c:pt>
                <c:pt idx="14">
                  <c:v>24.31443595931189</c:v>
                </c:pt>
                <c:pt idx="15">
                  <c:v>25.46608702876562</c:v>
                </c:pt>
                <c:pt idx="16">
                  <c:v>25.89965827019863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0.0164986229062794</c:v>
                </c:pt>
                <c:pt idx="1">
                  <c:v>0.0950050700275363</c:v>
                </c:pt>
                <c:pt idx="2">
                  <c:v>0.249433252065996</c:v>
                </c:pt>
                <c:pt idx="3">
                  <c:v>0.482285377455713</c:v>
                </c:pt>
                <c:pt idx="4">
                  <c:v>0.817093762109598</c:v>
                </c:pt>
                <c:pt idx="5">
                  <c:v>1.236784555702481</c:v>
                </c:pt>
                <c:pt idx="6">
                  <c:v>1.763119969627467</c:v>
                </c:pt>
                <c:pt idx="7">
                  <c:v>2.503221976753683</c:v>
                </c:pt>
                <c:pt idx="8">
                  <c:v>3.516543142458654</c:v>
                </c:pt>
                <c:pt idx="9">
                  <c:v>4.599707538507843</c:v>
                </c:pt>
                <c:pt idx="10">
                  <c:v>6.019474835858256</c:v>
                </c:pt>
                <c:pt idx="11">
                  <c:v>8.022115853163988</c:v>
                </c:pt>
                <c:pt idx="12">
                  <c:v>10.45604691888715</c:v>
                </c:pt>
                <c:pt idx="13">
                  <c:v>13.4125254091881</c:v>
                </c:pt>
                <c:pt idx="14">
                  <c:v>16.39521328296351</c:v>
                </c:pt>
                <c:pt idx="15">
                  <c:v>19.0460160254054</c:v>
                </c:pt>
                <c:pt idx="16">
                  <c:v>21.63892985518515</c:v>
                </c:pt>
                <c:pt idx="17">
                  <c:v>24.28130909176569</c:v>
                </c:pt>
                <c:pt idx="18">
                  <c:v>27.07644037575741</c:v>
                </c:pt>
                <c:pt idx="19">
                  <c:v>29.80467689313306</c:v>
                </c:pt>
                <c:pt idx="20">
                  <c:v>32.3984658079073</c:v>
                </c:pt>
                <c:pt idx="21">
                  <c:v>35.13389869633229</c:v>
                </c:pt>
                <c:pt idx="22">
                  <c:v>37.92367253493207</c:v>
                </c:pt>
                <c:pt idx="23">
                  <c:v>40.75922254357634</c:v>
                </c:pt>
                <c:pt idx="24">
                  <c:v>43.38597721167754</c:v>
                </c:pt>
                <c:pt idx="25">
                  <c:v>45.78088900193046</c:v>
                </c:pt>
                <c:pt idx="26">
                  <c:v>48.22866980962094</c:v>
                </c:pt>
                <c:pt idx="27">
                  <c:v>50.36992394400438</c:v>
                </c:pt>
                <c:pt idx="28">
                  <c:v>51.99108858677683</c:v>
                </c:pt>
                <c:pt idx="29">
                  <c:v>53.33546719935481</c:v>
                </c:pt>
                <c:pt idx="30">
                  <c:v>54.53957648617034</c:v>
                </c:pt>
                <c:pt idx="31">
                  <c:v>55.64999259159202</c:v>
                </c:pt>
                <c:pt idx="32">
                  <c:v>56.6152654333042</c:v>
                </c:pt>
                <c:pt idx="33">
                  <c:v>57.53030753386715</c:v>
                </c:pt>
                <c:pt idx="34">
                  <c:v>58.3846728341543</c:v>
                </c:pt>
                <c:pt idx="35">
                  <c:v>59.04514347486156</c:v>
                </c:pt>
                <c:pt idx="36">
                  <c:v>59.5895549140539</c:v>
                </c:pt>
                <c:pt idx="37">
                  <c:v>59.99311997767761</c:v>
                </c:pt>
                <c:pt idx="38">
                  <c:v>60.2524759820888</c:v>
                </c:pt>
                <c:pt idx="39">
                  <c:v>60.39915465207854</c:v>
                </c:pt>
                <c:pt idx="40">
                  <c:v>60.46887794567046</c:v>
                </c:pt>
                <c:pt idx="41">
                  <c:v>60.50728971899098</c:v>
                </c:pt>
                <c:pt idx="42">
                  <c:v>60.53749875188892</c:v>
                </c:pt>
                <c:pt idx="43">
                  <c:v>60.56744314875656</c:v>
                </c:pt>
                <c:pt idx="44">
                  <c:v>60.59456492405378</c:v>
                </c:pt>
                <c:pt idx="45">
                  <c:v>60.62128974530556</c:v>
                </c:pt>
                <c:pt idx="46">
                  <c:v>60.65136646018835</c:v>
                </c:pt>
                <c:pt idx="47">
                  <c:v>60.6851036479847</c:v>
                </c:pt>
                <c:pt idx="48">
                  <c:v>60.71711858579791</c:v>
                </c:pt>
                <c:pt idx="49">
                  <c:v>60.75129914232318</c:v>
                </c:pt>
                <c:pt idx="50">
                  <c:v>60.79081764061748</c:v>
                </c:pt>
                <c:pt idx="51">
                  <c:v>60.82916559676218</c:v>
                </c:pt>
                <c:pt idx="52">
                  <c:v>60.87041658038154</c:v>
                </c:pt>
                <c:pt idx="53">
                  <c:v>60.91428961988782</c:v>
                </c:pt>
                <c:pt idx="54">
                  <c:v>60.95839645678537</c:v>
                </c:pt>
                <c:pt idx="55">
                  <c:v>61.00395480742025</c:v>
                </c:pt>
                <c:pt idx="56">
                  <c:v>61.0541958450513</c:v>
                </c:pt>
                <c:pt idx="57">
                  <c:v>61.10607605641001</c:v>
                </c:pt>
                <c:pt idx="58">
                  <c:v>61.16385563431544</c:v>
                </c:pt>
                <c:pt idx="59">
                  <c:v>61.22247760858628</c:v>
                </c:pt>
                <c:pt idx="60">
                  <c:v>61.27365487257791</c:v>
                </c:pt>
                <c:pt idx="61">
                  <c:v>61.33577471832697</c:v>
                </c:pt>
                <c:pt idx="62">
                  <c:v>61.41110134533467</c:v>
                </c:pt>
                <c:pt idx="63">
                  <c:v>61.49185755356677</c:v>
                </c:pt>
                <c:pt idx="64">
                  <c:v>61.5727618661282</c:v>
                </c:pt>
                <c:pt idx="65">
                  <c:v>61.6660561168817</c:v>
                </c:pt>
                <c:pt idx="66">
                  <c:v>61.76606370188389</c:v>
                </c:pt>
                <c:pt idx="67">
                  <c:v>61.85002901942144</c:v>
                </c:pt>
                <c:pt idx="68">
                  <c:v>61.91444675153028</c:v>
                </c:pt>
                <c:pt idx="69">
                  <c:v>61.96272275127436</c:v>
                </c:pt>
                <c:pt idx="70">
                  <c:v>62.00319950052487</c:v>
                </c:pt>
                <c:pt idx="71">
                  <c:v>62.03849314475957</c:v>
                </c:pt>
                <c:pt idx="72">
                  <c:v>62.07408299765292</c:v>
                </c:pt>
                <c:pt idx="73">
                  <c:v>62.11041337219287</c:v>
                </c:pt>
                <c:pt idx="74">
                  <c:v>62.1420541406446</c:v>
                </c:pt>
                <c:pt idx="75">
                  <c:v>62.17344843288774</c:v>
                </c:pt>
                <c:pt idx="76">
                  <c:v>62.20879180957252</c:v>
                </c:pt>
                <c:pt idx="77">
                  <c:v>62.2460108100884</c:v>
                </c:pt>
                <c:pt idx="78">
                  <c:v>62.28372330953187</c:v>
                </c:pt>
                <c:pt idx="79">
                  <c:v>62.31951045269417</c:v>
                </c:pt>
                <c:pt idx="80">
                  <c:v>62.35539651424617</c:v>
                </c:pt>
                <c:pt idx="81">
                  <c:v>62.39182580717581</c:v>
                </c:pt>
                <c:pt idx="82">
                  <c:v>62.42707026547089</c:v>
                </c:pt>
                <c:pt idx="83">
                  <c:v>62.4630055129625</c:v>
                </c:pt>
                <c:pt idx="84">
                  <c:v>62.49908886478344</c:v>
                </c:pt>
                <c:pt idx="85">
                  <c:v>62.53462953173715</c:v>
                </c:pt>
                <c:pt idx="86">
                  <c:v>62.5711577430565</c:v>
                </c:pt>
                <c:pt idx="87">
                  <c:v>62.61064749445183</c:v>
                </c:pt>
                <c:pt idx="88">
                  <c:v>62.64584276680728</c:v>
                </c:pt>
                <c:pt idx="89">
                  <c:v>62.67689166445215</c:v>
                </c:pt>
                <c:pt idx="90">
                  <c:v>62.71346906171112</c:v>
                </c:pt>
                <c:pt idx="91">
                  <c:v>62.75147776981324</c:v>
                </c:pt>
                <c:pt idx="92">
                  <c:v>62.78504389454615</c:v>
                </c:pt>
                <c:pt idx="93">
                  <c:v>62.81599387380133</c:v>
                </c:pt>
                <c:pt idx="94">
                  <c:v>62.85271937538963</c:v>
                </c:pt>
                <c:pt idx="95">
                  <c:v>62.89290046249194</c:v>
                </c:pt>
                <c:pt idx="96">
                  <c:v>62.93344930701624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163032"/>
        <c:axId val="-2107006184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3458.0</c:v>
                </c:pt>
                <c:pt idx="1">
                  <c:v>6313.0</c:v>
                </c:pt>
                <c:pt idx="2">
                  <c:v>10495.0</c:v>
                </c:pt>
                <c:pt idx="3">
                  <c:v>26767.0</c:v>
                </c:pt>
                <c:pt idx="4">
                  <c:v>6340.0</c:v>
                </c:pt>
                <c:pt idx="5">
                  <c:v>13915.0</c:v>
                </c:pt>
                <c:pt idx="6">
                  <c:v>16883.0</c:v>
                </c:pt>
                <c:pt idx="7">
                  <c:v>25646.0</c:v>
                </c:pt>
                <c:pt idx="8">
                  <c:v>24956.0</c:v>
                </c:pt>
                <c:pt idx="9">
                  <c:v>25049.0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0.0562147365406379</c:v>
                  </c:pt>
                  <c:pt idx="4">
                    <c:v>0.0733532891491582</c:v>
                  </c:pt>
                  <c:pt idx="5">
                    <c:v>0.164283088482453</c:v>
                  </c:pt>
                  <c:pt idx="6">
                    <c:v>0.52636831685174</c:v>
                  </c:pt>
                  <c:pt idx="7">
                    <c:v>0.600920205233052</c:v>
                  </c:pt>
                  <c:pt idx="8">
                    <c:v>0.419859673834009</c:v>
                  </c:pt>
                  <c:pt idx="9">
                    <c:v>0.545492006270791</c:v>
                  </c:pt>
                  <c:pt idx="10">
                    <c:v>0.481630742749394</c:v>
                  </c:pt>
                  <c:pt idx="11">
                    <c:v>0.771220737367282</c:v>
                  </c:pt>
                  <c:pt idx="12">
                    <c:v>0.393394618158408</c:v>
                  </c:pt>
                  <c:pt idx="13">
                    <c:v>0.164283088482453</c:v>
                  </c:pt>
                  <c:pt idx="14">
                    <c:v>0.227126488691507</c:v>
                  </c:pt>
                  <c:pt idx="15">
                    <c:v>0.0924164575891834</c:v>
                  </c:pt>
                  <c:pt idx="16">
                    <c:v>0.0960420000000001</c:v>
                  </c:pt>
                </c:numCache>
              </c:numRef>
            </c:plus>
            <c:min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0.0562147365406379</c:v>
                  </c:pt>
                  <c:pt idx="4">
                    <c:v>0.0733532891491582</c:v>
                  </c:pt>
                  <c:pt idx="5">
                    <c:v>0.164283088482453</c:v>
                  </c:pt>
                  <c:pt idx="6">
                    <c:v>0.52636831685174</c:v>
                  </c:pt>
                  <c:pt idx="7">
                    <c:v>0.600920205233052</c:v>
                  </c:pt>
                  <c:pt idx="8">
                    <c:v>0.419859673834009</c:v>
                  </c:pt>
                  <c:pt idx="9">
                    <c:v>0.545492006270791</c:v>
                  </c:pt>
                  <c:pt idx="10">
                    <c:v>0.481630742749394</c:v>
                  </c:pt>
                  <c:pt idx="11">
                    <c:v>0.771220737367282</c:v>
                  </c:pt>
                  <c:pt idx="12">
                    <c:v>0.393394618158408</c:v>
                  </c:pt>
                  <c:pt idx="13">
                    <c:v>0.164283088482453</c:v>
                  </c:pt>
                  <c:pt idx="14">
                    <c:v>0.227126488691507</c:v>
                  </c:pt>
                  <c:pt idx="15">
                    <c:v>0.0924164575891834</c:v>
                  </c:pt>
                  <c:pt idx="16">
                    <c:v>0.0960420000000001</c:v>
                  </c:pt>
                </c:numCache>
              </c:numRef>
            </c:minus>
          </c:errBars>
          <c:xVal>
            <c:numRef>
              <c:f>OD600nm!$D$4:$D$20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30.25</c:v>
                </c:pt>
                <c:pt idx="16">
                  <c:v>48.0</c:v>
                </c:pt>
              </c:numCache>
            </c:numRef>
          </c:xVal>
          <c:yVal>
            <c:numRef>
              <c:f>OD600nm!$I$4:$I$20</c:f>
              <c:numCache>
                <c:formatCode>0.000</c:formatCode>
                <c:ptCount val="17"/>
                <c:pt idx="0">
                  <c:v>0.180284</c:v>
                </c:pt>
                <c:pt idx="1">
                  <c:v>0.2507148</c:v>
                </c:pt>
                <c:pt idx="2">
                  <c:v>0.420389</c:v>
                </c:pt>
                <c:pt idx="3">
                  <c:v>0.869098333333333</c:v>
                </c:pt>
                <c:pt idx="4">
                  <c:v>2.058952</c:v>
                </c:pt>
                <c:pt idx="5">
                  <c:v>3.937106666666667</c:v>
                </c:pt>
                <c:pt idx="6">
                  <c:v>6.188142666666668</c:v>
                </c:pt>
                <c:pt idx="7">
                  <c:v>8.162339333333335</c:v>
                </c:pt>
                <c:pt idx="8">
                  <c:v>9.336186</c:v>
                </c:pt>
                <c:pt idx="9">
                  <c:v>10.47801866666667</c:v>
                </c:pt>
                <c:pt idx="10">
                  <c:v>10.59540333333333</c:v>
                </c:pt>
                <c:pt idx="11">
                  <c:v>9.869752666666668</c:v>
                </c:pt>
                <c:pt idx="12">
                  <c:v>8.88799</c:v>
                </c:pt>
                <c:pt idx="13">
                  <c:v>9.133430666666665</c:v>
                </c:pt>
                <c:pt idx="14">
                  <c:v>6.081429333333334</c:v>
                </c:pt>
                <c:pt idx="15">
                  <c:v>4.672813333333333</c:v>
                </c:pt>
                <c:pt idx="16">
                  <c:v>3.733735999999999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212744"/>
        <c:axId val="-2094773560"/>
      </c:scatterChart>
      <c:valAx>
        <c:axId val="-2093163032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07006184"/>
        <c:crosses val="autoZero"/>
        <c:crossBetween val="midCat"/>
        <c:majorUnit val="6.0"/>
      </c:valAx>
      <c:valAx>
        <c:axId val="-210700618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93163032"/>
        <c:crosses val="autoZero"/>
        <c:crossBetween val="midCat"/>
      </c:valAx>
      <c:valAx>
        <c:axId val="-2094773560"/>
        <c:scaling>
          <c:orientation val="minMax"/>
          <c:max val="11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06212744"/>
        <c:crosses val="max"/>
        <c:crossBetween val="midCat"/>
        <c:majorUnit val="1.0"/>
        <c:minorUnit val="0.2"/>
      </c:valAx>
      <c:valAx>
        <c:axId val="-2106212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9477356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esktop/PhD/ELN/BATCH/Monocultures/Faecalibacterium%20prausnitzii/2014_10_29_Batch4_FP_Fructose%20%20%20/Batch_4_FP_Calcul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rmentation"/>
      <sheetName val="Calculation"/>
      <sheetName val="Plate Count"/>
      <sheetName val="Flow cytometer"/>
      <sheetName val="Calibration F. prausnitzii"/>
      <sheetName val="Determination cell count"/>
      <sheetName val="OD600nm"/>
      <sheetName val="CDM"/>
      <sheetName val="H2"/>
      <sheetName val="CO2"/>
      <sheetName val="Metabolites"/>
      <sheetName val="D-Fructose"/>
      <sheetName val="Formic acid"/>
      <sheetName val="Acetic acid"/>
      <sheetName val="Propionic acid"/>
      <sheetName val="Butyric acid"/>
      <sheetName val="Lactic acid"/>
      <sheetName val="Ethanol"/>
      <sheetName val="Graph"/>
      <sheetName val="Graph (2)"/>
      <sheetName val="Carbon recovery"/>
    </sheetNames>
    <sheetDataSet>
      <sheetData sheetId="0"/>
      <sheetData sheetId="1"/>
      <sheetData sheetId="2"/>
      <sheetData sheetId="3"/>
      <sheetData sheetId="4">
        <row r="4">
          <cell r="R4">
            <v>8.6158560019212569</v>
          </cell>
        </row>
        <row r="5">
          <cell r="R5">
            <v>7.5787871690098934</v>
          </cell>
        </row>
        <row r="7">
          <cell r="R7">
            <v>5.1662524519541604</v>
          </cell>
        </row>
        <row r="8">
          <cell r="R8">
            <v>4.3271429450900092</v>
          </cell>
        </row>
        <row r="9">
          <cell r="R9">
            <v>8.5970052819172</v>
          </cell>
        </row>
        <row r="12">
          <cell r="R12">
            <v>7.6386549561082937</v>
          </cell>
        </row>
        <row r="13">
          <cell r="R13">
            <v>7.3179159600467427</v>
          </cell>
        </row>
        <row r="14">
          <cell r="R14">
            <v>6.9795002471622967</v>
          </cell>
        </row>
        <row r="15">
          <cell r="R15">
            <v>6.7271414012566968</v>
          </cell>
        </row>
        <row r="16">
          <cell r="R16">
            <v>6.2583457855668376</v>
          </cell>
        </row>
        <row r="17">
          <cell r="R17">
            <v>5.8987549482286576</v>
          </cell>
        </row>
        <row r="18">
          <cell r="R18">
            <v>5.5136855181177333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13" sqref="B13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75.6640625" style="2" customWidth="1"/>
    <col min="4" max="16384" width="8.83203125" style="2"/>
  </cols>
  <sheetData>
    <row r="1" spans="1:3">
      <c r="A1" s="127" t="s">
        <v>0</v>
      </c>
      <c r="B1" s="128"/>
      <c r="C1" s="33">
        <v>42011</v>
      </c>
    </row>
    <row r="2" spans="1:3" ht="16">
      <c r="A2" s="127" t="s">
        <v>1</v>
      </c>
      <c r="B2" s="129"/>
      <c r="C2" s="31" t="s">
        <v>145</v>
      </c>
    </row>
    <row r="3" spans="1:3">
      <c r="A3" s="11"/>
      <c r="B3" s="11"/>
      <c r="C3" s="10"/>
    </row>
    <row r="4" spans="1:3">
      <c r="A4" s="130" t="s">
        <v>49</v>
      </c>
      <c r="B4" s="130"/>
      <c r="C4" s="7" t="s">
        <v>107</v>
      </c>
    </row>
    <row r="6" spans="1:3">
      <c r="A6" s="40" t="s">
        <v>83</v>
      </c>
      <c r="B6" s="40" t="s">
        <v>84</v>
      </c>
      <c r="C6" s="40" t="s">
        <v>69</v>
      </c>
    </row>
    <row r="7" spans="1:3">
      <c r="A7" s="31" t="s">
        <v>85</v>
      </c>
      <c r="B7" s="36" t="s">
        <v>86</v>
      </c>
      <c r="C7" s="36" t="s">
        <v>101</v>
      </c>
    </row>
    <row r="8" spans="1:3">
      <c r="A8" s="31" t="s">
        <v>87</v>
      </c>
      <c r="B8" s="36" t="s">
        <v>88</v>
      </c>
      <c r="C8" s="36" t="s">
        <v>101</v>
      </c>
    </row>
    <row r="9" spans="1:3">
      <c r="A9" s="31" t="s">
        <v>89</v>
      </c>
      <c r="B9" s="36" t="s">
        <v>90</v>
      </c>
      <c r="C9" s="36" t="s">
        <v>101</v>
      </c>
    </row>
    <row r="10" spans="1:3">
      <c r="A10" s="31" t="s">
        <v>91</v>
      </c>
      <c r="B10" s="36" t="s">
        <v>92</v>
      </c>
      <c r="C10" s="36" t="s">
        <v>101</v>
      </c>
    </row>
    <row r="11" spans="1:3">
      <c r="A11" s="29" t="s">
        <v>149</v>
      </c>
      <c r="B11" s="29" t="s">
        <v>152</v>
      </c>
      <c r="C11" s="29" t="s">
        <v>101</v>
      </c>
    </row>
    <row r="12" spans="1:3">
      <c r="A12" s="31" t="s">
        <v>73</v>
      </c>
      <c r="B12" s="36" t="s">
        <v>93</v>
      </c>
      <c r="C12" s="36" t="s">
        <v>101</v>
      </c>
    </row>
    <row r="13" spans="1:3" ht="16">
      <c r="A13" s="74" t="s">
        <v>77</v>
      </c>
      <c r="B13" s="36" t="s">
        <v>94</v>
      </c>
      <c r="C13" s="36" t="s">
        <v>101</v>
      </c>
    </row>
    <row r="14" spans="1:3" ht="16">
      <c r="A14" s="74" t="s">
        <v>76</v>
      </c>
      <c r="B14" s="36" t="s">
        <v>94</v>
      </c>
      <c r="C14" s="36" t="s">
        <v>101</v>
      </c>
    </row>
    <row r="15" spans="1:3" ht="16">
      <c r="A15" s="31" t="s">
        <v>109</v>
      </c>
      <c r="B15" s="36" t="s">
        <v>95</v>
      </c>
      <c r="C15" s="36" t="s">
        <v>101</v>
      </c>
    </row>
    <row r="16" spans="1:3" ht="16">
      <c r="A16" s="31" t="s">
        <v>108</v>
      </c>
      <c r="B16" s="36" t="s">
        <v>94</v>
      </c>
      <c r="C16" s="36" t="s">
        <v>101</v>
      </c>
    </row>
    <row r="17" spans="1:3" ht="16">
      <c r="A17" s="31" t="s">
        <v>110</v>
      </c>
      <c r="B17" s="36" t="s">
        <v>94</v>
      </c>
      <c r="C17" s="36" t="s">
        <v>101</v>
      </c>
    </row>
    <row r="18" spans="1:3" ht="16">
      <c r="A18" s="31" t="s">
        <v>111</v>
      </c>
      <c r="B18" s="36" t="s">
        <v>150</v>
      </c>
      <c r="C18" s="36" t="s">
        <v>101</v>
      </c>
    </row>
    <row r="19" spans="1:3" ht="16">
      <c r="A19" s="31" t="s">
        <v>75</v>
      </c>
      <c r="B19" s="36" t="s">
        <v>151</v>
      </c>
      <c r="C19" s="36" t="s">
        <v>101</v>
      </c>
    </row>
    <row r="20" spans="1:3" ht="16">
      <c r="A20" s="31" t="s">
        <v>112</v>
      </c>
      <c r="B20" s="36" t="s">
        <v>96</v>
      </c>
      <c r="C20" s="36" t="s">
        <v>101</v>
      </c>
    </row>
    <row r="21" spans="1:3" ht="16">
      <c r="A21" s="31" t="s">
        <v>113</v>
      </c>
      <c r="B21" s="36" t="s">
        <v>97</v>
      </c>
      <c r="C21" s="36" t="s">
        <v>101</v>
      </c>
    </row>
    <row r="22" spans="1:3" ht="16">
      <c r="A22" s="31" t="s">
        <v>114</v>
      </c>
      <c r="B22" s="36" t="s">
        <v>98</v>
      </c>
      <c r="C22" s="36" t="s">
        <v>101</v>
      </c>
    </row>
    <row r="23" spans="1:3" ht="16">
      <c r="A23" s="31" t="s">
        <v>115</v>
      </c>
      <c r="B23" s="36" t="s">
        <v>98</v>
      </c>
      <c r="C23" s="36" t="s">
        <v>101</v>
      </c>
    </row>
    <row r="24" spans="1:3">
      <c r="A24" s="31" t="s">
        <v>99</v>
      </c>
      <c r="B24" s="36" t="s">
        <v>98</v>
      </c>
      <c r="C24" s="36" t="s">
        <v>101</v>
      </c>
    </row>
    <row r="25" spans="1:3">
      <c r="A25" s="31" t="s">
        <v>100</v>
      </c>
      <c r="B25" s="36" t="s">
        <v>98</v>
      </c>
      <c r="C25" s="36" t="s">
        <v>101</v>
      </c>
    </row>
    <row r="26" spans="1:3">
      <c r="A26" s="31" t="s">
        <v>74</v>
      </c>
      <c r="B26" s="36" t="s">
        <v>102</v>
      </c>
      <c r="C26" s="36" t="s">
        <v>103</v>
      </c>
    </row>
    <row r="27" spans="1:3">
      <c r="A27" s="31" t="s">
        <v>104</v>
      </c>
      <c r="B27" s="36" t="s">
        <v>101</v>
      </c>
      <c r="C27" s="36" t="s">
        <v>106</v>
      </c>
    </row>
    <row r="28" spans="1:3">
      <c r="A28" s="31" t="s">
        <v>105</v>
      </c>
      <c r="B28" s="36" t="s">
        <v>101</v>
      </c>
      <c r="C28" s="36" t="s">
        <v>106</v>
      </c>
    </row>
    <row r="29" spans="1:3" ht="16">
      <c r="A29" s="29" t="s">
        <v>142</v>
      </c>
      <c r="B29" s="29" t="s">
        <v>143</v>
      </c>
      <c r="C29" s="29" t="s">
        <v>144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31" t="s">
        <v>4</v>
      </c>
      <c r="B1" s="131" t="s">
        <v>117</v>
      </c>
      <c r="C1" s="131" t="s">
        <v>117</v>
      </c>
      <c r="D1" s="131" t="s">
        <v>5</v>
      </c>
      <c r="E1" s="131" t="s">
        <v>19</v>
      </c>
      <c r="F1" s="131" t="s">
        <v>24</v>
      </c>
      <c r="G1" s="130" t="s">
        <v>25</v>
      </c>
      <c r="H1" s="127" t="s">
        <v>26</v>
      </c>
      <c r="I1" s="4" t="s">
        <v>27</v>
      </c>
      <c r="J1" s="52" t="s">
        <v>27</v>
      </c>
    </row>
    <row r="2" spans="1:10">
      <c r="A2" s="132"/>
      <c r="B2" s="132"/>
      <c r="C2" s="132"/>
      <c r="D2" s="132"/>
      <c r="E2" s="132"/>
      <c r="F2" s="132"/>
      <c r="G2" s="130"/>
      <c r="H2" s="127"/>
      <c r="I2" s="5" t="s">
        <v>28</v>
      </c>
      <c r="J2" s="53" t="s">
        <v>23</v>
      </c>
    </row>
    <row r="3" spans="1:10">
      <c r="A3" s="64" t="s">
        <v>6</v>
      </c>
      <c r="B3" s="65">
        <v>-10</v>
      </c>
      <c r="C3" s="65">
        <v>-10</v>
      </c>
      <c r="D3" s="13">
        <f>C3/60</f>
        <v>-0.16666666666666666</v>
      </c>
      <c r="E3" s="39">
        <v>1</v>
      </c>
      <c r="F3" s="50">
        <v>8.5000000000000006E-2</v>
      </c>
      <c r="G3" s="50">
        <v>8.5000000000000006E-2</v>
      </c>
      <c r="H3" s="50">
        <v>8.5000000000000006E-2</v>
      </c>
      <c r="I3" s="50">
        <f>E3*(AVERAGE(F3:H3)*1.6007-0.0118)</f>
        <v>0.12425949999999999</v>
      </c>
      <c r="J3" s="50">
        <f>E3*(STDEV(F3:H3)*1.6007)</f>
        <v>0</v>
      </c>
    </row>
    <row r="4" spans="1:10">
      <c r="A4" s="67">
        <v>0</v>
      </c>
      <c r="B4" s="68">
        <v>10</v>
      </c>
      <c r="C4" s="68">
        <v>10</v>
      </c>
      <c r="D4" s="13">
        <f t="shared" ref="D4:D18" si="0">C4/60</f>
        <v>0.16666666666666666</v>
      </c>
      <c r="E4" s="39">
        <v>1</v>
      </c>
      <c r="F4" s="49">
        <v>0.12</v>
      </c>
      <c r="G4" s="49">
        <v>0.12</v>
      </c>
      <c r="H4" s="49">
        <v>0.12</v>
      </c>
      <c r="I4" s="50">
        <f>E4*(AVERAGE(F4:H4)*1.6007-0.0118)</f>
        <v>0.180284</v>
      </c>
      <c r="J4" s="50">
        <f>E4*(STDEV(F4:H4)*1.6007)</f>
        <v>0</v>
      </c>
    </row>
    <row r="5" spans="1:10">
      <c r="A5" s="67">
        <v>1</v>
      </c>
      <c r="B5" s="68">
        <v>110</v>
      </c>
      <c r="C5" s="68">
        <v>120</v>
      </c>
      <c r="D5" s="13">
        <f t="shared" si="0"/>
        <v>2</v>
      </c>
      <c r="E5" s="39">
        <v>1</v>
      </c>
      <c r="F5" s="49">
        <v>0.16400000000000001</v>
      </c>
      <c r="G5" s="49">
        <v>0.16400000000000001</v>
      </c>
      <c r="H5" s="49">
        <v>0.16400000000000001</v>
      </c>
      <c r="I5" s="50">
        <f>E5*(AVERAGE(F5:H5)*1.6007-0.0118)</f>
        <v>0.25071480000000002</v>
      </c>
      <c r="J5" s="50">
        <f>E5*(STDEV(F5:H5)*1.6007)</f>
        <v>0</v>
      </c>
    </row>
    <row r="6" spans="1:10">
      <c r="A6" s="67">
        <v>2</v>
      </c>
      <c r="B6" s="68">
        <v>80</v>
      </c>
      <c r="C6" s="68">
        <v>200</v>
      </c>
      <c r="D6" s="13">
        <f t="shared" si="0"/>
        <v>3.3333333333333335</v>
      </c>
      <c r="E6" s="39">
        <v>1</v>
      </c>
      <c r="F6" s="49">
        <v>0.27</v>
      </c>
      <c r="G6" s="49">
        <v>0.27</v>
      </c>
      <c r="H6" s="49">
        <v>0.27</v>
      </c>
      <c r="I6" s="50">
        <f t="shared" ref="I6:I19" si="1">E6*(AVERAGE(F6:H6)*1.6007-0.0118)</f>
        <v>0.42038900000000007</v>
      </c>
      <c r="J6" s="50">
        <f t="shared" ref="J6:J18" si="2">E6*(STDEV(F6:H6)*1.6007)</f>
        <v>0</v>
      </c>
    </row>
    <row r="7" spans="1:10">
      <c r="A7" s="67">
        <v>3</v>
      </c>
      <c r="B7" s="68">
        <v>80</v>
      </c>
      <c r="C7" s="68">
        <v>280</v>
      </c>
      <c r="D7" s="13">
        <f t="shared" si="0"/>
        <v>4.666666666666667</v>
      </c>
      <c r="E7" s="39">
        <v>10</v>
      </c>
      <c r="F7" s="49">
        <v>5.8000000000000003E-2</v>
      </c>
      <c r="G7" s="49">
        <v>6.2E-2</v>
      </c>
      <c r="H7" s="49">
        <v>6.5000000000000002E-2</v>
      </c>
      <c r="I7" s="50">
        <f t="shared" si="1"/>
        <v>0.86909833333333331</v>
      </c>
      <c r="J7" s="50">
        <f t="shared" si="2"/>
        <v>5.6214736540637918E-2</v>
      </c>
    </row>
    <row r="8" spans="1:10">
      <c r="A8" s="67">
        <v>4</v>
      </c>
      <c r="B8" s="68">
        <v>80</v>
      </c>
      <c r="C8" s="68">
        <v>360</v>
      </c>
      <c r="D8" s="13">
        <f t="shared" si="0"/>
        <v>6</v>
      </c>
      <c r="E8" s="39">
        <v>10</v>
      </c>
      <c r="F8" s="49">
        <v>0.13100000000000001</v>
      </c>
      <c r="G8" s="49">
        <v>0.14000000000000001</v>
      </c>
      <c r="H8" s="49">
        <v>0.13700000000000001</v>
      </c>
      <c r="I8" s="50">
        <f t="shared" si="1"/>
        <v>2.0589520000000001</v>
      </c>
      <c r="J8" s="50">
        <f t="shared" si="2"/>
        <v>7.3353289149158202E-2</v>
      </c>
    </row>
    <row r="9" spans="1:10">
      <c r="A9" s="67">
        <v>5</v>
      </c>
      <c r="B9" s="68">
        <v>80</v>
      </c>
      <c r="C9" s="68">
        <v>440</v>
      </c>
      <c r="D9" s="13">
        <f t="shared" si="0"/>
        <v>7.333333333333333</v>
      </c>
      <c r="E9" s="39">
        <v>10</v>
      </c>
      <c r="F9" s="49">
        <v>0.24199999999999999</v>
      </c>
      <c r="G9" s="49">
        <v>0.25600000000000001</v>
      </c>
      <c r="H9" s="49">
        <v>0.26200000000000001</v>
      </c>
      <c r="I9" s="50">
        <f t="shared" si="1"/>
        <v>3.9371066666666672</v>
      </c>
      <c r="J9" s="50">
        <f t="shared" si="2"/>
        <v>0.16428308848245268</v>
      </c>
    </row>
    <row r="10" spans="1:10">
      <c r="A10" s="67">
        <v>6</v>
      </c>
      <c r="B10" s="68">
        <v>80</v>
      </c>
      <c r="C10" s="68">
        <v>520</v>
      </c>
      <c r="D10" s="13">
        <f t="shared" si="0"/>
        <v>8.6666666666666661</v>
      </c>
      <c r="E10" s="39">
        <v>20</v>
      </c>
      <c r="F10" s="49">
        <v>0.182</v>
      </c>
      <c r="G10" s="49">
        <v>0.20699999999999999</v>
      </c>
      <c r="H10" s="49">
        <v>0.21299999999999999</v>
      </c>
      <c r="I10" s="50">
        <f t="shared" si="1"/>
        <v>6.1881426666666677</v>
      </c>
      <c r="J10" s="50">
        <f t="shared" si="2"/>
        <v>0.52636831685173957</v>
      </c>
    </row>
    <row r="11" spans="1:10">
      <c r="A11" s="67">
        <v>7</v>
      </c>
      <c r="B11" s="68">
        <v>80</v>
      </c>
      <c r="C11" s="68">
        <v>600</v>
      </c>
      <c r="D11" s="13">
        <f t="shared" si="0"/>
        <v>10</v>
      </c>
      <c r="E11" s="39">
        <v>20</v>
      </c>
      <c r="F11" s="49">
        <v>0.24199999999999999</v>
      </c>
      <c r="G11" s="49">
        <v>0.26600000000000001</v>
      </c>
      <c r="H11" s="49">
        <v>0.27900000000000003</v>
      </c>
      <c r="I11" s="50">
        <f t="shared" si="1"/>
        <v>8.1623393333333354</v>
      </c>
      <c r="J11" s="50">
        <f t="shared" si="2"/>
        <v>0.60092020523305245</v>
      </c>
    </row>
    <row r="12" spans="1:10">
      <c r="A12" s="67">
        <v>8</v>
      </c>
      <c r="B12" s="68">
        <v>80</v>
      </c>
      <c r="C12" s="68">
        <v>680</v>
      </c>
      <c r="D12" s="13">
        <f t="shared" si="0"/>
        <v>11.333333333333334</v>
      </c>
      <c r="E12" s="39">
        <v>20</v>
      </c>
      <c r="F12" s="49">
        <v>0.28499999999999998</v>
      </c>
      <c r="G12" s="49">
        <v>0.30099999999999999</v>
      </c>
      <c r="H12" s="49">
        <v>0.311</v>
      </c>
      <c r="I12" s="50">
        <f t="shared" si="1"/>
        <v>9.3361859999999997</v>
      </c>
      <c r="J12" s="50">
        <f t="shared" si="2"/>
        <v>0.41985967383400885</v>
      </c>
    </row>
    <row r="13" spans="1:10">
      <c r="A13" s="67">
        <v>9</v>
      </c>
      <c r="B13" s="68">
        <v>80</v>
      </c>
      <c r="C13" s="68">
        <v>760</v>
      </c>
      <c r="D13" s="13">
        <f>C13/60</f>
        <v>12.666666666666666</v>
      </c>
      <c r="E13" s="39">
        <v>20</v>
      </c>
      <c r="F13" s="49">
        <v>0.315</v>
      </c>
      <c r="G13" s="49">
        <v>0.34399999999999997</v>
      </c>
      <c r="H13" s="49">
        <v>0.34499999999999997</v>
      </c>
      <c r="I13" s="50">
        <f t="shared" si="1"/>
        <v>10.478018666666667</v>
      </c>
      <c r="J13" s="50">
        <f t="shared" si="2"/>
        <v>0.54549200627079109</v>
      </c>
    </row>
    <row r="14" spans="1:10">
      <c r="A14" s="67">
        <v>10</v>
      </c>
      <c r="B14" s="68">
        <v>80</v>
      </c>
      <c r="C14" s="68">
        <v>840</v>
      </c>
      <c r="D14" s="13">
        <f t="shared" si="0"/>
        <v>14</v>
      </c>
      <c r="E14" s="39">
        <v>20</v>
      </c>
      <c r="F14" s="49">
        <v>0.32100000000000001</v>
      </c>
      <c r="G14" s="49">
        <v>0.34799999999999998</v>
      </c>
      <c r="H14" s="49">
        <v>0.34599999999999997</v>
      </c>
      <c r="I14" s="50">
        <f t="shared" si="1"/>
        <v>10.595403333333334</v>
      </c>
      <c r="J14" s="50">
        <f t="shared" si="2"/>
        <v>0.48163074274939383</v>
      </c>
    </row>
    <row r="15" spans="1:10">
      <c r="A15" s="67">
        <v>11</v>
      </c>
      <c r="B15" s="68">
        <v>80</v>
      </c>
      <c r="C15" s="68">
        <v>920</v>
      </c>
      <c r="D15" s="13">
        <f t="shared" si="0"/>
        <v>15.333333333333334</v>
      </c>
      <c r="E15" s="39">
        <v>20</v>
      </c>
      <c r="F15" s="49">
        <v>0.28799999999999998</v>
      </c>
      <c r="G15" s="49">
        <v>0.33200000000000002</v>
      </c>
      <c r="H15" s="49">
        <v>0.32700000000000001</v>
      </c>
      <c r="I15" s="50">
        <f t="shared" si="1"/>
        <v>9.8697526666666686</v>
      </c>
      <c r="J15" s="50">
        <f t="shared" si="2"/>
        <v>0.77122073736728203</v>
      </c>
    </row>
    <row r="16" spans="1:10">
      <c r="A16" s="67">
        <v>12</v>
      </c>
      <c r="B16" s="68">
        <v>80</v>
      </c>
      <c r="C16" s="68">
        <v>1000</v>
      </c>
      <c r="D16" s="13">
        <f t="shared" si="0"/>
        <v>16.666666666666668</v>
      </c>
      <c r="E16" s="39">
        <v>20</v>
      </c>
      <c r="F16" s="49">
        <v>0.27600000000000002</v>
      </c>
      <c r="G16" s="49">
        <v>0.28000000000000003</v>
      </c>
      <c r="H16" s="49">
        <v>0.29899999999999999</v>
      </c>
      <c r="I16" s="50">
        <f t="shared" si="1"/>
        <v>8.8879900000000003</v>
      </c>
      <c r="J16" s="50">
        <f t="shared" si="2"/>
        <v>0.39339461815840782</v>
      </c>
    </row>
    <row r="17" spans="1:10">
      <c r="A17" s="67">
        <v>13</v>
      </c>
      <c r="B17" s="68">
        <v>80</v>
      </c>
      <c r="C17" s="68">
        <v>1080</v>
      </c>
      <c r="D17" s="13">
        <f t="shared" si="0"/>
        <v>18</v>
      </c>
      <c r="E17" s="39">
        <v>20</v>
      </c>
      <c r="F17" s="49">
        <v>0.28699999999999998</v>
      </c>
      <c r="G17" s="49">
        <v>0.29399999999999998</v>
      </c>
      <c r="H17" s="49">
        <v>0.29699999999999999</v>
      </c>
      <c r="I17" s="50">
        <f t="shared" si="1"/>
        <v>9.1334306666666656</v>
      </c>
      <c r="J17" s="50">
        <f t="shared" si="2"/>
        <v>0.16428308848245271</v>
      </c>
    </row>
    <row r="18" spans="1:10">
      <c r="A18" s="67">
        <v>14</v>
      </c>
      <c r="B18" s="68">
        <v>360</v>
      </c>
      <c r="C18" s="68">
        <v>1440</v>
      </c>
      <c r="D18" s="13">
        <f t="shared" si="0"/>
        <v>24</v>
      </c>
      <c r="E18" s="39">
        <v>20</v>
      </c>
      <c r="F18" s="49">
        <v>0.191</v>
      </c>
      <c r="G18" s="49">
        <v>0.20499999999999999</v>
      </c>
      <c r="H18" s="49">
        <v>0.19600000000000001</v>
      </c>
      <c r="I18" s="50">
        <f t="shared" si="1"/>
        <v>6.0814293333333342</v>
      </c>
      <c r="J18" s="50">
        <f t="shared" si="2"/>
        <v>0.22712648869150692</v>
      </c>
    </row>
    <row r="19" spans="1:10">
      <c r="A19" s="67">
        <v>15</v>
      </c>
      <c r="B19" s="68">
        <v>375</v>
      </c>
      <c r="C19" s="68">
        <v>1815</v>
      </c>
      <c r="D19" s="13">
        <f>C19/60</f>
        <v>30.25</v>
      </c>
      <c r="E19" s="39">
        <v>20</v>
      </c>
      <c r="F19" s="49">
        <v>0.15</v>
      </c>
      <c r="G19" s="49">
        <v>0.155</v>
      </c>
      <c r="H19" s="49">
        <v>0.155</v>
      </c>
      <c r="I19" s="50">
        <f t="shared" si="1"/>
        <v>4.672813333333333</v>
      </c>
      <c r="J19" s="50">
        <f>E19*(STDEV(F19:H19)*1.6007)</f>
        <v>9.2416457589183459E-2</v>
      </c>
    </row>
    <row r="20" spans="1:10">
      <c r="A20" s="67">
        <v>16</v>
      </c>
      <c r="B20" s="68">
        <v>1065</v>
      </c>
      <c r="C20" s="68">
        <v>2880</v>
      </c>
      <c r="D20" s="13">
        <f t="shared" ref="D20" si="3">C20/60</f>
        <v>48</v>
      </c>
      <c r="E20" s="39">
        <v>20</v>
      </c>
      <c r="F20" s="49">
        <v>0.127</v>
      </c>
      <c r="G20" s="49">
        <v>0.121</v>
      </c>
      <c r="H20" s="49">
        <v>0.124</v>
      </c>
      <c r="I20" s="50">
        <f t="shared" ref="I20" si="4">E20*(AVERAGE(F20:H20)*1.6007-0.0118)</f>
        <v>3.7337359999999995</v>
      </c>
      <c r="J20" s="50">
        <f t="shared" ref="J20" si="5">E20*(STDEV(F20:H20)*1.6007)</f>
        <v>9.6042000000000086E-2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9" sqref="D19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31" t="s">
        <v>4</v>
      </c>
      <c r="B1" s="131" t="s">
        <v>117</v>
      </c>
      <c r="C1" s="131" t="s">
        <v>117</v>
      </c>
      <c r="D1" s="131" t="s">
        <v>5</v>
      </c>
      <c r="E1" s="4" t="s">
        <v>29</v>
      </c>
      <c r="F1" s="4" t="s">
        <v>2</v>
      </c>
      <c r="G1" s="4" t="s">
        <v>32</v>
      </c>
    </row>
    <row r="2" spans="1:7">
      <c r="A2" s="132"/>
      <c r="B2" s="132"/>
      <c r="C2" s="132"/>
      <c r="D2" s="132"/>
      <c r="E2" s="5" t="s">
        <v>30</v>
      </c>
      <c r="F2" s="5" t="s">
        <v>31</v>
      </c>
      <c r="G2" s="5" t="s">
        <v>33</v>
      </c>
    </row>
    <row r="3" spans="1:7">
      <c r="A3" s="64" t="s">
        <v>6</v>
      </c>
      <c r="B3" s="65">
        <v>-10</v>
      </c>
      <c r="C3" s="65">
        <v>-10</v>
      </c>
      <c r="D3" s="13">
        <f>C3/60</f>
        <v>-0.16666666666666666</v>
      </c>
      <c r="E3" s="1"/>
      <c r="F3" s="1"/>
      <c r="G3" s="1" t="e">
        <f>(F3-$C$22)/E3*1000*Calculation!I4/Calculation!K3</f>
        <v>#DIV/0!</v>
      </c>
    </row>
    <row r="4" spans="1:7">
      <c r="A4" s="67">
        <v>0</v>
      </c>
      <c r="B4" s="68">
        <v>10</v>
      </c>
      <c r="C4" s="68">
        <v>10</v>
      </c>
      <c r="D4" s="13">
        <f t="shared" ref="D4:D18" si="0">C4/60</f>
        <v>0.16666666666666666</v>
      </c>
      <c r="E4" s="1"/>
      <c r="F4" s="1"/>
      <c r="G4" s="1" t="e">
        <f>(F4-$C$22)/E4*1000*Calculation!I5/Calculation!K4</f>
        <v>#DIV/0!</v>
      </c>
    </row>
    <row r="5" spans="1:7">
      <c r="A5" s="67">
        <v>1</v>
      </c>
      <c r="B5" s="68">
        <v>110</v>
      </c>
      <c r="C5" s="68">
        <v>120</v>
      </c>
      <c r="D5" s="13">
        <f t="shared" si="0"/>
        <v>2</v>
      </c>
      <c r="E5" s="1"/>
      <c r="F5" s="1"/>
      <c r="G5" s="1" t="e">
        <f>(F5-$C$22)/E5*1000*Calculation!I6/Calculation!K5</f>
        <v>#DIV/0!</v>
      </c>
    </row>
    <row r="6" spans="1:7">
      <c r="A6" s="67">
        <v>2</v>
      </c>
      <c r="B6" s="68">
        <v>80</v>
      </c>
      <c r="C6" s="68">
        <v>200</v>
      </c>
      <c r="D6" s="13">
        <f t="shared" si="0"/>
        <v>3.3333333333333335</v>
      </c>
      <c r="E6" s="1"/>
      <c r="F6" s="1"/>
      <c r="G6" s="1" t="e">
        <f>(F6-$C$22)/E6*1000*Calculation!I7/Calculation!K6</f>
        <v>#DIV/0!</v>
      </c>
    </row>
    <row r="7" spans="1:7">
      <c r="A7" s="67">
        <v>3</v>
      </c>
      <c r="B7" s="68">
        <v>80</v>
      </c>
      <c r="C7" s="68">
        <v>280</v>
      </c>
      <c r="D7" s="13">
        <f t="shared" si="0"/>
        <v>4.666666666666667</v>
      </c>
      <c r="E7" s="1"/>
      <c r="F7" s="1"/>
      <c r="G7" s="1" t="e">
        <f>(F7-$C$22)/E7*1000*Calculation!I8/Calculation!K7</f>
        <v>#DIV/0!</v>
      </c>
    </row>
    <row r="8" spans="1:7">
      <c r="A8" s="67">
        <v>4</v>
      </c>
      <c r="B8" s="68">
        <v>80</v>
      </c>
      <c r="C8" s="68">
        <v>360</v>
      </c>
      <c r="D8" s="13">
        <f t="shared" si="0"/>
        <v>6</v>
      </c>
      <c r="E8" s="1"/>
      <c r="F8" s="1"/>
      <c r="G8" s="1" t="e">
        <f>(F8-$C$22)/E8*1000*Calculation!I9/Calculation!K8</f>
        <v>#DIV/0!</v>
      </c>
    </row>
    <row r="9" spans="1:7">
      <c r="A9" s="67">
        <v>5</v>
      </c>
      <c r="B9" s="68">
        <v>80</v>
      </c>
      <c r="C9" s="68">
        <v>440</v>
      </c>
      <c r="D9" s="13">
        <f t="shared" si="0"/>
        <v>7.333333333333333</v>
      </c>
      <c r="E9" s="1"/>
      <c r="F9" s="1"/>
      <c r="G9" s="1" t="e">
        <f>(F9-$C$22)/E9*1000*Calculation!I10/Calculation!K9</f>
        <v>#DIV/0!</v>
      </c>
    </row>
    <row r="10" spans="1:7">
      <c r="A10" s="67">
        <v>6</v>
      </c>
      <c r="B10" s="68">
        <v>80</v>
      </c>
      <c r="C10" s="68">
        <v>520</v>
      </c>
      <c r="D10" s="13">
        <f t="shared" si="0"/>
        <v>8.6666666666666661</v>
      </c>
      <c r="E10" s="1"/>
      <c r="F10" s="1"/>
      <c r="G10" s="1" t="e">
        <f>(F10-$C$22)/E10*1000*Calculation!I11/Calculation!K10</f>
        <v>#DIV/0!</v>
      </c>
    </row>
    <row r="11" spans="1:7">
      <c r="A11" s="67">
        <v>7</v>
      </c>
      <c r="B11" s="68">
        <v>80</v>
      </c>
      <c r="C11" s="68">
        <v>600</v>
      </c>
      <c r="D11" s="13">
        <f t="shared" si="0"/>
        <v>10</v>
      </c>
      <c r="E11" s="1"/>
      <c r="F11" s="1"/>
      <c r="G11" s="1" t="e">
        <f>(F11-$C$22)/E11*1000*Calculation!I12/Calculation!K11</f>
        <v>#DIV/0!</v>
      </c>
    </row>
    <row r="12" spans="1:7">
      <c r="A12" s="67">
        <v>8</v>
      </c>
      <c r="B12" s="68">
        <v>80</v>
      </c>
      <c r="C12" s="68">
        <v>680</v>
      </c>
      <c r="D12" s="13">
        <f t="shared" si="0"/>
        <v>11.333333333333334</v>
      </c>
      <c r="E12" s="1"/>
      <c r="F12" s="1"/>
      <c r="G12" s="1" t="e">
        <f>(F12-$C$22)/E12*1000*Calculation!I13/Calculation!K12</f>
        <v>#DIV/0!</v>
      </c>
    </row>
    <row r="13" spans="1:7">
      <c r="A13" s="67">
        <v>9</v>
      </c>
      <c r="B13" s="68">
        <v>80</v>
      </c>
      <c r="C13" s="68">
        <v>760</v>
      </c>
      <c r="D13" s="13">
        <f>C13/60</f>
        <v>12.666666666666666</v>
      </c>
      <c r="E13" s="36"/>
      <c r="F13" s="36"/>
      <c r="G13" s="36" t="e">
        <f>(F13-$C$22)/E13*1000*Calculation!I14/Calculation!K13</f>
        <v>#DIV/0!</v>
      </c>
    </row>
    <row r="14" spans="1:7">
      <c r="A14" s="67">
        <v>10</v>
      </c>
      <c r="B14" s="68">
        <v>80</v>
      </c>
      <c r="C14" s="68">
        <v>840</v>
      </c>
      <c r="D14" s="13">
        <f t="shared" si="0"/>
        <v>14</v>
      </c>
      <c r="E14" s="36"/>
      <c r="F14" s="36"/>
      <c r="G14" s="36" t="e">
        <f>(F14-$C$22)/E14*1000*Calculation!I15/Calculation!K14</f>
        <v>#DIV/0!</v>
      </c>
    </row>
    <row r="15" spans="1:7">
      <c r="A15" s="67">
        <v>11</v>
      </c>
      <c r="B15" s="68">
        <v>80</v>
      </c>
      <c r="C15" s="68">
        <v>920</v>
      </c>
      <c r="D15" s="13">
        <f t="shared" si="0"/>
        <v>15.333333333333334</v>
      </c>
      <c r="E15" s="36"/>
      <c r="F15" s="36"/>
      <c r="G15" s="36" t="e">
        <f>(F15-$C$22)/E15*1000*Calculation!I16/Calculation!K15</f>
        <v>#DIV/0!</v>
      </c>
    </row>
    <row r="16" spans="1:7">
      <c r="A16" s="67">
        <v>12</v>
      </c>
      <c r="B16" s="68">
        <v>80</v>
      </c>
      <c r="C16" s="68">
        <v>1000</v>
      </c>
      <c r="D16" s="13">
        <f t="shared" si="0"/>
        <v>16.666666666666668</v>
      </c>
      <c r="E16" s="36"/>
      <c r="F16" s="36"/>
      <c r="G16" s="36" t="e">
        <f>(F16-$C$22)/E16*1000*Calculation!I17/Calculation!K16</f>
        <v>#DIV/0!</v>
      </c>
    </row>
    <row r="17" spans="1:7" ht="15" customHeight="1">
      <c r="A17" s="67">
        <v>13</v>
      </c>
      <c r="B17" s="68">
        <v>80</v>
      </c>
      <c r="C17" s="68">
        <v>1080</v>
      </c>
      <c r="D17" s="13">
        <f t="shared" si="0"/>
        <v>18</v>
      </c>
      <c r="E17" s="36"/>
      <c r="F17" s="36"/>
      <c r="G17" s="36" t="e">
        <f>(F17-$C$22)/E17*1000*Calculation!I18/Calculation!K17</f>
        <v>#DIV/0!</v>
      </c>
    </row>
    <row r="18" spans="1:7">
      <c r="A18" s="67">
        <v>14</v>
      </c>
      <c r="B18" s="68">
        <v>360</v>
      </c>
      <c r="C18" s="68">
        <v>1440</v>
      </c>
      <c r="D18" s="13">
        <f t="shared" si="0"/>
        <v>24</v>
      </c>
      <c r="E18" s="36"/>
      <c r="F18" s="36"/>
      <c r="G18" s="36" t="e">
        <f>(F18-$C$22)/E18*1000*Calculation!I19/Calculation!K18</f>
        <v>#DIV/0!</v>
      </c>
    </row>
    <row r="19" spans="1:7">
      <c r="A19" s="67">
        <v>15</v>
      </c>
      <c r="B19" s="68">
        <v>375</v>
      </c>
      <c r="C19" s="68">
        <v>1815</v>
      </c>
      <c r="D19" s="13">
        <f>C19/60</f>
        <v>30.25</v>
      </c>
      <c r="E19" s="39"/>
      <c r="F19" s="39"/>
      <c r="G19" s="39" t="e">
        <f>(F19-$C$22)/E19*1000*Calculation!I21/Calculation!K19</f>
        <v>#DIV/0!</v>
      </c>
    </row>
    <row r="20" spans="1:7">
      <c r="A20" s="67">
        <v>16</v>
      </c>
      <c r="B20" s="68">
        <v>1065</v>
      </c>
      <c r="C20" s="68">
        <v>2880</v>
      </c>
      <c r="D20" s="13">
        <f t="shared" ref="D20" si="1">C20/60</f>
        <v>48</v>
      </c>
      <c r="E20" s="39"/>
      <c r="F20" s="39"/>
      <c r="G20" s="39" t="e">
        <f>(F20-$C$22)/E20*1000*Calculation!I22/Calculation!K20</f>
        <v>#DIV/0!</v>
      </c>
    </row>
    <row r="22" spans="1:7">
      <c r="A22" s="152" t="s">
        <v>3</v>
      </c>
      <c r="B22" s="153"/>
      <c r="C22" s="1"/>
    </row>
  </sheetData>
  <mergeCells count="5">
    <mergeCell ref="A22:B2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topLeftCell="A34" workbookViewId="0">
      <selection activeCell="F5" sqref="F5:F101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10" max="10" width="12" bestFit="1" customWidth="1"/>
    <col min="11" max="11" width="8.5" customWidth="1"/>
  </cols>
  <sheetData>
    <row r="1" spans="1:10">
      <c r="A1" s="23" t="s">
        <v>50</v>
      </c>
      <c r="B1" s="12">
        <v>70.2</v>
      </c>
      <c r="C1" s="26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30" t="s">
        <v>5</v>
      </c>
      <c r="B3" s="130" t="s">
        <v>36</v>
      </c>
      <c r="C3" s="130"/>
      <c r="D3" s="130" t="s">
        <v>52</v>
      </c>
      <c r="E3" s="130"/>
      <c r="F3" s="130"/>
      <c r="G3" s="23" t="s">
        <v>53</v>
      </c>
    </row>
    <row r="4" spans="1:10">
      <c r="A4" s="130"/>
      <c r="B4" s="23" t="s">
        <v>54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</row>
    <row r="5" spans="1:10">
      <c r="A5" s="12">
        <v>0</v>
      </c>
      <c r="B5" s="12">
        <v>541.92999999999995</v>
      </c>
      <c r="C5" s="12">
        <f>B5/1000</f>
        <v>0.54192999999999991</v>
      </c>
      <c r="D5" s="12">
        <f>C5/1000*$B$1</f>
        <v>3.8043485999999994E-2</v>
      </c>
      <c r="E5" s="12">
        <f>D5/22.4</f>
        <v>1.6983699107142856E-3</v>
      </c>
      <c r="F5" s="12">
        <f>E5/Calculation!K$4*1000</f>
        <v>1.0999081937519619E-3</v>
      </c>
      <c r="G5" s="12">
        <f>(0+F5)/2*30</f>
        <v>1.6498622906279427E-2</v>
      </c>
      <c r="I5" s="80">
        <v>-0.16666666666666666</v>
      </c>
      <c r="J5" t="s">
        <v>161</v>
      </c>
    </row>
    <row r="6" spans="1:10">
      <c r="A6" s="12">
        <v>0.5</v>
      </c>
      <c r="B6" s="12">
        <v>2036.77</v>
      </c>
      <c r="C6" s="12">
        <f t="shared" ref="C6:C69" si="0">B6/1000</f>
        <v>2.0367700000000002</v>
      </c>
      <c r="D6" s="12">
        <f>C6/1000*$B$1</f>
        <v>0.14298125400000003</v>
      </c>
      <c r="E6" s="12">
        <f>D6/22.4</f>
        <v>6.3830916964285733E-3</v>
      </c>
      <c r="F6" s="12">
        <f>E6/Calculation!K$4*1000</f>
        <v>4.133854947665167E-3</v>
      </c>
      <c r="G6" s="12">
        <f>G5+(F6+F5)/2*30</f>
        <v>9.5005070027536359E-2</v>
      </c>
      <c r="I6" s="80">
        <v>0.16666666666666666</v>
      </c>
      <c r="J6" t="s">
        <v>162</v>
      </c>
    </row>
    <row r="7" spans="1:10">
      <c r="A7" s="12">
        <v>1</v>
      </c>
      <c r="B7" s="12">
        <v>3035.73</v>
      </c>
      <c r="C7" s="12">
        <f t="shared" si="0"/>
        <v>3.03573</v>
      </c>
      <c r="D7" s="12">
        <f t="shared" ref="D7:D69" si="1">C7/1000*$B$1</f>
        <v>0.213108246</v>
      </c>
      <c r="E7" s="12">
        <f t="shared" ref="E7:E69" si="2">D7/22.4</f>
        <v>9.5137609821428579E-3</v>
      </c>
      <c r="F7" s="12">
        <f>E7/Calculation!K$4*1000</f>
        <v>6.1613571882321401E-3</v>
      </c>
      <c r="G7" s="12">
        <f t="shared" ref="G7:G70" si="3">G6+(F7+F6)/2*30</f>
        <v>0.24943325206599595</v>
      </c>
      <c r="I7" s="80">
        <v>2</v>
      </c>
      <c r="J7" t="s">
        <v>163</v>
      </c>
    </row>
    <row r="8" spans="1:10">
      <c r="A8" s="12">
        <v>1.5</v>
      </c>
      <c r="B8" s="12">
        <v>4612.76</v>
      </c>
      <c r="C8" s="12">
        <f t="shared" si="0"/>
        <v>4.6127600000000006</v>
      </c>
      <c r="D8" s="12">
        <f t="shared" si="1"/>
        <v>0.32381575200000007</v>
      </c>
      <c r="E8" s="12">
        <f t="shared" si="2"/>
        <v>1.4456060357142862E-2</v>
      </c>
      <c r="F8" s="12">
        <f>E8/Calculation!K$4*1000</f>
        <v>9.362117837748974E-3</v>
      </c>
      <c r="G8" s="12">
        <f t="shared" si="3"/>
        <v>0.48228537745571265</v>
      </c>
      <c r="I8" s="80">
        <v>3.3333333333333335</v>
      </c>
      <c r="J8" t="s">
        <v>164</v>
      </c>
    </row>
    <row r="9" spans="1:10">
      <c r="A9" s="12">
        <v>2</v>
      </c>
      <c r="B9" s="12">
        <v>6219.6</v>
      </c>
      <c r="C9" s="12">
        <f t="shared" si="0"/>
        <v>6.2196000000000007</v>
      </c>
      <c r="D9" s="12">
        <f t="shared" si="1"/>
        <v>0.43661592000000005</v>
      </c>
      <c r="E9" s="12">
        <f t="shared" si="2"/>
        <v>1.9491782142857145E-2</v>
      </c>
      <c r="F9" s="12">
        <f>E9/Calculation!K$5*1000</f>
        <v>1.2958441139176749E-2</v>
      </c>
      <c r="G9" s="12">
        <f t="shared" si="3"/>
        <v>0.8170937621095985</v>
      </c>
      <c r="I9" s="80">
        <v>4.666666666666667</v>
      </c>
      <c r="J9" t="s">
        <v>165</v>
      </c>
    </row>
    <row r="10" spans="1:10">
      <c r="A10" s="12">
        <v>2.5</v>
      </c>
      <c r="B10" s="12">
        <v>7209.53</v>
      </c>
      <c r="C10" s="12">
        <f t="shared" si="0"/>
        <v>7.20953</v>
      </c>
      <c r="D10" s="12">
        <f t="shared" si="1"/>
        <v>0.50610900599999997</v>
      </c>
      <c r="E10" s="12">
        <f t="shared" si="2"/>
        <v>2.2594152053571428E-2</v>
      </c>
      <c r="F10" s="12">
        <f>E10/Calculation!K$5*1000</f>
        <v>1.5020945100348725E-2</v>
      </c>
      <c r="G10" s="12">
        <f t="shared" si="3"/>
        <v>1.2367845557024806</v>
      </c>
      <c r="I10" s="80">
        <v>6</v>
      </c>
      <c r="J10" t="s">
        <v>166</v>
      </c>
    </row>
    <row r="11" spans="1:10">
      <c r="A11" s="12">
        <v>3</v>
      </c>
      <c r="B11" s="12">
        <v>9631.98</v>
      </c>
      <c r="C11" s="12">
        <f t="shared" si="0"/>
        <v>9.6319800000000004</v>
      </c>
      <c r="D11" s="12">
        <f t="shared" si="1"/>
        <v>0.67616499600000002</v>
      </c>
      <c r="E11" s="12">
        <f t="shared" si="2"/>
        <v>3.0185937321428574E-2</v>
      </c>
      <c r="F11" s="12">
        <f>E11/Calculation!K$5*1000</f>
        <v>2.0068082494650405E-2</v>
      </c>
      <c r="G11" s="12">
        <f t="shared" si="3"/>
        <v>1.7631199696274675</v>
      </c>
      <c r="I11" s="80">
        <v>7.333333333333333</v>
      </c>
      <c r="J11" t="s">
        <v>167</v>
      </c>
    </row>
    <row r="12" spans="1:10">
      <c r="A12" s="12">
        <v>3.5</v>
      </c>
      <c r="B12" s="12">
        <v>13667.58</v>
      </c>
      <c r="C12" s="12">
        <f t="shared" si="0"/>
        <v>13.667579999999999</v>
      </c>
      <c r="D12" s="12">
        <f t="shared" si="1"/>
        <v>0.95946411599999992</v>
      </c>
      <c r="E12" s="12">
        <f t="shared" si="2"/>
        <v>4.2833219464285713E-2</v>
      </c>
      <c r="F12" s="12">
        <f>E12/Calculation!K$6*1000</f>
        <v>2.9272051313763987E-2</v>
      </c>
      <c r="G12" s="12">
        <f t="shared" si="3"/>
        <v>2.5032219767536832</v>
      </c>
      <c r="I12" s="80">
        <v>8.6666666666666661</v>
      </c>
      <c r="J12" t="s">
        <v>168</v>
      </c>
    </row>
    <row r="13" spans="1:10">
      <c r="A13" s="12">
        <v>4</v>
      </c>
      <c r="B13" s="12">
        <v>17874.79</v>
      </c>
      <c r="C13" s="12">
        <f t="shared" si="0"/>
        <v>17.874790000000001</v>
      </c>
      <c r="D13" s="12">
        <f t="shared" si="1"/>
        <v>1.2548102580000002</v>
      </c>
      <c r="E13" s="12">
        <f t="shared" si="2"/>
        <v>5.6018315089285731E-2</v>
      </c>
      <c r="F13" s="12">
        <f>E13/Calculation!K$6*1000</f>
        <v>3.8282693066567425E-2</v>
      </c>
      <c r="G13" s="12">
        <f t="shared" si="3"/>
        <v>3.5165431424586542</v>
      </c>
      <c r="I13" s="80">
        <v>10</v>
      </c>
      <c r="J13" t="s">
        <v>169</v>
      </c>
    </row>
    <row r="14" spans="1:10">
      <c r="A14" s="12">
        <v>4.5</v>
      </c>
      <c r="B14" s="12">
        <v>15841.64</v>
      </c>
      <c r="C14" s="12">
        <f t="shared" si="0"/>
        <v>15.84164</v>
      </c>
      <c r="D14" s="12">
        <f t="shared" si="1"/>
        <v>1.1120831280000001</v>
      </c>
      <c r="E14" s="12">
        <f t="shared" si="2"/>
        <v>4.9646568214285723E-2</v>
      </c>
      <c r="F14" s="12">
        <f>E14/Calculation!K$6*1000</f>
        <v>3.3928266670045192E-2</v>
      </c>
      <c r="G14" s="12">
        <f t="shared" si="3"/>
        <v>4.5997075385078432</v>
      </c>
      <c r="I14" s="80">
        <v>11.333333333333334</v>
      </c>
      <c r="J14" t="s">
        <v>170</v>
      </c>
    </row>
    <row r="15" spans="1:10">
      <c r="A15" s="12">
        <v>5</v>
      </c>
      <c r="B15" s="12">
        <v>27369.48</v>
      </c>
      <c r="C15" s="12">
        <f t="shared" si="0"/>
        <v>27.369479999999999</v>
      </c>
      <c r="D15" s="12">
        <f t="shared" si="1"/>
        <v>1.921337496</v>
      </c>
      <c r="E15" s="12">
        <f t="shared" si="2"/>
        <v>8.5773995357142863E-2</v>
      </c>
      <c r="F15" s="12">
        <f>E15/Calculation!K$7*1000</f>
        <v>6.0722886486649016E-2</v>
      </c>
      <c r="G15" s="12">
        <f t="shared" si="3"/>
        <v>6.0194748358582562</v>
      </c>
      <c r="I15" s="80">
        <v>12.666666666666666</v>
      </c>
      <c r="J15" t="s">
        <v>171</v>
      </c>
    </row>
    <row r="16" spans="1:10">
      <c r="A16" s="12">
        <v>5.5</v>
      </c>
      <c r="B16" s="12">
        <v>32806.89</v>
      </c>
      <c r="C16" s="12">
        <f t="shared" si="0"/>
        <v>32.806890000000003</v>
      </c>
      <c r="D16" s="12">
        <f t="shared" si="1"/>
        <v>2.3030436780000003</v>
      </c>
      <c r="E16" s="12">
        <f t="shared" si="2"/>
        <v>0.10281444991071431</v>
      </c>
      <c r="F16" s="12">
        <f>E16/Calculation!K$7*1000</f>
        <v>7.2786514667066413E-2</v>
      </c>
      <c r="G16" s="12">
        <f t="shared" si="3"/>
        <v>8.0221158531639887</v>
      </c>
      <c r="I16" s="80">
        <v>14</v>
      </c>
      <c r="J16" t="s">
        <v>172</v>
      </c>
    </row>
    <row r="17" spans="1:10">
      <c r="A17" s="12">
        <v>6</v>
      </c>
      <c r="B17" s="12">
        <v>38944.29</v>
      </c>
      <c r="C17" s="12">
        <f t="shared" si="0"/>
        <v>38.944290000000002</v>
      </c>
      <c r="D17" s="12">
        <f t="shared" si="1"/>
        <v>2.7338891580000002</v>
      </c>
      <c r="E17" s="12">
        <f t="shared" si="2"/>
        <v>0.12204862312500002</v>
      </c>
      <c r="F17" s="12">
        <f>E17/Calculation!K$8*1000</f>
        <v>8.9475556381144475E-2</v>
      </c>
      <c r="G17" s="12">
        <f t="shared" si="3"/>
        <v>10.456046918887152</v>
      </c>
      <c r="I17" s="80">
        <v>15.333333333333334</v>
      </c>
      <c r="J17" t="s">
        <v>173</v>
      </c>
    </row>
    <row r="18" spans="1:10">
      <c r="A18" s="12">
        <v>6.5</v>
      </c>
      <c r="B18" s="12">
        <v>46842.98</v>
      </c>
      <c r="C18" s="12">
        <f t="shared" si="0"/>
        <v>46.842980000000004</v>
      </c>
      <c r="D18" s="12">
        <f t="shared" si="1"/>
        <v>3.2883771960000008</v>
      </c>
      <c r="E18" s="12">
        <f t="shared" si="2"/>
        <v>0.14680255339285719</v>
      </c>
      <c r="F18" s="12">
        <f>E18/Calculation!K$8*1000</f>
        <v>0.10762300963891816</v>
      </c>
      <c r="G18" s="12">
        <f t="shared" si="3"/>
        <v>13.412525409188092</v>
      </c>
      <c r="I18" s="80">
        <v>16.666666666666668</v>
      </c>
      <c r="J18" t="s">
        <v>174</v>
      </c>
    </row>
    <row r="19" spans="1:10">
      <c r="A19" s="12">
        <v>7</v>
      </c>
      <c r="B19" s="12">
        <v>39704.800000000003</v>
      </c>
      <c r="C19" s="12">
        <f t="shared" si="0"/>
        <v>39.704800000000006</v>
      </c>
      <c r="D19" s="12">
        <f t="shared" si="1"/>
        <v>2.7872769600000007</v>
      </c>
      <c r="E19" s="12">
        <f t="shared" si="2"/>
        <v>0.12443200714285718</v>
      </c>
      <c r="F19" s="12">
        <f>E19/Calculation!K$8*1000</f>
        <v>9.1222848612776505E-2</v>
      </c>
      <c r="G19" s="12">
        <f t="shared" si="3"/>
        <v>16.39521328296351</v>
      </c>
      <c r="I19" s="80">
        <v>18</v>
      </c>
      <c r="J19" t="s">
        <v>175</v>
      </c>
    </row>
    <row r="20" spans="1:10">
      <c r="A20" s="12">
        <v>7.5</v>
      </c>
      <c r="B20" s="12">
        <v>35875.14</v>
      </c>
      <c r="C20" s="12">
        <f t="shared" si="0"/>
        <v>35.875140000000002</v>
      </c>
      <c r="D20" s="12">
        <f t="shared" si="1"/>
        <v>2.5184348280000002</v>
      </c>
      <c r="E20" s="12">
        <f t="shared" si="2"/>
        <v>0.11243012625000001</v>
      </c>
      <c r="F20" s="12">
        <f>E20/Calculation!K$9*1000</f>
        <v>8.549733421668293E-2</v>
      </c>
      <c r="G20" s="12">
        <f t="shared" si="3"/>
        <v>19.0460160254054</v>
      </c>
      <c r="I20" s="80">
        <v>24</v>
      </c>
      <c r="J20" t="s">
        <v>176</v>
      </c>
    </row>
    <row r="21" spans="1:10">
      <c r="A21" s="12">
        <v>8</v>
      </c>
      <c r="B21" s="12">
        <v>36658.230000000003</v>
      </c>
      <c r="C21" s="12">
        <f t="shared" si="0"/>
        <v>36.658230000000003</v>
      </c>
      <c r="D21" s="12">
        <f t="shared" si="1"/>
        <v>2.573407746</v>
      </c>
      <c r="E21" s="12">
        <f t="shared" si="2"/>
        <v>0.11488427437500001</v>
      </c>
      <c r="F21" s="12">
        <f>E21/Calculation!K$9*1000</f>
        <v>8.736358776863401E-2</v>
      </c>
      <c r="G21" s="12">
        <f t="shared" si="3"/>
        <v>21.638929855185154</v>
      </c>
      <c r="I21" s="80">
        <v>30.25</v>
      </c>
      <c r="J21" t="s">
        <v>177</v>
      </c>
    </row>
    <row r="22" spans="1:10">
      <c r="A22" s="12">
        <v>8.5</v>
      </c>
      <c r="B22" s="12">
        <v>37258.870000000003</v>
      </c>
      <c r="C22" s="12">
        <f t="shared" si="0"/>
        <v>37.258870000000002</v>
      </c>
      <c r="D22" s="12">
        <f t="shared" si="1"/>
        <v>2.615572674</v>
      </c>
      <c r="E22" s="12">
        <f t="shared" si="2"/>
        <v>0.11676663723214287</v>
      </c>
      <c r="F22" s="12">
        <f>E22/Calculation!K$9*1000</f>
        <v>8.8795028003401277E-2</v>
      </c>
      <c r="G22" s="12">
        <f t="shared" si="3"/>
        <v>24.281309091765685</v>
      </c>
      <c r="I22" s="80">
        <v>48</v>
      </c>
      <c r="J22" t="s">
        <v>178</v>
      </c>
    </row>
    <row r="23" spans="1:10">
      <c r="A23" s="12">
        <v>9</v>
      </c>
      <c r="B23" s="12">
        <v>39572.93</v>
      </c>
      <c r="C23" s="12">
        <f t="shared" si="0"/>
        <v>39.572929999999999</v>
      </c>
      <c r="D23" s="12">
        <f t="shared" si="1"/>
        <v>2.7780196859999999</v>
      </c>
      <c r="E23" s="12">
        <f t="shared" si="2"/>
        <v>0.12401873598214286</v>
      </c>
      <c r="F23" s="12">
        <f>E23/Calculation!K$10*1000</f>
        <v>9.7547057596047329E-2</v>
      </c>
      <c r="G23" s="12">
        <f t="shared" si="3"/>
        <v>27.076440375757414</v>
      </c>
    </row>
    <row r="24" spans="1:10">
      <c r="A24" s="12">
        <v>9.5</v>
      </c>
      <c r="B24" s="12">
        <v>34213.21</v>
      </c>
      <c r="C24" s="12">
        <f t="shared" si="0"/>
        <v>34.213209999999997</v>
      </c>
      <c r="D24" s="12">
        <f t="shared" si="1"/>
        <v>2.4017673419999999</v>
      </c>
      <c r="E24" s="12">
        <f t="shared" si="2"/>
        <v>0.10722175633928571</v>
      </c>
      <c r="F24" s="12">
        <f>E24/Calculation!K$10*1000</f>
        <v>8.4335376895662312E-2</v>
      </c>
      <c r="G24" s="12">
        <f t="shared" si="3"/>
        <v>29.80467689313306</v>
      </c>
    </row>
    <row r="25" spans="1:10">
      <c r="A25" s="12">
        <v>10</v>
      </c>
      <c r="B25" s="12">
        <v>34719.01</v>
      </c>
      <c r="C25" s="12">
        <f t="shared" si="0"/>
        <v>34.719010000000004</v>
      </c>
      <c r="D25" s="12">
        <f t="shared" si="1"/>
        <v>2.4372745020000002</v>
      </c>
      <c r="E25" s="12">
        <f t="shared" si="2"/>
        <v>0.1088068974107143</v>
      </c>
      <c r="F25" s="12">
        <f>E25/Calculation!K$11*1000</f>
        <v>8.8583884089286663E-2</v>
      </c>
      <c r="G25" s="12">
        <f t="shared" si="3"/>
        <v>32.398465807907293</v>
      </c>
    </row>
    <row r="26" spans="1:10">
      <c r="A26" s="12">
        <v>10.5</v>
      </c>
      <c r="B26" s="12">
        <v>36754.879999999997</v>
      </c>
      <c r="C26" s="12">
        <f t="shared" si="0"/>
        <v>36.75488</v>
      </c>
      <c r="D26" s="12">
        <f t="shared" si="1"/>
        <v>2.580192576</v>
      </c>
      <c r="E26" s="12">
        <f t="shared" si="2"/>
        <v>0.11518716857142858</v>
      </c>
      <c r="F26" s="12">
        <f>E26/Calculation!K$11*1000</f>
        <v>9.3778308472379834E-2</v>
      </c>
      <c r="G26" s="12">
        <f t="shared" si="3"/>
        <v>35.133898696332288</v>
      </c>
    </row>
    <row r="27" spans="1:10">
      <c r="A27" s="12">
        <v>11</v>
      </c>
      <c r="B27" s="12">
        <v>36138.879999999997</v>
      </c>
      <c r="C27" s="12">
        <f t="shared" si="0"/>
        <v>36.13888</v>
      </c>
      <c r="D27" s="12">
        <f t="shared" si="1"/>
        <v>2.5369493759999999</v>
      </c>
      <c r="E27" s="12">
        <f t="shared" si="2"/>
        <v>0.11325666857142858</v>
      </c>
      <c r="F27" s="12">
        <f>E27/Calculation!K$11*1000</f>
        <v>9.220661410093893E-2</v>
      </c>
      <c r="G27" s="12">
        <f t="shared" si="3"/>
        <v>37.923672534932066</v>
      </c>
    </row>
    <row r="28" spans="1:10">
      <c r="A28" s="12">
        <v>11.5</v>
      </c>
      <c r="B28" s="12">
        <v>36689.839999999997</v>
      </c>
      <c r="C28" s="12">
        <f t="shared" si="0"/>
        <v>36.689839999999997</v>
      </c>
      <c r="D28" s="12">
        <f t="shared" si="1"/>
        <v>2.5756267679999998</v>
      </c>
      <c r="E28" s="12">
        <f t="shared" si="2"/>
        <v>0.11498333785714286</v>
      </c>
      <c r="F28" s="12">
        <f>E28/Calculation!K$12*1000</f>
        <v>9.6830053142012762E-2</v>
      </c>
      <c r="G28" s="12">
        <f t="shared" si="3"/>
        <v>40.759222543576342</v>
      </c>
    </row>
    <row r="29" spans="1:10">
      <c r="A29" s="12">
        <v>12</v>
      </c>
      <c r="B29" s="12">
        <v>29663.67</v>
      </c>
      <c r="C29" s="12">
        <f t="shared" si="0"/>
        <v>29.66367</v>
      </c>
      <c r="D29" s="12">
        <f t="shared" si="1"/>
        <v>2.0823896340000001</v>
      </c>
      <c r="E29" s="12">
        <f t="shared" si="2"/>
        <v>9.2963822946428576E-2</v>
      </c>
      <c r="F29" s="12">
        <f>E29/Calculation!K$12*1000</f>
        <v>7.8286924731400559E-2</v>
      </c>
      <c r="G29" s="12">
        <f t="shared" si="3"/>
        <v>43.385977211677542</v>
      </c>
    </row>
    <row r="30" spans="1:10">
      <c r="A30" s="12">
        <v>12.5</v>
      </c>
      <c r="B30" s="12">
        <v>30833.34</v>
      </c>
      <c r="C30" s="12">
        <f t="shared" si="0"/>
        <v>30.83334</v>
      </c>
      <c r="D30" s="12">
        <f t="shared" si="1"/>
        <v>2.164500468</v>
      </c>
      <c r="E30" s="12">
        <f t="shared" si="2"/>
        <v>9.6629485178571436E-2</v>
      </c>
      <c r="F30" s="12">
        <f>E30/Calculation!K$12*1000</f>
        <v>8.1373861285460716E-2</v>
      </c>
      <c r="G30" s="12">
        <f t="shared" si="3"/>
        <v>45.780889001930461</v>
      </c>
    </row>
    <row r="31" spans="1:10">
      <c r="A31" s="12">
        <v>13</v>
      </c>
      <c r="B31" s="12">
        <v>29918.38</v>
      </c>
      <c r="C31" s="12">
        <f t="shared" si="0"/>
        <v>29.918380000000003</v>
      </c>
      <c r="D31" s="12">
        <f t="shared" si="1"/>
        <v>2.1002702760000003</v>
      </c>
      <c r="E31" s="12">
        <f t="shared" si="2"/>
        <v>9.3762065892857155E-2</v>
      </c>
      <c r="F31" s="12">
        <f>E31/Calculation!K$13*1000</f>
        <v>8.1811525893905085E-2</v>
      </c>
      <c r="G31" s="12">
        <f t="shared" si="3"/>
        <v>48.228669809620946</v>
      </c>
    </row>
    <row r="32" spans="1:10">
      <c r="A32" s="12">
        <v>13.5</v>
      </c>
      <c r="B32" s="12">
        <v>22285.23</v>
      </c>
      <c r="C32" s="12">
        <f t="shared" si="0"/>
        <v>22.285229999999999</v>
      </c>
      <c r="D32" s="12">
        <f t="shared" si="1"/>
        <v>1.564423146</v>
      </c>
      <c r="E32" s="12">
        <f t="shared" si="2"/>
        <v>6.9840319017857144E-2</v>
      </c>
      <c r="F32" s="12">
        <f>E32/Calculation!K$13*1000</f>
        <v>6.093874973165761E-2</v>
      </c>
      <c r="G32" s="12">
        <f t="shared" si="3"/>
        <v>50.369923944004384</v>
      </c>
    </row>
    <row r="33" spans="1:7">
      <c r="A33" s="12">
        <v>14</v>
      </c>
      <c r="B33" s="12">
        <v>16591.310000000001</v>
      </c>
      <c r="C33" s="12">
        <f t="shared" si="0"/>
        <v>16.59131</v>
      </c>
      <c r="D33" s="12">
        <f t="shared" si="1"/>
        <v>1.1647099620000001</v>
      </c>
      <c r="E33" s="12">
        <f t="shared" si="2"/>
        <v>5.1995980446428579E-2</v>
      </c>
      <c r="F33" s="12">
        <f>E33/Calculation!K$14*1000</f>
        <v>4.7138893119838335E-2</v>
      </c>
      <c r="G33" s="12">
        <f t="shared" si="3"/>
        <v>51.991088586776826</v>
      </c>
    </row>
    <row r="34" spans="1:7">
      <c r="A34" s="12">
        <v>14.5</v>
      </c>
      <c r="B34" s="12">
        <v>14953.77</v>
      </c>
      <c r="C34" s="12">
        <f t="shared" si="0"/>
        <v>14.95377</v>
      </c>
      <c r="D34" s="12">
        <f t="shared" si="1"/>
        <v>1.049754654</v>
      </c>
      <c r="E34" s="12">
        <f t="shared" si="2"/>
        <v>4.6864047053571431E-2</v>
      </c>
      <c r="F34" s="12">
        <f>E34/Calculation!K$14*1000</f>
        <v>4.2486347718693994E-2</v>
      </c>
      <c r="G34" s="12">
        <f t="shared" si="3"/>
        <v>53.33546719935481</v>
      </c>
    </row>
    <row r="35" spans="1:7">
      <c r="A35" s="12">
        <v>15</v>
      </c>
      <c r="B35" s="12">
        <v>13299.97</v>
      </c>
      <c r="C35" s="12">
        <f t="shared" si="0"/>
        <v>13.29997</v>
      </c>
      <c r="D35" s="12">
        <f t="shared" si="1"/>
        <v>0.93365789399999999</v>
      </c>
      <c r="E35" s="12">
        <f t="shared" si="2"/>
        <v>4.1681155982142858E-2</v>
      </c>
      <c r="F35" s="12">
        <f>E35/Calculation!K$14*1000</f>
        <v>3.7787604735675252E-2</v>
      </c>
      <c r="G35" s="12">
        <f t="shared" si="3"/>
        <v>54.539576486170347</v>
      </c>
    </row>
    <row r="36" spans="1:7">
      <c r="A36" s="12">
        <v>15.5</v>
      </c>
      <c r="B36" s="12">
        <v>12257.65</v>
      </c>
      <c r="C36" s="12">
        <f t="shared" si="0"/>
        <v>12.25765</v>
      </c>
      <c r="D36" s="12">
        <f t="shared" si="1"/>
        <v>0.86048703000000004</v>
      </c>
      <c r="E36" s="12">
        <f t="shared" si="2"/>
        <v>3.8414599553571432E-2</v>
      </c>
      <c r="F36" s="12">
        <f>E36/Calculation!K$15*1000</f>
        <v>3.6240135625769387E-2</v>
      </c>
      <c r="G36" s="12">
        <f t="shared" si="3"/>
        <v>55.649992591592017</v>
      </c>
    </row>
    <row r="37" spans="1:7">
      <c r="A37" s="12">
        <v>16</v>
      </c>
      <c r="B37" s="12">
        <v>9508.23</v>
      </c>
      <c r="C37" s="12">
        <f t="shared" si="0"/>
        <v>9.5082299999999993</v>
      </c>
      <c r="D37" s="12">
        <f t="shared" si="1"/>
        <v>0.66747774599999998</v>
      </c>
      <c r="E37" s="12">
        <f t="shared" si="2"/>
        <v>2.9798113660714286E-2</v>
      </c>
      <c r="F37" s="12">
        <f>E37/Calculation!K$15*1000</f>
        <v>2.8111387155042709E-2</v>
      </c>
      <c r="G37" s="12">
        <f t="shared" si="3"/>
        <v>56.615265433304202</v>
      </c>
    </row>
    <row r="38" spans="1:7">
      <c r="A38" s="12">
        <v>16.5</v>
      </c>
      <c r="B38" s="12">
        <v>11125</v>
      </c>
      <c r="C38" s="12">
        <f t="shared" si="0"/>
        <v>11.125</v>
      </c>
      <c r="D38" s="12">
        <f t="shared" si="1"/>
        <v>0.78097499999999997</v>
      </c>
      <c r="E38" s="12">
        <f t="shared" si="2"/>
        <v>3.486495535714286E-2</v>
      </c>
      <c r="F38" s="12">
        <f>E38/Calculation!K$15*1000</f>
        <v>3.2891419549153755E-2</v>
      </c>
      <c r="G38" s="12">
        <f t="shared" si="3"/>
        <v>57.530307533867152</v>
      </c>
    </row>
    <row r="39" spans="1:7">
      <c r="A39" s="12">
        <v>17</v>
      </c>
      <c r="B39" s="12">
        <v>7759.59</v>
      </c>
      <c r="C39" s="12">
        <f t="shared" si="0"/>
        <v>7.7595900000000002</v>
      </c>
      <c r="D39" s="12">
        <f t="shared" si="1"/>
        <v>0.54472321800000001</v>
      </c>
      <c r="E39" s="12">
        <f t="shared" si="2"/>
        <v>2.4318000803571431E-2</v>
      </c>
      <c r="F39" s="12">
        <f>E39/Calculation!K$16*1000</f>
        <v>2.4066267136656234E-2</v>
      </c>
      <c r="G39" s="12">
        <f t="shared" si="3"/>
        <v>58.384672834154301</v>
      </c>
    </row>
    <row r="40" spans="1:7">
      <c r="A40" s="12">
        <v>17.5</v>
      </c>
      <c r="B40" s="12">
        <v>6437.27</v>
      </c>
      <c r="C40" s="12">
        <f t="shared" si="0"/>
        <v>6.4372700000000007</v>
      </c>
      <c r="D40" s="12">
        <f t="shared" si="1"/>
        <v>0.45189635400000011</v>
      </c>
      <c r="E40" s="12">
        <f t="shared" si="2"/>
        <v>2.0173944375000006E-2</v>
      </c>
      <c r="F40" s="12">
        <f>E40/Calculation!K$16*1000</f>
        <v>1.9965108910494384E-2</v>
      </c>
      <c r="G40" s="12">
        <f t="shared" si="3"/>
        <v>59.045143474861561</v>
      </c>
    </row>
    <row r="41" spans="1:7">
      <c r="A41" s="12">
        <v>18</v>
      </c>
      <c r="B41" s="12">
        <v>5016.5</v>
      </c>
      <c r="C41" s="12">
        <f t="shared" si="0"/>
        <v>5.0164999999999997</v>
      </c>
      <c r="D41" s="12">
        <f t="shared" si="1"/>
        <v>0.35215830000000004</v>
      </c>
      <c r="E41" s="12">
        <f t="shared" si="2"/>
        <v>1.5721352678571433E-2</v>
      </c>
      <c r="F41" s="12">
        <f>E41/Calculation!K$17*1000</f>
        <v>1.6328987035661484E-2</v>
      </c>
      <c r="G41" s="12">
        <f t="shared" si="3"/>
        <v>59.589554914053899</v>
      </c>
    </row>
    <row r="42" spans="1:7">
      <c r="A42" s="12">
        <v>18.5</v>
      </c>
      <c r="B42" s="12">
        <v>3248.9</v>
      </c>
      <c r="C42" s="12">
        <f t="shared" si="0"/>
        <v>3.2488999999999999</v>
      </c>
      <c r="D42" s="12">
        <f t="shared" si="1"/>
        <v>0.22807278</v>
      </c>
      <c r="E42" s="12">
        <f t="shared" si="2"/>
        <v>1.0181820535714287E-2</v>
      </c>
      <c r="F42" s="12">
        <f>E42/Calculation!K$17*1000</f>
        <v>1.0575350539252583E-2</v>
      </c>
      <c r="G42" s="12">
        <f t="shared" si="3"/>
        <v>59.993119977677608</v>
      </c>
    </row>
    <row r="43" spans="1:7">
      <c r="A43" s="12">
        <v>19</v>
      </c>
      <c r="B43" s="12">
        <v>2062.96</v>
      </c>
      <c r="C43" s="12">
        <f t="shared" si="0"/>
        <v>2.0629599999999999</v>
      </c>
      <c r="D43" s="12">
        <f t="shared" si="1"/>
        <v>0.144819792</v>
      </c>
      <c r="E43" s="12">
        <f t="shared" si="2"/>
        <v>6.4651692857142862E-3</v>
      </c>
      <c r="F43" s="12">
        <f>E43/Calculation!K$17*1000</f>
        <v>6.7150497548267131E-3</v>
      </c>
      <c r="G43" s="12">
        <f t="shared" si="3"/>
        <v>60.252475982088797</v>
      </c>
    </row>
    <row r="44" spans="1:7">
      <c r="A44" s="12">
        <v>19.5</v>
      </c>
      <c r="B44" s="12">
        <v>941.16</v>
      </c>
      <c r="C44" s="12">
        <f t="shared" si="0"/>
        <v>0.94116</v>
      </c>
      <c r="D44" s="12">
        <f t="shared" si="1"/>
        <v>6.6069431999999997E-2</v>
      </c>
      <c r="E44" s="12">
        <f t="shared" si="2"/>
        <v>2.9495282142857145E-3</v>
      </c>
      <c r="F44" s="12">
        <f>E44/Calculation!K$17*1000</f>
        <v>3.0635282444898154E-3</v>
      </c>
      <c r="G44" s="12">
        <f t="shared" si="3"/>
        <v>60.399154652078543</v>
      </c>
    </row>
    <row r="45" spans="1:7">
      <c r="A45" s="12">
        <v>20</v>
      </c>
      <c r="B45" s="12">
        <v>486.84</v>
      </c>
      <c r="C45" s="12">
        <f t="shared" si="0"/>
        <v>0.48683999999999999</v>
      </c>
      <c r="D45" s="12">
        <f t="shared" si="1"/>
        <v>3.4176168E-2</v>
      </c>
      <c r="E45" s="12">
        <f t="shared" si="2"/>
        <v>1.5257217857142858E-3</v>
      </c>
      <c r="F45" s="12">
        <f>E45/Calculation!K$17*1000</f>
        <v>1.5846913283048807E-3</v>
      </c>
      <c r="G45" s="12">
        <f t="shared" si="3"/>
        <v>60.468877945670464</v>
      </c>
    </row>
    <row r="46" spans="1:7">
      <c r="A46" s="12">
        <v>20.5</v>
      </c>
      <c r="B46" s="12">
        <v>299.87</v>
      </c>
      <c r="C46" s="12">
        <f t="shared" si="0"/>
        <v>0.29987000000000003</v>
      </c>
      <c r="D46" s="12">
        <f t="shared" si="1"/>
        <v>2.1050874000000004E-2</v>
      </c>
      <c r="E46" s="12">
        <f t="shared" si="2"/>
        <v>9.3977116071428601E-4</v>
      </c>
      <c r="F46" s="12">
        <f>E46/Calculation!K$17*1000</f>
        <v>9.7609355972965394E-4</v>
      </c>
      <c r="G46" s="12">
        <f t="shared" si="3"/>
        <v>60.507289718990982</v>
      </c>
    </row>
    <row r="47" spans="1:7">
      <c r="A47" s="12">
        <v>21</v>
      </c>
      <c r="B47" s="12">
        <v>318.83999999999997</v>
      </c>
      <c r="C47" s="12">
        <f t="shared" si="0"/>
        <v>0.31883999999999996</v>
      </c>
      <c r="D47" s="12">
        <f t="shared" si="1"/>
        <v>2.2382567999999999E-2</v>
      </c>
      <c r="E47" s="12">
        <f t="shared" si="2"/>
        <v>9.9922178571428574E-4</v>
      </c>
      <c r="F47" s="12">
        <f>E47/Calculation!K$17*1000</f>
        <v>1.0378419667996224E-3</v>
      </c>
      <c r="G47" s="12">
        <f t="shared" si="3"/>
        <v>60.537498751888918</v>
      </c>
    </row>
    <row r="48" spans="1:7">
      <c r="A48" s="12">
        <v>21.5</v>
      </c>
      <c r="B48" s="12">
        <v>294.45</v>
      </c>
      <c r="C48" s="12">
        <f t="shared" si="0"/>
        <v>0.29444999999999999</v>
      </c>
      <c r="D48" s="12">
        <f t="shared" si="1"/>
        <v>2.067039E-2</v>
      </c>
      <c r="E48" s="12">
        <f t="shared" si="2"/>
        <v>9.227852678571429E-4</v>
      </c>
      <c r="F48" s="12">
        <f>E48/Calculation!K$17*1000</f>
        <v>9.5845115770966263E-4</v>
      </c>
      <c r="G48" s="12">
        <f t="shared" si="3"/>
        <v>60.56744314875656</v>
      </c>
    </row>
    <row r="49" spans="1:7">
      <c r="A49" s="12">
        <v>22</v>
      </c>
      <c r="B49" s="12">
        <v>261.02999999999997</v>
      </c>
      <c r="C49" s="12">
        <f t="shared" si="0"/>
        <v>0.26102999999999998</v>
      </c>
      <c r="D49" s="12">
        <f t="shared" si="1"/>
        <v>1.8324305999999999E-2</v>
      </c>
      <c r="E49" s="12">
        <f t="shared" si="2"/>
        <v>8.1804937499999997E-4</v>
      </c>
      <c r="F49" s="12">
        <f>E49/Calculation!K$17*1000</f>
        <v>8.4966719543879505E-4</v>
      </c>
      <c r="G49" s="12">
        <f t="shared" si="3"/>
        <v>60.594564924053785</v>
      </c>
    </row>
    <row r="50" spans="1:7">
      <c r="A50" s="12">
        <v>22.5</v>
      </c>
      <c r="B50" s="12">
        <v>286.32</v>
      </c>
      <c r="C50" s="12">
        <f t="shared" si="0"/>
        <v>0.28632000000000002</v>
      </c>
      <c r="D50" s="12">
        <f t="shared" si="1"/>
        <v>2.0099664000000003E-2</v>
      </c>
      <c r="E50" s="12">
        <f t="shared" si="2"/>
        <v>8.9730642857142873E-4</v>
      </c>
      <c r="F50" s="12">
        <f>E50/Calculation!K$17*1000</f>
        <v>9.3198755467967622E-4</v>
      </c>
      <c r="G50" s="12">
        <f t="shared" si="3"/>
        <v>60.62128974530556</v>
      </c>
    </row>
    <row r="51" spans="1:7">
      <c r="A51" s="12">
        <v>23</v>
      </c>
      <c r="B51" s="12">
        <v>329.68</v>
      </c>
      <c r="C51" s="12">
        <f t="shared" si="0"/>
        <v>0.32968000000000003</v>
      </c>
      <c r="D51" s="12">
        <f t="shared" si="1"/>
        <v>2.3143536000000006E-2</v>
      </c>
      <c r="E51" s="12">
        <f t="shared" si="2"/>
        <v>1.0331935714285717E-3</v>
      </c>
      <c r="F51" s="12">
        <f>E51/Calculation!K$17*1000</f>
        <v>1.073126770839605E-3</v>
      </c>
      <c r="G51" s="12">
        <f t="shared" si="3"/>
        <v>60.651366460188349</v>
      </c>
    </row>
    <row r="52" spans="1:7">
      <c r="A52" s="12">
        <v>23.5</v>
      </c>
      <c r="B52" s="12">
        <v>361.29</v>
      </c>
      <c r="C52" s="12">
        <f t="shared" si="0"/>
        <v>0.36129</v>
      </c>
      <c r="D52" s="12">
        <f t="shared" si="1"/>
        <v>2.5362558E-2</v>
      </c>
      <c r="E52" s="12">
        <f t="shared" si="2"/>
        <v>1.1322570535714286E-3</v>
      </c>
      <c r="F52" s="12">
        <f>E52/Calculation!K$17*1000</f>
        <v>1.1760190822513975E-3</v>
      </c>
      <c r="G52" s="12">
        <f t="shared" si="3"/>
        <v>60.685103647984711</v>
      </c>
    </row>
    <row r="53" spans="1:7">
      <c r="A53" s="12">
        <v>24</v>
      </c>
      <c r="B53" s="12">
        <v>277.29000000000002</v>
      </c>
      <c r="C53" s="12">
        <f t="shared" si="0"/>
        <v>0.27729000000000004</v>
      </c>
      <c r="D53" s="12">
        <f t="shared" si="1"/>
        <v>1.9465758000000003E-2</v>
      </c>
      <c r="E53" s="12">
        <f t="shared" si="2"/>
        <v>8.6900705357142874E-4</v>
      </c>
      <c r="F53" s="12">
        <f>E53/Calculation!K$18*1000</f>
        <v>9.5831010529498885E-4</v>
      </c>
      <c r="G53" s="12">
        <f t="shared" si="3"/>
        <v>60.717118585797905</v>
      </c>
    </row>
    <row r="54" spans="1:7">
      <c r="A54" s="12">
        <v>24.5</v>
      </c>
      <c r="B54" s="12">
        <v>382.06</v>
      </c>
      <c r="C54" s="12">
        <f t="shared" si="0"/>
        <v>0.38206000000000001</v>
      </c>
      <c r="D54" s="12">
        <f t="shared" si="1"/>
        <v>2.6820612000000001E-2</v>
      </c>
      <c r="E54" s="12">
        <f t="shared" si="2"/>
        <v>1.19734875E-3</v>
      </c>
      <c r="F54" s="12">
        <f>E54/Calculation!K$18*1000</f>
        <v>1.3203936630567399E-3</v>
      </c>
      <c r="G54" s="12">
        <f t="shared" si="3"/>
        <v>60.751299142323184</v>
      </c>
    </row>
    <row r="55" spans="1:7">
      <c r="A55" s="12">
        <v>25</v>
      </c>
      <c r="B55" s="12">
        <v>380.26</v>
      </c>
      <c r="C55" s="12">
        <f t="shared" si="0"/>
        <v>0.38025999999999999</v>
      </c>
      <c r="D55" s="12">
        <f t="shared" si="1"/>
        <v>2.6694252000000002E-2</v>
      </c>
      <c r="E55" s="12">
        <f t="shared" si="2"/>
        <v>1.1917076785714286E-3</v>
      </c>
      <c r="F55" s="12">
        <f>E55/Calculation!K$18*1000</f>
        <v>1.3141728898967593E-3</v>
      </c>
      <c r="G55" s="12">
        <f t="shared" si="3"/>
        <v>60.790817640617483</v>
      </c>
    </row>
    <row r="56" spans="1:7">
      <c r="A56" s="12">
        <v>25.5</v>
      </c>
      <c r="B56" s="12">
        <v>359.48</v>
      </c>
      <c r="C56" s="12">
        <f t="shared" si="0"/>
        <v>0.35948000000000002</v>
      </c>
      <c r="D56" s="12">
        <f t="shared" si="1"/>
        <v>2.5235496000000003E-2</v>
      </c>
      <c r="E56" s="12">
        <f t="shared" si="2"/>
        <v>1.1265846428571431E-3</v>
      </c>
      <c r="F56" s="12">
        <f>E56/Calculation!K$18*1000</f>
        <v>1.2423575197498741E-3</v>
      </c>
      <c r="G56" s="12">
        <f t="shared" si="3"/>
        <v>60.829165596762181</v>
      </c>
    </row>
    <row r="57" spans="1:7">
      <c r="A57" s="12">
        <v>26</v>
      </c>
      <c r="B57" s="12">
        <v>436.26</v>
      </c>
      <c r="C57" s="12">
        <f t="shared" si="0"/>
        <v>0.43625999999999998</v>
      </c>
      <c r="D57" s="12">
        <f t="shared" si="1"/>
        <v>3.0625452000000001E-2</v>
      </c>
      <c r="E57" s="12">
        <f t="shared" si="2"/>
        <v>1.3672076785714287E-3</v>
      </c>
      <c r="F57" s="12">
        <f>E57/Calculation!K$18*1000</f>
        <v>1.5077080548739289E-3</v>
      </c>
      <c r="G57" s="12">
        <f t="shared" si="3"/>
        <v>60.870416580381537</v>
      </c>
    </row>
    <row r="58" spans="1:7">
      <c r="A58" s="12">
        <v>26.5</v>
      </c>
      <c r="B58" s="12">
        <v>410.06</v>
      </c>
      <c r="C58" s="12">
        <f t="shared" si="0"/>
        <v>0.41005999999999998</v>
      </c>
      <c r="D58" s="12">
        <f t="shared" si="1"/>
        <v>2.8786211999999999E-2</v>
      </c>
      <c r="E58" s="12">
        <f t="shared" si="2"/>
        <v>1.28509875E-3</v>
      </c>
      <c r="F58" s="12">
        <f>E58/Calculation!K$18*1000</f>
        <v>1.4171612455453246E-3</v>
      </c>
      <c r="G58" s="12">
        <f t="shared" si="3"/>
        <v>60.914289619887825</v>
      </c>
    </row>
    <row r="59" spans="1:7">
      <c r="A59" s="12">
        <v>27</v>
      </c>
      <c r="B59" s="12">
        <v>440.77</v>
      </c>
      <c r="C59" s="12">
        <f t="shared" si="0"/>
        <v>0.44077</v>
      </c>
      <c r="D59" s="12">
        <f t="shared" si="1"/>
        <v>3.0942054E-2</v>
      </c>
      <c r="E59" s="12">
        <f t="shared" si="2"/>
        <v>1.3813416964285716E-3</v>
      </c>
      <c r="F59" s="12">
        <f>E59/Calculation!K$18*1000</f>
        <v>1.523294547624769E-3</v>
      </c>
      <c r="G59" s="12">
        <f t="shared" si="3"/>
        <v>60.958396456785373</v>
      </c>
    </row>
    <row r="60" spans="1:7">
      <c r="A60" s="12">
        <v>27.5</v>
      </c>
      <c r="B60" s="12">
        <v>438.06</v>
      </c>
      <c r="C60" s="12">
        <f t="shared" si="0"/>
        <v>0.43806</v>
      </c>
      <c r="D60" s="12">
        <f t="shared" si="1"/>
        <v>3.0751812E-2</v>
      </c>
      <c r="E60" s="12">
        <f t="shared" si="2"/>
        <v>1.3728487500000001E-3</v>
      </c>
      <c r="F60" s="12">
        <f>E60/Calculation!K$18*1000</f>
        <v>1.5139288280339096E-3</v>
      </c>
      <c r="G60" s="12">
        <f t="shared" si="3"/>
        <v>61.00395480742025</v>
      </c>
    </row>
    <row r="61" spans="1:7">
      <c r="A61" s="12">
        <v>28</v>
      </c>
      <c r="B61" s="12">
        <v>531.1</v>
      </c>
      <c r="C61" s="12">
        <f t="shared" si="0"/>
        <v>0.53110000000000002</v>
      </c>
      <c r="D61" s="12">
        <f t="shared" si="1"/>
        <v>3.7283220000000006E-2</v>
      </c>
      <c r="E61" s="12">
        <f t="shared" si="2"/>
        <v>1.6644294642857147E-3</v>
      </c>
      <c r="F61" s="12">
        <f>E61/Calculation!K$18*1000</f>
        <v>1.8354736807031217E-3</v>
      </c>
      <c r="G61" s="12">
        <f t="shared" si="3"/>
        <v>61.054195845051304</v>
      </c>
    </row>
    <row r="62" spans="1:7">
      <c r="A62" s="12">
        <v>28.5</v>
      </c>
      <c r="B62" s="12">
        <v>469.68</v>
      </c>
      <c r="C62" s="12">
        <f t="shared" si="0"/>
        <v>0.46967999999999999</v>
      </c>
      <c r="D62" s="12">
        <f t="shared" si="1"/>
        <v>3.2971536000000003E-2</v>
      </c>
      <c r="E62" s="12">
        <f t="shared" si="2"/>
        <v>1.4719435714285716E-3</v>
      </c>
      <c r="F62" s="12">
        <f>E62/Calculation!K$18*1000</f>
        <v>1.623207076544233E-3</v>
      </c>
      <c r="G62" s="12">
        <f t="shared" si="3"/>
        <v>61.106076056410011</v>
      </c>
    </row>
    <row r="63" spans="1:7">
      <c r="A63" s="12">
        <v>29</v>
      </c>
      <c r="B63" s="12">
        <v>644.9</v>
      </c>
      <c r="C63" s="12">
        <f t="shared" si="0"/>
        <v>0.64490000000000003</v>
      </c>
      <c r="D63" s="12">
        <f t="shared" si="1"/>
        <v>4.5271980000000003E-2</v>
      </c>
      <c r="E63" s="12">
        <f t="shared" si="2"/>
        <v>2.0210705357142861E-3</v>
      </c>
      <c r="F63" s="12">
        <f>E63/Calculation!K$18*1000</f>
        <v>2.2287647838174413E-3</v>
      </c>
      <c r="G63" s="12">
        <f t="shared" si="3"/>
        <v>61.163855634315439</v>
      </c>
    </row>
    <row r="64" spans="1:7">
      <c r="A64" s="12">
        <v>29.5</v>
      </c>
      <c r="B64" s="12">
        <v>485.93</v>
      </c>
      <c r="C64" s="12">
        <f t="shared" si="0"/>
        <v>0.48593000000000003</v>
      </c>
      <c r="D64" s="12">
        <f t="shared" si="1"/>
        <v>3.4112286000000006E-2</v>
      </c>
      <c r="E64" s="12">
        <f t="shared" si="2"/>
        <v>1.5228699107142861E-3</v>
      </c>
      <c r="F64" s="12">
        <f>E64/Calculation!K$18*1000</f>
        <v>1.679366834238501E-3</v>
      </c>
      <c r="G64" s="12">
        <f t="shared" si="3"/>
        <v>61.222477608586281</v>
      </c>
    </row>
    <row r="65" spans="1:7">
      <c r="A65" s="12">
        <v>30</v>
      </c>
      <c r="B65" s="12">
        <v>501.29</v>
      </c>
      <c r="C65" s="12">
        <f t="shared" si="0"/>
        <v>0.50129000000000001</v>
      </c>
      <c r="D65" s="12">
        <f t="shared" si="1"/>
        <v>3.5190558000000004E-2</v>
      </c>
      <c r="E65" s="12">
        <f t="shared" si="2"/>
        <v>1.5710070535714289E-3</v>
      </c>
      <c r="F65" s="12">
        <f>E65/Calculation!K$18*1000</f>
        <v>1.7324507652036675E-3</v>
      </c>
      <c r="G65" s="12">
        <f t="shared" si="3"/>
        <v>61.273654872577914</v>
      </c>
    </row>
    <row r="66" spans="1:7">
      <c r="A66" s="12">
        <v>30.5</v>
      </c>
      <c r="B66" s="12">
        <v>661.16</v>
      </c>
      <c r="C66" s="12">
        <f t="shared" si="0"/>
        <v>0.66115999999999997</v>
      </c>
      <c r="D66" s="12">
        <f t="shared" si="1"/>
        <v>4.6413431999999998E-2</v>
      </c>
      <c r="E66" s="12">
        <f t="shared" si="2"/>
        <v>2.0720282142857142E-3</v>
      </c>
      <c r="F66" s="12">
        <f>E66/Calculation!K$19*1000</f>
        <v>2.4088722847336714E-3</v>
      </c>
      <c r="G66" s="12">
        <f t="shared" si="3"/>
        <v>61.335774718326974</v>
      </c>
    </row>
    <row r="67" spans="1:7">
      <c r="A67" s="12">
        <v>31</v>
      </c>
      <c r="B67" s="12">
        <v>717.16</v>
      </c>
      <c r="C67" s="12">
        <f t="shared" si="0"/>
        <v>0.71716000000000002</v>
      </c>
      <c r="D67" s="12">
        <f t="shared" si="1"/>
        <v>5.0344632E-2</v>
      </c>
      <c r="E67" s="12">
        <f t="shared" si="2"/>
        <v>2.2475282142857145E-3</v>
      </c>
      <c r="F67" s="12">
        <f>E67/Calculation!K$19*1000</f>
        <v>2.612902849113074E-3</v>
      </c>
      <c r="G67" s="12">
        <f t="shared" si="3"/>
        <v>61.411101345334671</v>
      </c>
    </row>
    <row r="68" spans="1:7">
      <c r="A68" s="12">
        <v>31.5</v>
      </c>
      <c r="B68" s="12">
        <v>760.51</v>
      </c>
      <c r="C68" s="12">
        <f t="shared" si="0"/>
        <v>0.76051000000000002</v>
      </c>
      <c r="D68" s="12">
        <f t="shared" si="1"/>
        <v>5.3387802000000005E-2</v>
      </c>
      <c r="E68" s="12">
        <f t="shared" si="2"/>
        <v>2.3833840178571434E-3</v>
      </c>
      <c r="F68" s="12">
        <f>E68/Calculation!K$19*1000</f>
        <v>2.7708443663603437E-3</v>
      </c>
      <c r="G68" s="12">
        <f t="shared" si="3"/>
        <v>61.491857553566774</v>
      </c>
    </row>
    <row r="69" spans="1:7">
      <c r="A69" s="12">
        <v>32</v>
      </c>
      <c r="B69" s="12">
        <v>719.87</v>
      </c>
      <c r="C69" s="12">
        <f t="shared" si="0"/>
        <v>0.71987000000000001</v>
      </c>
      <c r="D69" s="12">
        <f t="shared" si="1"/>
        <v>5.0534874000000007E-2</v>
      </c>
      <c r="E69" s="12">
        <f t="shared" si="2"/>
        <v>2.256021160714286E-3</v>
      </c>
      <c r="F69" s="12">
        <f>E69/Calculation!K$19*1000</f>
        <v>2.6227764710678629E-3</v>
      </c>
      <c r="G69" s="12">
        <f t="shared" si="3"/>
        <v>61.572761866128197</v>
      </c>
    </row>
    <row r="70" spans="1:7">
      <c r="A70" s="12">
        <v>32.5</v>
      </c>
      <c r="B70" s="12">
        <v>987.22</v>
      </c>
      <c r="C70" s="12">
        <f t="shared" ref="C70:C101" si="4">B70/1000</f>
        <v>0.98721999999999999</v>
      </c>
      <c r="D70" s="12">
        <f t="shared" ref="D70:D101" si="5">C70/1000*$B$1</f>
        <v>6.9302844000000002E-2</v>
      </c>
      <c r="E70" s="12">
        <f t="shared" ref="E70:E101" si="6">D70/22.4</f>
        <v>3.0938769642857144E-3</v>
      </c>
      <c r="F70" s="12">
        <f>E70/Calculation!K$19*1000</f>
        <v>3.5968402458327409E-3</v>
      </c>
      <c r="G70" s="12">
        <f t="shared" si="3"/>
        <v>61.666056116881705</v>
      </c>
    </row>
    <row r="71" spans="1:7">
      <c r="A71" s="12">
        <v>33</v>
      </c>
      <c r="B71" s="12">
        <v>842.71</v>
      </c>
      <c r="C71" s="12">
        <f t="shared" si="4"/>
        <v>0.84271000000000007</v>
      </c>
      <c r="D71" s="12">
        <f t="shared" si="5"/>
        <v>5.9158242000000007E-2</v>
      </c>
      <c r="E71" s="12">
        <f t="shared" si="6"/>
        <v>2.6409929464285718E-3</v>
      </c>
      <c r="F71" s="12">
        <f>E71/Calculation!K$19*1000</f>
        <v>3.0703320876458227E-3</v>
      </c>
      <c r="G71" s="12">
        <f t="shared" ref="G71:G101" si="7">G70+(F71+F70)/2*30</f>
        <v>61.766063701883887</v>
      </c>
    </row>
    <row r="72" spans="1:7">
      <c r="A72" s="12">
        <v>33.5</v>
      </c>
      <c r="B72" s="12">
        <v>693.68</v>
      </c>
      <c r="C72" s="12">
        <f t="shared" si="4"/>
        <v>0.69367999999999996</v>
      </c>
      <c r="D72" s="12">
        <f t="shared" si="5"/>
        <v>4.8696336E-2</v>
      </c>
      <c r="E72" s="12">
        <f t="shared" si="6"/>
        <v>2.1739435714285714E-3</v>
      </c>
      <c r="F72" s="12">
        <f>E72/Calculation!K$19*1000</f>
        <v>2.5273557481911382E-3</v>
      </c>
      <c r="G72" s="12">
        <f t="shared" si="7"/>
        <v>61.850029019421441</v>
      </c>
    </row>
    <row r="73" spans="1:7">
      <c r="A73" s="12">
        <v>34</v>
      </c>
      <c r="B73" s="12">
        <v>485.03</v>
      </c>
      <c r="C73" s="12">
        <f t="shared" si="4"/>
        <v>0.48502999999999996</v>
      </c>
      <c r="D73" s="12">
        <f t="shared" si="5"/>
        <v>3.4049105999999996E-2</v>
      </c>
      <c r="E73" s="12">
        <f t="shared" si="6"/>
        <v>1.5200493749999999E-3</v>
      </c>
      <c r="F73" s="12">
        <f>E73/Calculation!K$19*1000</f>
        <v>1.7671597257310975E-3</v>
      </c>
      <c r="G73" s="12">
        <f t="shared" si="7"/>
        <v>61.914446751530278</v>
      </c>
    </row>
    <row r="74" spans="1:7">
      <c r="A74" s="12">
        <v>34.5</v>
      </c>
      <c r="B74" s="12">
        <v>398.32</v>
      </c>
      <c r="C74" s="12">
        <f t="shared" si="4"/>
        <v>0.39832000000000001</v>
      </c>
      <c r="D74" s="12">
        <f t="shared" si="5"/>
        <v>2.7962064000000002E-2</v>
      </c>
      <c r="E74" s="12">
        <f t="shared" si="6"/>
        <v>1.2483064285714288E-3</v>
      </c>
      <c r="F74" s="12">
        <f>E74/Calculation!K$19*1000</f>
        <v>1.4512402572072057E-3</v>
      </c>
      <c r="G74" s="12">
        <f t="shared" si="7"/>
        <v>61.962722751274356</v>
      </c>
    </row>
    <row r="75" spans="1:7">
      <c r="A75" s="12">
        <v>35</v>
      </c>
      <c r="B75" s="12">
        <v>342.32</v>
      </c>
      <c r="C75" s="12">
        <f t="shared" si="4"/>
        <v>0.34232000000000001</v>
      </c>
      <c r="D75" s="12">
        <f t="shared" si="5"/>
        <v>2.4030864000000002E-2</v>
      </c>
      <c r="E75" s="12">
        <f t="shared" si="6"/>
        <v>1.0728064285714287E-3</v>
      </c>
      <c r="F75" s="12">
        <f>E75/Calculation!K$19*1000</f>
        <v>1.2472096928278034E-3</v>
      </c>
      <c r="G75" s="12">
        <f t="shared" si="7"/>
        <v>62.003199500524879</v>
      </c>
    </row>
    <row r="76" spans="1:7">
      <c r="A76" s="12">
        <v>35.5</v>
      </c>
      <c r="B76" s="12">
        <v>303.48</v>
      </c>
      <c r="C76" s="12">
        <f t="shared" si="4"/>
        <v>0.30348000000000003</v>
      </c>
      <c r="D76" s="12">
        <f t="shared" si="5"/>
        <v>2.1304296E-2</v>
      </c>
      <c r="E76" s="12">
        <f t="shared" si="6"/>
        <v>9.5108464285714289E-4</v>
      </c>
      <c r="F76" s="12">
        <f>E76/Calculation!K$19*1000</f>
        <v>1.1056999228189464E-3</v>
      </c>
      <c r="G76" s="12">
        <f t="shared" si="7"/>
        <v>62.038493144759578</v>
      </c>
    </row>
    <row r="77" spans="1:7">
      <c r="A77" s="12">
        <v>36</v>
      </c>
      <c r="B77" s="12">
        <v>347.74</v>
      </c>
      <c r="C77" s="12">
        <f t="shared" si="4"/>
        <v>0.34773999999999999</v>
      </c>
      <c r="D77" s="12">
        <f t="shared" si="5"/>
        <v>2.4411347999999999E-2</v>
      </c>
      <c r="E77" s="12">
        <f t="shared" si="6"/>
        <v>1.0897923214285715E-3</v>
      </c>
      <c r="F77" s="12">
        <f>E77/Calculation!K$19*1000</f>
        <v>1.2669569367373811E-3</v>
      </c>
      <c r="G77" s="12">
        <f t="shared" si="7"/>
        <v>62.074082997652923</v>
      </c>
    </row>
    <row r="78" spans="1:7">
      <c r="A78" s="12">
        <v>36.5</v>
      </c>
      <c r="B78" s="12">
        <v>317.02999999999997</v>
      </c>
      <c r="C78" s="12">
        <f t="shared" si="4"/>
        <v>0.31702999999999998</v>
      </c>
      <c r="D78" s="12">
        <f t="shared" si="5"/>
        <v>2.2255506000000001E-2</v>
      </c>
      <c r="E78" s="12">
        <f t="shared" si="6"/>
        <v>9.9354937500000006E-4</v>
      </c>
      <c r="F78" s="12">
        <f>E78/Calculation!K$19*1000</f>
        <v>1.155068032592891E-3</v>
      </c>
      <c r="G78" s="12">
        <f t="shared" si="7"/>
        <v>62.110413372192873</v>
      </c>
    </row>
    <row r="79" spans="1:7">
      <c r="A79" s="12">
        <v>37</v>
      </c>
      <c r="B79" s="12">
        <v>261.93</v>
      </c>
      <c r="C79" s="12">
        <f t="shared" si="4"/>
        <v>0.26193</v>
      </c>
      <c r="D79" s="12">
        <f t="shared" si="5"/>
        <v>1.8387486000000001E-2</v>
      </c>
      <c r="E79" s="12">
        <f t="shared" si="6"/>
        <v>8.2086991071428578E-4</v>
      </c>
      <c r="F79" s="12">
        <f>E79/Calculation!K$19*1000</f>
        <v>9.5431653085530056E-4</v>
      </c>
      <c r="G79" s="12">
        <f t="shared" si="7"/>
        <v>62.142054140644596</v>
      </c>
    </row>
    <row r="80" spans="1:7">
      <c r="A80" s="12">
        <v>37.5</v>
      </c>
      <c r="B80" s="12">
        <v>312.52</v>
      </c>
      <c r="C80" s="12">
        <f t="shared" si="4"/>
        <v>0.31251999999999996</v>
      </c>
      <c r="D80" s="12">
        <f t="shared" si="5"/>
        <v>2.1938903999999995E-2</v>
      </c>
      <c r="E80" s="12">
        <f t="shared" si="6"/>
        <v>9.7941535714285693E-4</v>
      </c>
      <c r="F80" s="12">
        <f>E80/Calculation!K$19*1000</f>
        <v>1.1386362853544783E-3</v>
      </c>
      <c r="G80" s="12">
        <f t="shared" si="7"/>
        <v>62.173448432887746</v>
      </c>
    </row>
    <row r="81" spans="1:7">
      <c r="A81" s="12">
        <v>38</v>
      </c>
      <c r="B81" s="12">
        <v>334.19</v>
      </c>
      <c r="C81" s="12">
        <f t="shared" si="4"/>
        <v>0.33418999999999999</v>
      </c>
      <c r="D81" s="12">
        <f t="shared" si="5"/>
        <v>2.3460138000000002E-2</v>
      </c>
      <c r="E81" s="12">
        <f t="shared" si="6"/>
        <v>1.0473275892857144E-3</v>
      </c>
      <c r="F81" s="12">
        <f>E81/Calculation!K$19*1000</f>
        <v>1.2175888269634367E-3</v>
      </c>
      <c r="G81" s="12">
        <f t="shared" si="7"/>
        <v>62.208791809572517</v>
      </c>
    </row>
    <row r="82" spans="1:7">
      <c r="A82" s="12">
        <v>38.5</v>
      </c>
      <c r="B82" s="12">
        <v>346.84</v>
      </c>
      <c r="C82" s="12">
        <f t="shared" si="4"/>
        <v>0.34683999999999998</v>
      </c>
      <c r="D82" s="12">
        <f t="shared" si="5"/>
        <v>2.4348168E-2</v>
      </c>
      <c r="E82" s="12">
        <f t="shared" si="6"/>
        <v>1.0869717857142857E-3</v>
      </c>
      <c r="F82" s="12">
        <f>E82/Calculation!K$19*1000</f>
        <v>1.2636778740955691E-3</v>
      </c>
      <c r="G82" s="12">
        <f t="shared" si="7"/>
        <v>62.2460108100884</v>
      </c>
    </row>
    <row r="83" spans="1:7">
      <c r="A83" s="12">
        <v>39</v>
      </c>
      <c r="B83" s="12">
        <v>343.22</v>
      </c>
      <c r="C83" s="12">
        <f t="shared" si="4"/>
        <v>0.34322000000000003</v>
      </c>
      <c r="D83" s="12">
        <f t="shared" si="5"/>
        <v>2.4094044000000002E-2</v>
      </c>
      <c r="E83" s="12">
        <f t="shared" si="6"/>
        <v>1.0756269642857145E-3</v>
      </c>
      <c r="F83" s="12">
        <f>E83/Calculation!K$19*1000</f>
        <v>1.2504887554696154E-3</v>
      </c>
      <c r="G83" s="12">
        <f t="shared" si="7"/>
        <v>62.283723309531879</v>
      </c>
    </row>
    <row r="84" spans="1:7">
      <c r="A84" s="12">
        <v>39.5</v>
      </c>
      <c r="B84" s="12">
        <v>311.61</v>
      </c>
      <c r="C84" s="12">
        <f t="shared" si="4"/>
        <v>0.31161</v>
      </c>
      <c r="D84" s="12">
        <f t="shared" si="5"/>
        <v>2.1875022000000001E-2</v>
      </c>
      <c r="E84" s="12">
        <f t="shared" si="6"/>
        <v>9.7656348214285728E-4</v>
      </c>
      <c r="F84" s="12">
        <f>E84/Calculation!K$19*1000</f>
        <v>1.1353207886833133E-3</v>
      </c>
      <c r="G84" s="12">
        <f t="shared" si="7"/>
        <v>62.319510452694175</v>
      </c>
    </row>
    <row r="85" spans="1:7">
      <c r="A85" s="12">
        <v>40</v>
      </c>
      <c r="B85" s="12">
        <v>345.03</v>
      </c>
      <c r="C85" s="12">
        <f t="shared" si="4"/>
        <v>0.34502999999999995</v>
      </c>
      <c r="D85" s="12">
        <f t="shared" si="5"/>
        <v>2.4221105999999999E-2</v>
      </c>
      <c r="E85" s="12">
        <f t="shared" si="6"/>
        <v>1.081299375E-3</v>
      </c>
      <c r="F85" s="12">
        <f>E85/Calculation!K$19*1000</f>
        <v>1.2570833147825919E-3</v>
      </c>
      <c r="G85" s="12">
        <f t="shared" si="7"/>
        <v>62.355396514246166</v>
      </c>
    </row>
    <row r="86" spans="1:7">
      <c r="A86" s="12">
        <v>40.5</v>
      </c>
      <c r="B86" s="12">
        <v>321.55</v>
      </c>
      <c r="C86" s="12">
        <f t="shared" si="4"/>
        <v>0.32155</v>
      </c>
      <c r="D86" s="12">
        <f t="shared" si="5"/>
        <v>2.2572809999999999E-2</v>
      </c>
      <c r="E86" s="12">
        <f t="shared" si="6"/>
        <v>1.0077147321428572E-3</v>
      </c>
      <c r="F86" s="12">
        <f>E86/Calculation!K$19*1000</f>
        <v>1.1715362138606572E-3</v>
      </c>
      <c r="G86" s="12">
        <f t="shared" si="7"/>
        <v>62.391825807175813</v>
      </c>
    </row>
    <row r="87" spans="1:7">
      <c r="A87" s="12">
        <v>41</v>
      </c>
      <c r="B87" s="12">
        <v>323.35000000000002</v>
      </c>
      <c r="C87" s="12">
        <f t="shared" si="4"/>
        <v>0.32335000000000003</v>
      </c>
      <c r="D87" s="12">
        <f t="shared" si="5"/>
        <v>2.2699170000000001E-2</v>
      </c>
      <c r="E87" s="12">
        <f t="shared" si="6"/>
        <v>1.0133558035714287E-3</v>
      </c>
      <c r="F87" s="12">
        <f>E87/Calculation!K$19*1000</f>
        <v>1.1780943391442808E-3</v>
      </c>
      <c r="G87" s="12">
        <f t="shared" si="7"/>
        <v>62.427070265470888</v>
      </c>
    </row>
    <row r="88" spans="1:7">
      <c r="A88" s="12">
        <v>41.5</v>
      </c>
      <c r="B88" s="12">
        <v>334.19</v>
      </c>
      <c r="C88" s="12">
        <f t="shared" si="4"/>
        <v>0.33418999999999999</v>
      </c>
      <c r="D88" s="12">
        <f t="shared" si="5"/>
        <v>2.3460138000000002E-2</v>
      </c>
      <c r="E88" s="12">
        <f t="shared" si="6"/>
        <v>1.0473275892857144E-3</v>
      </c>
      <c r="F88" s="12">
        <f>E88/Calculation!K$19*1000</f>
        <v>1.2175888269634367E-3</v>
      </c>
      <c r="G88" s="12">
        <f t="shared" si="7"/>
        <v>62.463005512962503</v>
      </c>
    </row>
    <row r="89" spans="1:7">
      <c r="A89" s="12">
        <v>42</v>
      </c>
      <c r="B89" s="12">
        <v>326.06</v>
      </c>
      <c r="C89" s="12">
        <f t="shared" si="4"/>
        <v>0.32606000000000002</v>
      </c>
      <c r="D89" s="12">
        <f t="shared" si="5"/>
        <v>2.2889412000000005E-2</v>
      </c>
      <c r="E89" s="12">
        <f t="shared" si="6"/>
        <v>1.0218487500000004E-3</v>
      </c>
      <c r="F89" s="12">
        <f>E89/Calculation!K$19*1000</f>
        <v>1.18796796109907E-3</v>
      </c>
      <c r="G89" s="12">
        <f t="shared" si="7"/>
        <v>62.499088864783438</v>
      </c>
    </row>
    <row r="90" spans="1:7">
      <c r="A90" s="12">
        <v>42.5</v>
      </c>
      <c r="B90" s="12">
        <v>324.26</v>
      </c>
      <c r="C90" s="12">
        <f t="shared" si="4"/>
        <v>0.32425999999999999</v>
      </c>
      <c r="D90" s="12">
        <f t="shared" si="5"/>
        <v>2.2763051999999999E-2</v>
      </c>
      <c r="E90" s="12">
        <f t="shared" si="6"/>
        <v>1.0162076785714285E-3</v>
      </c>
      <c r="F90" s="12">
        <f>E90/Calculation!K$19*1000</f>
        <v>1.181409835815446E-3</v>
      </c>
      <c r="G90" s="12">
        <f t="shared" si="7"/>
        <v>62.534629531737153</v>
      </c>
    </row>
    <row r="91" spans="1:7">
      <c r="A91" s="12">
        <v>43</v>
      </c>
      <c r="B91" s="12">
        <v>344.13</v>
      </c>
      <c r="C91" s="12">
        <f t="shared" si="4"/>
        <v>0.34412999999999999</v>
      </c>
      <c r="D91" s="12">
        <f t="shared" si="5"/>
        <v>2.4157926E-2</v>
      </c>
      <c r="E91" s="12">
        <f t="shared" si="6"/>
        <v>1.0784788392857144E-3</v>
      </c>
      <c r="F91" s="12">
        <f>E91/Calculation!K$19*1000</f>
        <v>1.2538042521407803E-3</v>
      </c>
      <c r="G91" s="12">
        <f t="shared" si="7"/>
        <v>62.571157743056496</v>
      </c>
    </row>
    <row r="92" spans="1:7">
      <c r="A92" s="12">
        <v>43.5</v>
      </c>
      <c r="B92" s="12">
        <v>378.45</v>
      </c>
      <c r="C92" s="12">
        <f t="shared" si="4"/>
        <v>0.37845000000000001</v>
      </c>
      <c r="D92" s="12">
        <f t="shared" si="5"/>
        <v>2.6567190000000001E-2</v>
      </c>
      <c r="E92" s="12">
        <f t="shared" si="6"/>
        <v>1.1860352678571429E-3</v>
      </c>
      <c r="F92" s="12">
        <f>E92/Calculation!K$19*1000</f>
        <v>1.3788458408818711E-3</v>
      </c>
      <c r="G92" s="12">
        <f t="shared" si="7"/>
        <v>62.610647494451833</v>
      </c>
    </row>
    <row r="93" spans="1:7">
      <c r="A93" s="12">
        <v>44</v>
      </c>
      <c r="B93" s="12">
        <v>265.55</v>
      </c>
      <c r="C93" s="12">
        <f t="shared" si="4"/>
        <v>0.26555000000000001</v>
      </c>
      <c r="D93" s="12">
        <f t="shared" si="5"/>
        <v>1.8641610000000003E-2</v>
      </c>
      <c r="E93" s="12">
        <f t="shared" si="6"/>
        <v>8.3221473214285737E-4</v>
      </c>
      <c r="F93" s="12">
        <f>E93/Calculation!K$19*1000</f>
        <v>9.6750564948125503E-4</v>
      </c>
      <c r="G93" s="12">
        <f t="shared" si="7"/>
        <v>62.645842766807277</v>
      </c>
    </row>
    <row r="94" spans="1:7">
      <c r="A94" s="12">
        <v>44.5</v>
      </c>
      <c r="B94" s="12">
        <v>302.58</v>
      </c>
      <c r="C94" s="12">
        <f t="shared" si="4"/>
        <v>0.30257999999999996</v>
      </c>
      <c r="D94" s="12">
        <f t="shared" si="5"/>
        <v>2.1241115999999997E-2</v>
      </c>
      <c r="E94" s="12">
        <f t="shared" si="6"/>
        <v>9.4826410714285707E-4</v>
      </c>
      <c r="F94" s="12">
        <f>E94/Calculation!K$19*1000</f>
        <v>1.1024208601771344E-3</v>
      </c>
      <c r="G94" s="12">
        <f t="shared" si="7"/>
        <v>62.67689166445215</v>
      </c>
    </row>
    <row r="95" spans="1:7">
      <c r="A95" s="12">
        <v>45</v>
      </c>
      <c r="B95" s="12">
        <v>366.71</v>
      </c>
      <c r="C95" s="12">
        <f t="shared" si="4"/>
        <v>0.36670999999999998</v>
      </c>
      <c r="D95" s="12">
        <f t="shared" si="5"/>
        <v>2.5743041999999997E-2</v>
      </c>
      <c r="E95" s="12">
        <f t="shared" si="6"/>
        <v>1.1492429464285713E-3</v>
      </c>
      <c r="F95" s="12">
        <f>E95/Calculation!K$19*1000</f>
        <v>1.3360722904209035E-3</v>
      </c>
      <c r="G95" s="12">
        <f t="shared" si="7"/>
        <v>62.713469061711123</v>
      </c>
    </row>
    <row r="96" spans="1:7">
      <c r="A96" s="12">
        <v>45.5</v>
      </c>
      <c r="B96" s="12">
        <v>328.77</v>
      </c>
      <c r="C96" s="12">
        <f t="shared" si="4"/>
        <v>0.32877000000000001</v>
      </c>
      <c r="D96" s="12">
        <f t="shared" si="5"/>
        <v>2.3079654000000002E-2</v>
      </c>
      <c r="E96" s="12">
        <f t="shared" si="6"/>
        <v>1.0303416964285717E-3</v>
      </c>
      <c r="F96" s="12">
        <f>E96/Calculation!K$19*1000</f>
        <v>1.1978415830538587E-3</v>
      </c>
      <c r="G96" s="12">
        <f t="shared" si="7"/>
        <v>62.751477769813242</v>
      </c>
    </row>
    <row r="97" spans="1:7">
      <c r="A97" s="12">
        <v>46</v>
      </c>
      <c r="B97" s="12">
        <v>285.42</v>
      </c>
      <c r="C97" s="12">
        <f t="shared" si="4"/>
        <v>0.28542000000000001</v>
      </c>
      <c r="D97" s="12">
        <f t="shared" si="5"/>
        <v>2.0036484E-2</v>
      </c>
      <c r="E97" s="12">
        <f t="shared" si="6"/>
        <v>8.9448589285714291E-4</v>
      </c>
      <c r="F97" s="12">
        <f>E97/Calculation!K$19*1000</f>
        <v>1.0399000658065892E-3</v>
      </c>
      <c r="G97" s="12">
        <f t="shared" si="7"/>
        <v>62.785043894546149</v>
      </c>
    </row>
    <row r="98" spans="1:7">
      <c r="A98" s="12">
        <v>46.5</v>
      </c>
      <c r="B98" s="12">
        <v>280.89999999999998</v>
      </c>
      <c r="C98" s="12">
        <f t="shared" si="4"/>
        <v>0.28089999999999998</v>
      </c>
      <c r="D98" s="12">
        <f t="shared" si="5"/>
        <v>1.9719179999999999E-2</v>
      </c>
      <c r="E98" s="12">
        <f t="shared" si="6"/>
        <v>8.8032053571428573E-4</v>
      </c>
      <c r="F98" s="12">
        <f>E98/Calculation!K$19*1000</f>
        <v>1.023431884538823E-3</v>
      </c>
      <c r="G98" s="12">
        <f t="shared" si="7"/>
        <v>62.815993873801332</v>
      </c>
    </row>
    <row r="99" spans="1:7">
      <c r="A99" s="12">
        <v>47</v>
      </c>
      <c r="B99" s="12">
        <v>391.1</v>
      </c>
      <c r="C99" s="12">
        <f t="shared" si="4"/>
        <v>0.3911</v>
      </c>
      <c r="D99" s="12">
        <f t="shared" si="5"/>
        <v>2.7455220000000002E-2</v>
      </c>
      <c r="E99" s="12">
        <f t="shared" si="6"/>
        <v>1.2256794642857144E-3</v>
      </c>
      <c r="F99" s="12">
        <f>E99/Calculation!K$19*1000</f>
        <v>1.424934888014004E-3</v>
      </c>
      <c r="G99" s="12">
        <f t="shared" si="7"/>
        <v>62.852719375389626</v>
      </c>
    </row>
    <row r="100" spans="1:7">
      <c r="A100" s="12">
        <v>47.5</v>
      </c>
      <c r="B100" s="12">
        <v>344.13</v>
      </c>
      <c r="C100" s="12">
        <f t="shared" si="4"/>
        <v>0.34412999999999999</v>
      </c>
      <c r="D100" s="12">
        <f t="shared" si="5"/>
        <v>2.4157926E-2</v>
      </c>
      <c r="E100" s="12">
        <f t="shared" si="6"/>
        <v>1.0784788392857144E-3</v>
      </c>
      <c r="F100" s="12">
        <f>E100/Calculation!K$19*1000</f>
        <v>1.2538042521407803E-3</v>
      </c>
      <c r="G100" s="12">
        <f t="shared" si="7"/>
        <v>62.892900462491944</v>
      </c>
    </row>
    <row r="101" spans="1:7">
      <c r="A101" s="12">
        <v>48</v>
      </c>
      <c r="B101" s="12">
        <v>368.52</v>
      </c>
      <c r="C101" s="12">
        <f t="shared" si="4"/>
        <v>0.36851999999999996</v>
      </c>
      <c r="D101" s="12">
        <f t="shared" si="5"/>
        <v>2.5870103999999998E-2</v>
      </c>
      <c r="E101" s="12">
        <f t="shared" si="6"/>
        <v>1.154915357142857E-3</v>
      </c>
      <c r="F101" s="12">
        <f>E101/Calculation!K$20*1000</f>
        <v>1.4494520494787973E-3</v>
      </c>
      <c r="G101" s="12">
        <f t="shared" si="7"/>
        <v>62.93344930701624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C5" evalError="1"/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topLeftCell="A72" zoomScale="98" zoomScaleNormal="98" zoomScalePageLayoutView="98" workbookViewId="0">
      <selection activeCell="S37" sqref="S37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70.2</v>
      </c>
      <c r="C1" s="9" t="s">
        <v>51</v>
      </c>
    </row>
    <row r="3" spans="1:12">
      <c r="A3" s="130" t="s">
        <v>5</v>
      </c>
      <c r="B3" s="130" t="s">
        <v>36</v>
      </c>
      <c r="C3" s="130"/>
      <c r="D3" s="130" t="s">
        <v>52</v>
      </c>
      <c r="E3" s="130"/>
      <c r="F3" s="130"/>
      <c r="G3" s="8" t="s">
        <v>53</v>
      </c>
    </row>
    <row r="4" spans="1:12">
      <c r="A4" s="130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4">
        <v>0</v>
      </c>
      <c r="B5" s="34">
        <v>298.33999999999997</v>
      </c>
      <c r="C5" s="35">
        <f>B5/1000</f>
        <v>0.29833999999999999</v>
      </c>
      <c r="D5" s="12">
        <f>C5/1000*$B$1</f>
        <v>2.0943468000000003E-2</v>
      </c>
      <c r="E5" s="12">
        <f>D5/22.4</f>
        <v>9.3497625000000021E-4</v>
      </c>
      <c r="F5" s="12">
        <f>E5/Calculation!K$4*1000</f>
        <v>6.0551475379469748E-4</v>
      </c>
      <c r="G5" s="12">
        <f>(0+F5)/2*30</f>
        <v>9.0827213069204615E-3</v>
      </c>
    </row>
    <row r="6" spans="1:12">
      <c r="A6" s="34">
        <v>0.5</v>
      </c>
      <c r="B6" s="34">
        <v>730.31</v>
      </c>
      <c r="C6" s="35">
        <f>B6/1000</f>
        <v>0.7303099999999999</v>
      </c>
      <c r="D6" s="12">
        <f>C6/1000*$B$1</f>
        <v>5.1267761999999995E-2</v>
      </c>
      <c r="E6" s="12">
        <f t="shared" ref="E6:E69" si="0">D6/22.4</f>
        <v>2.2887393749999999E-3</v>
      </c>
      <c r="F6" s="12">
        <f>E6/Calculation!K$4*1000</f>
        <v>1.4822466978742556E-3</v>
      </c>
      <c r="G6" s="12">
        <f>G5+(F6+F5)/2*30</f>
        <v>4.0399143081954761E-2</v>
      </c>
    </row>
    <row r="7" spans="1:12">
      <c r="A7" s="34">
        <v>1</v>
      </c>
      <c r="B7" s="34">
        <v>1009.37</v>
      </c>
      <c r="C7" s="35">
        <f t="shared" ref="C7:C69" si="1">B7/1000</f>
        <v>1.0093700000000001</v>
      </c>
      <c r="D7" s="12">
        <f t="shared" ref="D7:D69" si="2">C7/1000*$B$1</f>
        <v>7.0857774000000012E-2</v>
      </c>
      <c r="E7" s="12">
        <f t="shared" si="0"/>
        <v>3.1632934821428579E-3</v>
      </c>
      <c r="F7" s="12">
        <f>E7/Calculation!K$4*1000</f>
        <v>2.0486305122938719E-3</v>
      </c>
      <c r="G7" s="12">
        <f>G6+(F7+F6)/2*30</f>
        <v>9.3362301234476669E-2</v>
      </c>
    </row>
    <row r="8" spans="1:12">
      <c r="A8" s="34">
        <v>1.5</v>
      </c>
      <c r="B8" s="34">
        <v>1295.55</v>
      </c>
      <c r="C8" s="35">
        <f t="shared" si="1"/>
        <v>1.29555</v>
      </c>
      <c r="D8" s="12">
        <f t="shared" si="2"/>
        <v>9.0947609999999998E-2</v>
      </c>
      <c r="E8" s="12">
        <f t="shared" si="0"/>
        <v>4.0601611607142861E-3</v>
      </c>
      <c r="F8" s="12">
        <f>E8/Calculation!K$4*1000</f>
        <v>2.6294651715449494E-3</v>
      </c>
      <c r="G8" s="12">
        <f t="shared" ref="G8:G70" si="3">G7+(F8+F7)/2*30</f>
        <v>0.16353373649205899</v>
      </c>
      <c r="K8" s="2">
        <f>0.001977/44.01</f>
        <v>4.492160872528971E-5</v>
      </c>
      <c r="L8" s="2">
        <f>1/K8</f>
        <v>22261.001517450681</v>
      </c>
    </row>
    <row r="9" spans="1:12">
      <c r="A9" s="34">
        <v>2</v>
      </c>
      <c r="B9" s="34">
        <v>1617.84</v>
      </c>
      <c r="C9" s="35">
        <f t="shared" si="1"/>
        <v>1.6178399999999999</v>
      </c>
      <c r="D9" s="12">
        <f t="shared" si="2"/>
        <v>0.11357236800000001</v>
      </c>
      <c r="E9" s="12">
        <f t="shared" si="0"/>
        <v>5.0701950000000004E-3</v>
      </c>
      <c r="F9" s="12">
        <f>E9/Calculation!K$5*1000</f>
        <v>3.3707448087667551E-3</v>
      </c>
      <c r="G9" s="12">
        <f t="shared" si="3"/>
        <v>0.25353688619673453</v>
      </c>
    </row>
    <row r="10" spans="1:12">
      <c r="A10" s="34">
        <v>2.5</v>
      </c>
      <c r="B10" s="34">
        <v>1943.13</v>
      </c>
      <c r="C10" s="35">
        <f t="shared" si="1"/>
        <v>1.94313</v>
      </c>
      <c r="D10" s="12">
        <f t="shared" si="2"/>
        <v>0.13640772600000001</v>
      </c>
      <c r="E10" s="12">
        <f t="shared" si="0"/>
        <v>6.0896306250000009E-3</v>
      </c>
      <c r="F10" s="12">
        <f>E10/Calculation!K$5*1000</f>
        <v>4.0484815310901853E-3</v>
      </c>
      <c r="G10" s="12">
        <f t="shared" si="3"/>
        <v>0.36482528129458863</v>
      </c>
    </row>
    <row r="11" spans="1:12">
      <c r="A11" s="34">
        <v>3</v>
      </c>
      <c r="B11" s="34">
        <v>2384.84</v>
      </c>
      <c r="C11" s="35">
        <f t="shared" si="1"/>
        <v>2.3848400000000001</v>
      </c>
      <c r="D11" s="12">
        <f t="shared" si="2"/>
        <v>0.16741576800000002</v>
      </c>
      <c r="E11" s="12">
        <f t="shared" si="0"/>
        <v>7.4739182142857154E-3</v>
      </c>
      <c r="F11" s="12">
        <f>E11/Calculation!K$5*1000</f>
        <v>4.9687775365544855E-3</v>
      </c>
      <c r="G11" s="12">
        <f t="shared" si="3"/>
        <v>0.50008416730925864</v>
      </c>
    </row>
    <row r="12" spans="1:12">
      <c r="A12" s="34">
        <v>3.5</v>
      </c>
      <c r="B12" s="34">
        <v>3044.03</v>
      </c>
      <c r="C12" s="35">
        <f t="shared" si="1"/>
        <v>3.0440300000000002</v>
      </c>
      <c r="D12" s="12">
        <f t="shared" si="2"/>
        <v>0.21369090600000001</v>
      </c>
      <c r="E12" s="12">
        <f t="shared" si="0"/>
        <v>9.5397725892857159E-3</v>
      </c>
      <c r="F12" s="12">
        <f>E12/Calculation!K$6*1000</f>
        <v>6.51944253193594E-3</v>
      </c>
      <c r="G12" s="12">
        <f t="shared" si="3"/>
        <v>0.67240746833661502</v>
      </c>
    </row>
    <row r="13" spans="1:12">
      <c r="A13" s="34">
        <v>4</v>
      </c>
      <c r="B13" s="34">
        <v>4006.43</v>
      </c>
      <c r="C13" s="35">
        <f t="shared" si="1"/>
        <v>4.0064299999999999</v>
      </c>
      <c r="D13" s="12">
        <f t="shared" si="2"/>
        <v>0.28125138599999999</v>
      </c>
      <c r="E13" s="12">
        <f t="shared" si="0"/>
        <v>1.2555865446428572E-2</v>
      </c>
      <c r="F13" s="12">
        <f>E13/Calculation!K$6*1000</f>
        <v>8.580628358861149E-3</v>
      </c>
      <c r="G13" s="12">
        <f t="shared" si="3"/>
        <v>0.89890853169857132</v>
      </c>
    </row>
    <row r="14" spans="1:12">
      <c r="A14" s="34">
        <v>4.5</v>
      </c>
      <c r="B14" s="34">
        <v>3383.55</v>
      </c>
      <c r="C14" s="35">
        <f t="shared" si="1"/>
        <v>3.3835500000000001</v>
      </c>
      <c r="D14" s="12">
        <f t="shared" si="2"/>
        <v>0.23752521000000001</v>
      </c>
      <c r="E14" s="12">
        <f t="shared" si="0"/>
        <v>1.0603804017857144E-2</v>
      </c>
      <c r="F14" s="12">
        <f>E14/Calculation!K$6*1000</f>
        <v>7.2465973656408939E-3</v>
      </c>
      <c r="G14" s="12">
        <f t="shared" si="3"/>
        <v>1.1363169175661019</v>
      </c>
    </row>
    <row r="15" spans="1:12">
      <c r="A15" s="34">
        <v>5</v>
      </c>
      <c r="B15" s="34">
        <v>7254.65</v>
      </c>
      <c r="C15" s="35">
        <f t="shared" si="1"/>
        <v>7.2546499999999998</v>
      </c>
      <c r="D15" s="12">
        <f t="shared" si="2"/>
        <v>0.50927643</v>
      </c>
      <c r="E15" s="12">
        <f t="shared" si="0"/>
        <v>2.2735554910714287E-2</v>
      </c>
      <c r="F15" s="12">
        <f>E15/Calculation!K$7*1000</f>
        <v>1.6095420462879394E-2</v>
      </c>
      <c r="G15" s="12">
        <f t="shared" si="3"/>
        <v>1.486447184993906</v>
      </c>
    </row>
    <row r="16" spans="1:12">
      <c r="A16" s="34">
        <v>5.5</v>
      </c>
      <c r="B16" s="34">
        <v>9641.74</v>
      </c>
      <c r="C16" s="35">
        <f t="shared" si="1"/>
        <v>9.6417400000000004</v>
      </c>
      <c r="D16" s="12">
        <f t="shared" si="2"/>
        <v>0.6768501480000001</v>
      </c>
      <c r="E16" s="12">
        <f t="shared" si="0"/>
        <v>3.0216524464285719E-2</v>
      </c>
      <c r="F16" s="12">
        <f>E16/Calculation!K$7*1000</f>
        <v>2.1391501904814536E-2</v>
      </c>
      <c r="G16" s="12">
        <f t="shared" si="3"/>
        <v>2.0487510205093149</v>
      </c>
    </row>
    <row r="17" spans="1:7">
      <c r="A17" s="34">
        <v>6</v>
      </c>
      <c r="B17" s="34">
        <v>12699.06</v>
      </c>
      <c r="C17" s="35">
        <f t="shared" si="1"/>
        <v>12.699059999999999</v>
      </c>
      <c r="D17" s="12">
        <f t="shared" si="2"/>
        <v>0.89147401199999998</v>
      </c>
      <c r="E17" s="12">
        <f t="shared" si="0"/>
        <v>3.9797946964285714E-2</v>
      </c>
      <c r="F17" s="12">
        <f>E17/Calculation!K$8*1000</f>
        <v>2.9176432771467562E-2</v>
      </c>
      <c r="G17" s="12">
        <f t="shared" si="3"/>
        <v>2.8072700406535462</v>
      </c>
    </row>
    <row r="18" spans="1:7">
      <c r="A18" s="34">
        <v>6.5</v>
      </c>
      <c r="B18" s="34">
        <v>15711.65</v>
      </c>
      <c r="C18" s="35">
        <f t="shared" si="1"/>
        <v>15.711649999999999</v>
      </c>
      <c r="D18" s="12">
        <f t="shared" si="2"/>
        <v>1.1029578299999998</v>
      </c>
      <c r="E18" s="12">
        <f t="shared" si="0"/>
        <v>4.9239188839285707E-2</v>
      </c>
      <c r="F18" s="12">
        <f>E18/Calculation!K$8*1000</f>
        <v>3.6097939528896485E-2</v>
      </c>
      <c r="G18" s="12">
        <f t="shared" si="3"/>
        <v>3.7863856251590069</v>
      </c>
    </row>
    <row r="19" spans="1:7">
      <c r="A19" s="34">
        <v>7</v>
      </c>
      <c r="B19" s="34">
        <v>18412.61</v>
      </c>
      <c r="C19" s="35">
        <f t="shared" si="1"/>
        <v>18.412610000000001</v>
      </c>
      <c r="D19" s="12">
        <f t="shared" si="2"/>
        <v>1.2925652219999999</v>
      </c>
      <c r="E19" s="12">
        <f t="shared" si="0"/>
        <v>5.7703804553571429E-2</v>
      </c>
      <c r="F19" s="12">
        <f>E19/Calculation!K$8*1000</f>
        <v>4.2303467958435613E-2</v>
      </c>
      <c r="G19" s="12">
        <f t="shared" si="3"/>
        <v>4.9624067374689886</v>
      </c>
    </row>
    <row r="20" spans="1:7">
      <c r="A20" s="34">
        <v>7.5</v>
      </c>
      <c r="B20" s="34">
        <v>21506.05</v>
      </c>
      <c r="C20" s="35">
        <f t="shared" si="1"/>
        <v>21.506049999999998</v>
      </c>
      <c r="D20" s="12">
        <f t="shared" si="2"/>
        <v>1.50972471</v>
      </c>
      <c r="E20" s="12">
        <f t="shared" si="0"/>
        <v>6.7398424553571437E-2</v>
      </c>
      <c r="F20" s="12">
        <f>E20/Calculation!K$9*1000</f>
        <v>5.1253038860076754E-2</v>
      </c>
      <c r="G20" s="12">
        <f t="shared" si="3"/>
        <v>6.3657543397466743</v>
      </c>
    </row>
    <row r="21" spans="1:7">
      <c r="A21" s="34">
        <v>8</v>
      </c>
      <c r="B21" s="34">
        <v>24145.06</v>
      </c>
      <c r="C21" s="35">
        <f t="shared" si="1"/>
        <v>24.145060000000001</v>
      </c>
      <c r="D21" s="12">
        <f t="shared" si="2"/>
        <v>1.6949832120000001</v>
      </c>
      <c r="E21" s="12">
        <f t="shared" si="0"/>
        <v>7.5668893392857151E-2</v>
      </c>
      <c r="F21" s="12">
        <f>E21/Calculation!K$9*1000</f>
        <v>5.7542305465619441E-2</v>
      </c>
      <c r="G21" s="12">
        <f t="shared" si="3"/>
        <v>7.997684504632117</v>
      </c>
    </row>
    <row r="22" spans="1:7">
      <c r="A22" s="34">
        <v>8.5</v>
      </c>
      <c r="B22" s="34">
        <v>26914.52</v>
      </c>
      <c r="C22" s="35">
        <f t="shared" si="1"/>
        <v>26.91452</v>
      </c>
      <c r="D22" s="12">
        <f t="shared" si="2"/>
        <v>1.8893993040000001</v>
      </c>
      <c r="E22" s="12">
        <f t="shared" si="0"/>
        <v>8.4348183214285721E-2</v>
      </c>
      <c r="F22" s="12">
        <f>E22/Calculation!K$9*1000</f>
        <v>6.4142459422363143E-2</v>
      </c>
      <c r="G22" s="12">
        <f t="shared" si="3"/>
        <v>9.8229559779518549</v>
      </c>
    </row>
    <row r="23" spans="1:7">
      <c r="A23" s="34">
        <v>9</v>
      </c>
      <c r="B23" s="34">
        <v>28820.79</v>
      </c>
      <c r="C23" s="35">
        <f t="shared" si="1"/>
        <v>28.820790000000002</v>
      </c>
      <c r="D23" s="12">
        <f t="shared" si="2"/>
        <v>2.0232194580000002</v>
      </c>
      <c r="E23" s="12">
        <f t="shared" si="0"/>
        <v>9.032229723214287E-2</v>
      </c>
      <c r="F23" s="12">
        <f>E23/Calculation!K$10*1000</f>
        <v>7.1043090872815962E-2</v>
      </c>
      <c r="G23" s="12">
        <f t="shared" si="3"/>
        <v>11.850739232379542</v>
      </c>
    </row>
    <row r="24" spans="1:7">
      <c r="A24" s="34">
        <v>9.5</v>
      </c>
      <c r="B24" s="34">
        <v>30395.77</v>
      </c>
      <c r="C24" s="35">
        <f t="shared" si="1"/>
        <v>30.395769999999999</v>
      </c>
      <c r="D24" s="12">
        <f t="shared" si="2"/>
        <v>2.1337830540000002</v>
      </c>
      <c r="E24" s="12">
        <f t="shared" si="0"/>
        <v>9.5258172053571441E-2</v>
      </c>
      <c r="F24" s="12">
        <f>E24/Calculation!K$10*1000</f>
        <v>7.4925408021751433E-2</v>
      </c>
      <c r="G24" s="12">
        <f t="shared" si="3"/>
        <v>14.040266715798053</v>
      </c>
    </row>
    <row r="25" spans="1:7">
      <c r="A25" s="34">
        <v>10</v>
      </c>
      <c r="B25" s="34">
        <v>30997.13</v>
      </c>
      <c r="C25" s="35">
        <f t="shared" si="1"/>
        <v>30.997130000000002</v>
      </c>
      <c r="D25" s="12">
        <f t="shared" si="2"/>
        <v>2.1759985260000003</v>
      </c>
      <c r="E25" s="12">
        <f t="shared" si="0"/>
        <v>9.7142791339285731E-2</v>
      </c>
      <c r="F25" s="12">
        <f>E25/Calculation!K$11*1000</f>
        <v>7.9087686285425493E-2</v>
      </c>
      <c r="G25" s="12">
        <f t="shared" si="3"/>
        <v>16.350463130405707</v>
      </c>
    </row>
    <row r="26" spans="1:7">
      <c r="A26" s="34">
        <v>10.5</v>
      </c>
      <c r="B26" s="34">
        <v>30811.83</v>
      </c>
      <c r="C26" s="35">
        <f t="shared" si="1"/>
        <v>30.81183</v>
      </c>
      <c r="D26" s="12">
        <f t="shared" si="2"/>
        <v>2.1629904660000001</v>
      </c>
      <c r="E26" s="12">
        <f t="shared" si="0"/>
        <v>9.6562074375000015E-2</v>
      </c>
      <c r="F26" s="12">
        <f>E26/Calculation!K$11*1000</f>
        <v>7.8614902248042379E-2</v>
      </c>
      <c r="G26" s="12">
        <f t="shared" si="3"/>
        <v>18.716001958407723</v>
      </c>
    </row>
    <row r="27" spans="1:7">
      <c r="A27" s="34">
        <v>11</v>
      </c>
      <c r="B27" s="34">
        <v>30716.01</v>
      </c>
      <c r="C27" s="35">
        <f t="shared" si="1"/>
        <v>30.716009999999997</v>
      </c>
      <c r="D27" s="12">
        <f t="shared" si="2"/>
        <v>2.1562639020000001</v>
      </c>
      <c r="E27" s="12">
        <f t="shared" si="0"/>
        <v>9.6261781339285729E-2</v>
      </c>
      <c r="F27" s="12">
        <f>E27/Calculation!K$11*1000</f>
        <v>7.837042212682245E-2</v>
      </c>
      <c r="G27" s="12">
        <f t="shared" si="3"/>
        <v>21.070781824030696</v>
      </c>
    </row>
    <row r="28" spans="1:7">
      <c r="A28" s="34">
        <v>11.5</v>
      </c>
      <c r="B28" s="34">
        <v>30208.6</v>
      </c>
      <c r="C28" s="35">
        <f t="shared" si="1"/>
        <v>30.208599999999997</v>
      </c>
      <c r="D28" s="12">
        <f t="shared" si="2"/>
        <v>2.1206437199999999</v>
      </c>
      <c r="E28" s="12">
        <f t="shared" si="0"/>
        <v>9.467159464285714E-2</v>
      </c>
      <c r="F28" s="12">
        <f>E28/Calculation!K$12*1000</f>
        <v>7.9725077660349752E-2</v>
      </c>
      <c r="G28" s="12">
        <f t="shared" si="3"/>
        <v>23.442214320838278</v>
      </c>
    </row>
    <row r="29" spans="1:7">
      <c r="A29" s="34">
        <v>12</v>
      </c>
      <c r="B29" s="34">
        <v>29778.13</v>
      </c>
      <c r="C29" s="35">
        <f t="shared" si="1"/>
        <v>29.778130000000001</v>
      </c>
      <c r="D29" s="12">
        <f t="shared" si="2"/>
        <v>2.0904247260000002</v>
      </c>
      <c r="E29" s="12">
        <f t="shared" si="0"/>
        <v>9.3322532410714296E-2</v>
      </c>
      <c r="F29" s="12">
        <f>E29/Calculation!K$12*1000</f>
        <v>7.8589002033526575E-2</v>
      </c>
      <c r="G29" s="12">
        <f t="shared" si="3"/>
        <v>25.816925516246425</v>
      </c>
    </row>
    <row r="30" spans="1:7">
      <c r="A30" s="34">
        <v>12.5</v>
      </c>
      <c r="B30" s="34">
        <v>28943</v>
      </c>
      <c r="C30" s="35">
        <f t="shared" si="1"/>
        <v>28.943000000000001</v>
      </c>
      <c r="D30" s="12">
        <f t="shared" si="2"/>
        <v>2.0317986000000001</v>
      </c>
      <c r="E30" s="12">
        <f t="shared" si="0"/>
        <v>9.0705294642857148E-2</v>
      </c>
      <c r="F30" s="12">
        <f>E30/Calculation!K$12*1000</f>
        <v>7.6384967284928884E-2</v>
      </c>
      <c r="G30" s="12">
        <f t="shared" si="3"/>
        <v>28.141535056023258</v>
      </c>
    </row>
    <row r="31" spans="1:7">
      <c r="A31" s="34">
        <v>13</v>
      </c>
      <c r="B31" s="34">
        <v>28689.02</v>
      </c>
      <c r="C31" s="35">
        <f t="shared" si="1"/>
        <v>28.689019999999999</v>
      </c>
      <c r="D31" s="12">
        <f t="shared" si="2"/>
        <v>2.0139692039999999</v>
      </c>
      <c r="E31" s="12">
        <f t="shared" si="0"/>
        <v>8.9909339464285712E-2</v>
      </c>
      <c r="F31" s="12">
        <f>E31/Calculation!K$13*1000</f>
        <v>7.8449852652475185E-2</v>
      </c>
      <c r="G31" s="12">
        <f t="shared" si="3"/>
        <v>30.464057355084318</v>
      </c>
    </row>
    <row r="32" spans="1:7">
      <c r="A32" s="34">
        <v>13.5</v>
      </c>
      <c r="B32" s="34">
        <v>28634.37</v>
      </c>
      <c r="C32" s="35">
        <f t="shared" si="1"/>
        <v>28.634370000000001</v>
      </c>
      <c r="D32" s="12">
        <f t="shared" si="2"/>
        <v>2.0101327740000001</v>
      </c>
      <c r="E32" s="12">
        <f t="shared" si="0"/>
        <v>8.9738070267857156E-2</v>
      </c>
      <c r="F32" s="12">
        <f>E32/Calculation!K$13*1000</f>
        <v>7.8300412746634643E-2</v>
      </c>
      <c r="G32" s="12">
        <f t="shared" si="3"/>
        <v>32.815311336070963</v>
      </c>
    </row>
    <row r="33" spans="1:7">
      <c r="A33" s="34">
        <v>14</v>
      </c>
      <c r="B33" s="34">
        <v>28582.53</v>
      </c>
      <c r="C33" s="35">
        <f t="shared" si="1"/>
        <v>28.582529999999998</v>
      </c>
      <c r="D33" s="12">
        <f t="shared" si="2"/>
        <v>2.0064936059999998</v>
      </c>
      <c r="E33" s="12">
        <f t="shared" si="0"/>
        <v>8.9575607410714284E-2</v>
      </c>
      <c r="F33" s="12">
        <f>E33/Calculation!K$14*1000</f>
        <v>8.1208103926969755E-2</v>
      </c>
      <c r="G33" s="12">
        <f t="shared" si="3"/>
        <v>35.207939086175031</v>
      </c>
    </row>
    <row r="34" spans="1:7">
      <c r="A34" s="34">
        <v>14.5</v>
      </c>
      <c r="B34" s="34">
        <v>26461.21</v>
      </c>
      <c r="C34" s="35">
        <f t="shared" si="1"/>
        <v>26.461209999999998</v>
      </c>
      <c r="D34" s="12">
        <f t="shared" si="2"/>
        <v>1.8575769419999999</v>
      </c>
      <c r="E34" s="12">
        <f t="shared" si="0"/>
        <v>8.2927542053571432E-2</v>
      </c>
      <c r="F34" s="12">
        <f>E34/Calculation!K$14*1000</f>
        <v>7.5181052611975621E-2</v>
      </c>
      <c r="G34" s="12">
        <f t="shared" si="3"/>
        <v>37.553776434259213</v>
      </c>
    </row>
    <row r="35" spans="1:7">
      <c r="A35" s="34">
        <v>15</v>
      </c>
      <c r="B35" s="34">
        <v>23353.360000000001</v>
      </c>
      <c r="C35" s="35">
        <f t="shared" si="1"/>
        <v>23.353360000000002</v>
      </c>
      <c r="D35" s="12">
        <f t="shared" si="2"/>
        <v>1.6394058720000002</v>
      </c>
      <c r="E35" s="12">
        <f t="shared" si="0"/>
        <v>7.318776214285716E-2</v>
      </c>
      <c r="F35" s="12">
        <f>E35/Calculation!K$14*1000</f>
        <v>6.6351092290428418E-2</v>
      </c>
      <c r="G35" s="12">
        <f t="shared" si="3"/>
        <v>39.676758607795271</v>
      </c>
    </row>
    <row r="36" spans="1:7">
      <c r="A36" s="34">
        <v>15.5</v>
      </c>
      <c r="B36" s="34">
        <v>21069.59</v>
      </c>
      <c r="C36" s="35">
        <f t="shared" si="1"/>
        <v>21.069590000000002</v>
      </c>
      <c r="D36" s="12">
        <f t="shared" si="2"/>
        <v>1.4790852180000003</v>
      </c>
      <c r="E36" s="12">
        <f t="shared" si="0"/>
        <v>6.6030590089285732E-2</v>
      </c>
      <c r="F36" s="12">
        <f>E36/Calculation!K$15*1000</f>
        <v>6.2292919048867815E-2</v>
      </c>
      <c r="G36" s="12">
        <f t="shared" si="3"/>
        <v>41.606418777884713</v>
      </c>
    </row>
    <row r="37" spans="1:7">
      <c r="A37" s="34">
        <v>16</v>
      </c>
      <c r="B37" s="34">
        <v>19654.810000000001</v>
      </c>
      <c r="C37" s="35">
        <f t="shared" si="1"/>
        <v>19.654810000000001</v>
      </c>
      <c r="D37" s="12">
        <f t="shared" si="2"/>
        <v>1.3797676620000001</v>
      </c>
      <c r="E37" s="12">
        <f t="shared" si="0"/>
        <v>6.1596770625000012E-2</v>
      </c>
      <c r="F37" s="12">
        <f>E37/Calculation!K$15*1000</f>
        <v>5.8110076572485639E-2</v>
      </c>
      <c r="G37" s="12">
        <f t="shared" si="3"/>
        <v>43.412463712205017</v>
      </c>
    </row>
    <row r="38" spans="1:7">
      <c r="A38" s="34">
        <v>16.5</v>
      </c>
      <c r="B38" s="34">
        <v>17889.86</v>
      </c>
      <c r="C38" s="35">
        <f t="shared" si="1"/>
        <v>17.889860000000002</v>
      </c>
      <c r="D38" s="12">
        <f t="shared" si="2"/>
        <v>1.2558681720000002</v>
      </c>
      <c r="E38" s="12">
        <f t="shared" si="0"/>
        <v>5.6065543392857159E-2</v>
      </c>
      <c r="F38" s="12">
        <f>E38/Calculation!K$15*1000</f>
        <v>5.2891945252640349E-2</v>
      </c>
      <c r="G38" s="12">
        <f t="shared" si="3"/>
        <v>45.077494039581907</v>
      </c>
    </row>
    <row r="39" spans="1:7">
      <c r="A39" s="34">
        <v>17</v>
      </c>
      <c r="B39" s="34">
        <v>16616.59</v>
      </c>
      <c r="C39" s="35">
        <f t="shared" si="1"/>
        <v>16.616589999999999</v>
      </c>
      <c r="D39" s="12">
        <f t="shared" si="2"/>
        <v>1.1664846179999999</v>
      </c>
      <c r="E39" s="12">
        <f t="shared" si="0"/>
        <v>5.2075206160714288E-2</v>
      </c>
      <c r="F39" s="12">
        <f>E39/Calculation!K$16*1000</f>
        <v>5.1536137069135173E-2</v>
      </c>
      <c r="G39" s="12">
        <f>G38+(F39+F38)/2*30</f>
        <v>46.643915274408542</v>
      </c>
    </row>
    <row r="40" spans="1:7">
      <c r="A40" s="34">
        <v>17.5</v>
      </c>
      <c r="B40" s="34">
        <v>14955.32</v>
      </c>
      <c r="C40" s="35">
        <f t="shared" si="1"/>
        <v>14.95532</v>
      </c>
      <c r="D40" s="12">
        <f t="shared" si="2"/>
        <v>1.0498634640000002</v>
      </c>
      <c r="E40" s="12">
        <f t="shared" si="0"/>
        <v>4.6868904642857152E-2</v>
      </c>
      <c r="F40" s="12">
        <f>E40/Calculation!K$16*1000</f>
        <v>4.6383729840645933E-2</v>
      </c>
      <c r="G40" s="12">
        <f t="shared" si="3"/>
        <v>48.11271327805526</v>
      </c>
    </row>
    <row r="41" spans="1:7">
      <c r="A41" s="34">
        <v>18</v>
      </c>
      <c r="B41" s="34">
        <v>13241.84</v>
      </c>
      <c r="C41" s="35">
        <f t="shared" si="1"/>
        <v>13.24184</v>
      </c>
      <c r="D41" s="12">
        <f t="shared" si="2"/>
        <v>0.92957716800000001</v>
      </c>
      <c r="E41" s="12">
        <f t="shared" si="0"/>
        <v>4.1498980714285719E-2</v>
      </c>
      <c r="F41" s="12">
        <f>E41/Calculation!K$17*1000</f>
        <v>4.3102927078302322E-2</v>
      </c>
      <c r="G41" s="12">
        <f t="shared" si="3"/>
        <v>49.455013131839486</v>
      </c>
    </row>
    <row r="42" spans="1:7">
      <c r="A42" s="34">
        <v>18.5</v>
      </c>
      <c r="B42" s="34">
        <v>11741.91</v>
      </c>
      <c r="C42" s="35">
        <f t="shared" si="1"/>
        <v>11.741910000000001</v>
      </c>
      <c r="D42" s="12">
        <f t="shared" si="2"/>
        <v>0.82428208200000008</v>
      </c>
      <c r="E42" s="12">
        <f t="shared" si="0"/>
        <v>3.6798307232142863E-2</v>
      </c>
      <c r="F42" s="12">
        <f>E42/Calculation!K$17*1000</f>
        <v>3.8220571347334573E-2</v>
      </c>
      <c r="G42" s="12">
        <f t="shared" si="3"/>
        <v>50.674865608224039</v>
      </c>
    </row>
    <row r="43" spans="1:7">
      <c r="A43" s="34">
        <v>19</v>
      </c>
      <c r="B43" s="34">
        <v>10433.07</v>
      </c>
      <c r="C43" s="35">
        <f t="shared" si="1"/>
        <v>10.433069999999999</v>
      </c>
      <c r="D43" s="12">
        <f t="shared" si="2"/>
        <v>0.73240151399999998</v>
      </c>
      <c r="E43" s="12">
        <f t="shared" si="0"/>
        <v>3.2696496160714288E-2</v>
      </c>
      <c r="F43" s="12">
        <f>E43/Calculation!K$17*1000</f>
        <v>3.3960224214521821E-2</v>
      </c>
      <c r="G43" s="12">
        <f t="shared" si="3"/>
        <v>51.757577541651884</v>
      </c>
    </row>
    <row r="44" spans="1:7">
      <c r="A44" s="34">
        <v>19.5</v>
      </c>
      <c r="B44" s="34">
        <v>9118.43</v>
      </c>
      <c r="C44" s="35">
        <f t="shared" si="1"/>
        <v>9.11843</v>
      </c>
      <c r="D44" s="12">
        <f t="shared" si="2"/>
        <v>0.64011378600000002</v>
      </c>
      <c r="E44" s="12">
        <f t="shared" si="0"/>
        <v>2.8576508303571432E-2</v>
      </c>
      <c r="F44" s="12">
        <f>E44/Calculation!K$17*1000</f>
        <v>2.9680997758514245E-2</v>
      </c>
      <c r="G44" s="12">
        <f t="shared" si="3"/>
        <v>52.712195871247424</v>
      </c>
    </row>
    <row r="45" spans="1:7">
      <c r="A45" s="34">
        <v>20</v>
      </c>
      <c r="B45" s="34">
        <v>7905.61</v>
      </c>
      <c r="C45" s="35">
        <f t="shared" si="1"/>
        <v>7.9056099999999994</v>
      </c>
      <c r="D45" s="12">
        <f t="shared" si="2"/>
        <v>0.55497382199999989</v>
      </c>
      <c r="E45" s="12">
        <f t="shared" si="0"/>
        <v>2.4775617053571425E-2</v>
      </c>
      <c r="F45" s="12">
        <f>E45/Calculation!K$17*1000</f>
        <v>2.5733201076247526E-2</v>
      </c>
      <c r="G45" s="12">
        <f t="shared" si="3"/>
        <v>53.543408853768852</v>
      </c>
    </row>
    <row r="46" spans="1:7">
      <c r="A46" s="34">
        <v>20.5</v>
      </c>
      <c r="B46" s="34">
        <v>6857.49</v>
      </c>
      <c r="C46" s="35">
        <f t="shared" si="1"/>
        <v>6.8574899999999994</v>
      </c>
      <c r="D46" s="12">
        <f t="shared" si="2"/>
        <v>0.48139579799999993</v>
      </c>
      <c r="E46" s="12">
        <f t="shared" si="0"/>
        <v>2.1490883839285713E-2</v>
      </c>
      <c r="F46" s="12">
        <f>E46/Calculation!K$17*1000</f>
        <v>2.2321512071599367E-2</v>
      </c>
      <c r="G46" s="12">
        <f t="shared" si="3"/>
        <v>54.264229550986556</v>
      </c>
    </row>
    <row r="47" spans="1:7">
      <c r="A47" s="34">
        <v>21</v>
      </c>
      <c r="B47" s="34">
        <v>5812</v>
      </c>
      <c r="C47" s="35">
        <f t="shared" si="1"/>
        <v>5.8120000000000003</v>
      </c>
      <c r="D47" s="12">
        <f t="shared" si="2"/>
        <v>0.40800240000000004</v>
      </c>
      <c r="E47" s="12">
        <f t="shared" si="0"/>
        <v>1.821439285714286E-2</v>
      </c>
      <c r="F47" s="12">
        <f>E47/Calculation!K$17*1000</f>
        <v>1.8918383863503346E-2</v>
      </c>
      <c r="G47" s="12">
        <f t="shared" si="3"/>
        <v>54.882827990013098</v>
      </c>
    </row>
    <row r="48" spans="1:7">
      <c r="A48" s="34">
        <v>21.5</v>
      </c>
      <c r="B48" s="34">
        <v>5059.97</v>
      </c>
      <c r="C48" s="35">
        <f t="shared" si="1"/>
        <v>5.0599699999999999</v>
      </c>
      <c r="D48" s="12">
        <f t="shared" si="2"/>
        <v>0.35520989399999997</v>
      </c>
      <c r="E48" s="12">
        <f t="shared" si="0"/>
        <v>1.5857584553571429E-2</v>
      </c>
      <c r="F48" s="12">
        <f>E48/Calculation!K$17*1000</f>
        <v>1.6470484307950964E-2</v>
      </c>
      <c r="G48" s="12">
        <f t="shared" si="3"/>
        <v>55.41366101258491</v>
      </c>
    </row>
    <row r="49" spans="1:7">
      <c r="A49" s="34">
        <v>22</v>
      </c>
      <c r="B49" s="34">
        <v>4341.45</v>
      </c>
      <c r="C49" s="35">
        <f t="shared" si="1"/>
        <v>4.34145</v>
      </c>
      <c r="D49" s="12">
        <f t="shared" si="2"/>
        <v>0.30476979000000004</v>
      </c>
      <c r="E49" s="12">
        <f t="shared" si="0"/>
        <v>1.3605794196428574E-2</v>
      </c>
      <c r="F49" s="12">
        <f>E49/Calculation!K$17*1000</f>
        <v>1.4131661669684549E-2</v>
      </c>
      <c r="G49" s="12">
        <f t="shared" si="3"/>
        <v>55.872693202249444</v>
      </c>
    </row>
    <row r="50" spans="1:7">
      <c r="A50" s="34">
        <v>22.5</v>
      </c>
      <c r="B50" s="34">
        <v>3749.08</v>
      </c>
      <c r="C50" s="35">
        <f t="shared" si="1"/>
        <v>3.7490799999999997</v>
      </c>
      <c r="D50" s="12">
        <f t="shared" si="2"/>
        <v>0.26318541600000001</v>
      </c>
      <c r="E50" s="12">
        <f t="shared" si="0"/>
        <v>1.174934892857143E-2</v>
      </c>
      <c r="F50" s="12">
        <f>E50/Calculation!K$17*1000</f>
        <v>1.2203464310905561E-2</v>
      </c>
      <c r="G50" s="12">
        <f t="shared" si="3"/>
        <v>56.267720091958296</v>
      </c>
    </row>
    <row r="51" spans="1:7">
      <c r="A51" s="34">
        <v>23</v>
      </c>
      <c r="B51" s="34">
        <v>3310.74</v>
      </c>
      <c r="C51" s="35">
        <f t="shared" si="1"/>
        <v>3.3107399999999996</v>
      </c>
      <c r="D51" s="12">
        <f t="shared" si="2"/>
        <v>0.23241394799999998</v>
      </c>
      <c r="E51" s="12">
        <f t="shared" si="0"/>
        <v>1.0375622678571429E-2</v>
      </c>
      <c r="F51" s="12">
        <f>E51/Calculation!K$17*1000</f>
        <v>1.0776643185178089E-2</v>
      </c>
      <c r="G51" s="12">
        <f t="shared" si="3"/>
        <v>56.612421704399551</v>
      </c>
    </row>
    <row r="52" spans="1:7">
      <c r="A52" s="34">
        <v>23.5</v>
      </c>
      <c r="B52" s="34">
        <v>2930.42</v>
      </c>
      <c r="C52" s="35">
        <f t="shared" si="1"/>
        <v>2.9304200000000002</v>
      </c>
      <c r="D52" s="12">
        <f t="shared" si="2"/>
        <v>0.20571548400000003</v>
      </c>
      <c r="E52" s="12">
        <f t="shared" si="0"/>
        <v>9.1837269642857169E-3</v>
      </c>
      <c r="F52" s="12">
        <f>E52/Calculation!K$17*1000</f>
        <v>9.5386803925133299E-3</v>
      </c>
      <c r="G52" s="12">
        <f t="shared" si="3"/>
        <v>56.917151558064923</v>
      </c>
    </row>
    <row r="53" spans="1:7">
      <c r="A53" s="34">
        <v>24</v>
      </c>
      <c r="B53" s="34">
        <v>2589.41</v>
      </c>
      <c r="C53" s="35">
        <f t="shared" si="1"/>
        <v>2.58941</v>
      </c>
      <c r="D53" s="12">
        <f t="shared" si="2"/>
        <v>0.18177658199999999</v>
      </c>
      <c r="E53" s="12">
        <f t="shared" si="0"/>
        <v>8.115025982142858E-3</v>
      </c>
      <c r="F53" s="12">
        <f>E53/Calculation!K$18*1000</f>
        <v>8.948962348991658E-3</v>
      </c>
      <c r="G53" s="12">
        <f t="shared" si="3"/>
        <v>57.194466199187495</v>
      </c>
    </row>
    <row r="54" spans="1:7">
      <c r="A54" s="34">
        <v>24.5</v>
      </c>
      <c r="B54" s="34">
        <v>2268.61</v>
      </c>
      <c r="C54" s="35">
        <f t="shared" si="1"/>
        <v>2.2686100000000002</v>
      </c>
      <c r="D54" s="12">
        <f t="shared" si="2"/>
        <v>0.15925642200000004</v>
      </c>
      <c r="E54" s="12">
        <f t="shared" si="0"/>
        <v>7.1096616964285734E-3</v>
      </c>
      <c r="F54" s="12">
        <f>E54/Calculation!K$18*1000</f>
        <v>7.8402823324795878E-3</v>
      </c>
      <c r="G54" s="12">
        <f t="shared" si="3"/>
        <v>57.446304869409566</v>
      </c>
    </row>
    <row r="55" spans="1:7">
      <c r="A55" s="34">
        <v>25</v>
      </c>
      <c r="B55" s="34">
        <v>1998.16</v>
      </c>
      <c r="C55" s="35">
        <f t="shared" si="1"/>
        <v>1.9981600000000002</v>
      </c>
      <c r="D55" s="12">
        <f t="shared" si="2"/>
        <v>0.14027083200000001</v>
      </c>
      <c r="E55" s="12">
        <f t="shared" si="0"/>
        <v>6.2620907142857153E-3</v>
      </c>
      <c r="F55" s="12">
        <f>E55/Calculation!K$18*1000</f>
        <v>6.9056111651925227E-3</v>
      </c>
      <c r="G55" s="12">
        <f t="shared" si="3"/>
        <v>57.667493271874648</v>
      </c>
    </row>
    <row r="56" spans="1:7">
      <c r="A56" s="34">
        <v>25.5</v>
      </c>
      <c r="B56" s="34">
        <v>1752.04</v>
      </c>
      <c r="C56" s="35">
        <f t="shared" si="1"/>
        <v>1.75204</v>
      </c>
      <c r="D56" s="12">
        <f t="shared" si="2"/>
        <v>0.12299320800000001</v>
      </c>
      <c r="E56" s="12">
        <f t="shared" si="0"/>
        <v>5.4907682142857151E-3</v>
      </c>
      <c r="F56" s="12">
        <f>E56/Calculation!K$18*1000</f>
        <v>6.0550241151178632E-3</v>
      </c>
      <c r="G56" s="12">
        <f t="shared" si="3"/>
        <v>57.861902801079303</v>
      </c>
    </row>
    <row r="57" spans="1:7">
      <c r="A57" s="34">
        <v>26</v>
      </c>
      <c r="B57" s="34">
        <v>1574.98</v>
      </c>
      <c r="C57" s="35">
        <f t="shared" si="1"/>
        <v>1.57498</v>
      </c>
      <c r="D57" s="12">
        <f t="shared" si="2"/>
        <v>0.11056359600000001</v>
      </c>
      <c r="E57" s="12">
        <f t="shared" si="0"/>
        <v>4.9358748214285725E-3</v>
      </c>
      <c r="F57" s="12">
        <f>E57/Calculation!K$18*1000</f>
        <v>5.4431073952811194E-3</v>
      </c>
      <c r="G57" s="12">
        <f t="shared" si="3"/>
        <v>58.034374773735287</v>
      </c>
    </row>
    <row r="58" spans="1:7">
      <c r="A58" s="34">
        <v>26.5</v>
      </c>
      <c r="B58" s="34">
        <v>1397.93</v>
      </c>
      <c r="C58" s="35">
        <f t="shared" si="1"/>
        <v>1.3979300000000001</v>
      </c>
      <c r="D58" s="12">
        <f t="shared" si="2"/>
        <v>9.8134686000000013E-2</v>
      </c>
      <c r="E58" s="12">
        <f t="shared" si="0"/>
        <v>4.3810127678571434E-3</v>
      </c>
      <c r="F58" s="12">
        <f>E58/Calculation!K$18*1000</f>
        <v>4.8312252352952639E-3</v>
      </c>
      <c r="G58" s="12">
        <f t="shared" si="3"/>
        <v>58.188489763193935</v>
      </c>
    </row>
    <row r="59" spans="1:7">
      <c r="A59" s="34">
        <v>27</v>
      </c>
      <c r="B59" s="34">
        <v>1280.2</v>
      </c>
      <c r="C59" s="35">
        <f t="shared" si="1"/>
        <v>1.2802</v>
      </c>
      <c r="D59" s="12">
        <f t="shared" si="2"/>
        <v>8.9870039999999998E-2</v>
      </c>
      <c r="E59" s="12">
        <f t="shared" si="0"/>
        <v>4.0120553571428574E-3</v>
      </c>
      <c r="F59" s="12">
        <f>E59/Calculation!K$18*1000</f>
        <v>4.4243521107816524E-3</v>
      </c>
      <c r="G59" s="12">
        <f t="shared" si="3"/>
        <v>58.327323423385089</v>
      </c>
    </row>
    <row r="60" spans="1:7">
      <c r="A60" s="34">
        <v>27.5</v>
      </c>
      <c r="B60" s="34">
        <v>1216.19</v>
      </c>
      <c r="C60" s="35">
        <f t="shared" si="1"/>
        <v>1.2161900000000001</v>
      </c>
      <c r="D60" s="12">
        <f t="shared" si="2"/>
        <v>8.5376538000000002E-2</v>
      </c>
      <c r="E60" s="12">
        <f t="shared" si="0"/>
        <v>3.8114525892857147E-3</v>
      </c>
      <c r="F60" s="12">
        <f>E60/Calculation!K$18*1000</f>
        <v>4.2031345052425707E-3</v>
      </c>
      <c r="G60" s="12">
        <f t="shared" si="3"/>
        <v>58.456735722625453</v>
      </c>
    </row>
    <row r="61" spans="1:7">
      <c r="A61" s="34">
        <v>28</v>
      </c>
      <c r="B61" s="34">
        <v>1189.43</v>
      </c>
      <c r="C61" s="35">
        <f t="shared" si="1"/>
        <v>1.18943</v>
      </c>
      <c r="D61" s="12">
        <f t="shared" si="2"/>
        <v>8.349798600000001E-2</v>
      </c>
      <c r="E61" s="12">
        <f t="shared" si="0"/>
        <v>3.7275886607142862E-3</v>
      </c>
      <c r="F61" s="12">
        <f>E61/Calculation!K$18*1000</f>
        <v>4.1106523442641946E-3</v>
      </c>
      <c r="G61" s="12">
        <f t="shared" si="3"/>
        <v>58.581442525368054</v>
      </c>
    </row>
    <row r="62" spans="1:7">
      <c r="A62" s="34">
        <v>28.5</v>
      </c>
      <c r="B62" s="34">
        <v>1182.1300000000001</v>
      </c>
      <c r="C62" s="35">
        <f t="shared" si="1"/>
        <v>1.1821300000000001</v>
      </c>
      <c r="D62" s="12">
        <f t="shared" si="2"/>
        <v>8.2985526000000018E-2</v>
      </c>
      <c r="E62" s="12">
        <f t="shared" si="0"/>
        <v>3.7047109821428583E-3</v>
      </c>
      <c r="F62" s="12">
        <f>E62/Calculation!K$18*1000</f>
        <v>4.085423653115385E-3</v>
      </c>
      <c r="G62" s="12">
        <f t="shared" si="3"/>
        <v>58.704383665328749</v>
      </c>
    </row>
    <row r="63" spans="1:7">
      <c r="A63" s="34">
        <v>29</v>
      </c>
      <c r="B63" s="34">
        <v>1207.77</v>
      </c>
      <c r="C63" s="35">
        <f t="shared" si="1"/>
        <v>1.20777</v>
      </c>
      <c r="D63" s="12">
        <f t="shared" si="2"/>
        <v>8.4785453999999996E-2</v>
      </c>
      <c r="E63" s="12">
        <f t="shared" si="0"/>
        <v>3.785064910714286E-3</v>
      </c>
      <c r="F63" s="12">
        <f>E63/Calculation!K$18*1000</f>
        <v>4.1740351107942171E-3</v>
      </c>
      <c r="G63" s="12">
        <f t="shared" si="3"/>
        <v>58.828275546787395</v>
      </c>
    </row>
    <row r="64" spans="1:7">
      <c r="A64" s="34">
        <v>29.5</v>
      </c>
      <c r="B64" s="34">
        <v>1300.4100000000001</v>
      </c>
      <c r="C64" s="35">
        <f t="shared" si="1"/>
        <v>1.3004100000000001</v>
      </c>
      <c r="D64" s="12">
        <f t="shared" si="2"/>
        <v>9.1288782000000013E-2</v>
      </c>
      <c r="E64" s="12">
        <f t="shared" si="0"/>
        <v>4.0753920535714291E-3</v>
      </c>
      <c r="F64" s="12">
        <f>E64/Calculation!K$18*1000</f>
        <v>4.4941975694278782E-3</v>
      </c>
      <c r="G64" s="12">
        <f t="shared" si="3"/>
        <v>58.958299036990724</v>
      </c>
    </row>
    <row r="65" spans="1:7">
      <c r="A65" s="34">
        <v>30</v>
      </c>
      <c r="B65" s="34">
        <v>1485.14</v>
      </c>
      <c r="C65" s="35">
        <f t="shared" si="1"/>
        <v>1.4851400000000001</v>
      </c>
      <c r="D65" s="12">
        <f t="shared" si="2"/>
        <v>0.10425682800000001</v>
      </c>
      <c r="E65" s="12">
        <f t="shared" si="0"/>
        <v>4.6543226785714289E-3</v>
      </c>
      <c r="F65" s="12">
        <f>E65/Calculation!K$18*1000</f>
        <v>5.1326216948963154E-3</v>
      </c>
      <c r="G65" s="12">
        <f t="shared" si="3"/>
        <v>59.102701325955586</v>
      </c>
    </row>
    <row r="66" spans="1:7">
      <c r="A66" s="34">
        <v>30.5</v>
      </c>
      <c r="B66" s="34">
        <v>1759.34</v>
      </c>
      <c r="C66" s="35">
        <f t="shared" si="1"/>
        <v>1.7593399999999999</v>
      </c>
      <c r="D66" s="12">
        <f t="shared" si="2"/>
        <v>0.123505668</v>
      </c>
      <c r="E66" s="12">
        <f t="shared" si="0"/>
        <v>5.5136458928571434E-3</v>
      </c>
      <c r="F66" s="12">
        <f>E66/Calculation!K$19*1000</f>
        <v>6.4099845202724567E-3</v>
      </c>
      <c r="G66" s="12">
        <f t="shared" si="3"/>
        <v>59.275840419183119</v>
      </c>
    </row>
    <row r="67" spans="1:7">
      <c r="A67" s="34">
        <v>31</v>
      </c>
      <c r="B67" s="34">
        <v>2120.38</v>
      </c>
      <c r="C67" s="35">
        <f t="shared" si="1"/>
        <v>2.1203799999999999</v>
      </c>
      <c r="D67" s="12">
        <f t="shared" si="2"/>
        <v>0.14885067599999999</v>
      </c>
      <c r="E67" s="12">
        <f t="shared" si="0"/>
        <v>6.6451194642857137E-3</v>
      </c>
      <c r="F67" s="12">
        <f>E67/Calculation!K$19*1000</f>
        <v>7.7253987160499438E-3</v>
      </c>
      <c r="G67" s="12">
        <f t="shared" si="3"/>
        <v>59.487871167727953</v>
      </c>
    </row>
    <row r="68" spans="1:7">
      <c r="A68" s="34">
        <v>31.5</v>
      </c>
      <c r="B68" s="34">
        <v>2612.4299999999998</v>
      </c>
      <c r="C68" s="35">
        <f t="shared" si="1"/>
        <v>2.6124299999999998</v>
      </c>
      <c r="D68" s="12">
        <f t="shared" si="2"/>
        <v>0.183392586</v>
      </c>
      <c r="E68" s="12">
        <f t="shared" si="0"/>
        <v>8.1871690178571439E-3</v>
      </c>
      <c r="F68" s="12">
        <f>E68/Calculation!K$19*1000</f>
        <v>9.5181351303871772E-3</v>
      </c>
      <c r="G68" s="12">
        <f t="shared" si="3"/>
        <v>59.746524175424511</v>
      </c>
    </row>
    <row r="69" spans="1:7">
      <c r="A69" s="34">
        <v>32</v>
      </c>
      <c r="B69" s="34">
        <v>3229.7</v>
      </c>
      <c r="C69" s="35">
        <f t="shared" si="1"/>
        <v>3.2296999999999998</v>
      </c>
      <c r="D69" s="12">
        <f t="shared" si="2"/>
        <v>0.22672493999999999</v>
      </c>
      <c r="E69" s="12">
        <f t="shared" si="0"/>
        <v>1.0121649107142857E-2</v>
      </c>
      <c r="F69" s="12">
        <f>E69/Calculation!K$19*1000</f>
        <v>1.176709846028849E-2</v>
      </c>
      <c r="G69" s="12">
        <f t="shared" si="3"/>
        <v>60.065802679284644</v>
      </c>
    </row>
    <row r="70" spans="1:7">
      <c r="A70" s="34">
        <v>32.5</v>
      </c>
      <c r="B70" s="34">
        <v>3161.01</v>
      </c>
      <c r="C70" s="35">
        <f t="shared" ref="C70:C101" si="4">B70/1000</f>
        <v>3.1610100000000001</v>
      </c>
      <c r="D70" s="12">
        <f t="shared" ref="D70:D101" si="5">C70/1000*$B$1</f>
        <v>0.22190290200000001</v>
      </c>
      <c r="E70" s="12">
        <f t="shared" ref="E70:E101" si="6">D70/22.4</f>
        <v>9.9063795535714299E-3</v>
      </c>
      <c r="F70" s="12">
        <f>E70/Calculation!K$19*1000</f>
        <v>1.1516833112659542E-2</v>
      </c>
      <c r="G70" s="12">
        <f t="shared" si="3"/>
        <v>60.415061652878862</v>
      </c>
    </row>
    <row r="71" spans="1:7">
      <c r="A71" s="34">
        <v>33</v>
      </c>
      <c r="B71" s="34">
        <v>2920.88</v>
      </c>
      <c r="C71" s="35">
        <f t="shared" si="4"/>
        <v>2.9208799999999999</v>
      </c>
      <c r="D71" s="12">
        <f t="shared" si="5"/>
        <v>0.20504577599999999</v>
      </c>
      <c r="E71" s="12">
        <f t="shared" si="6"/>
        <v>9.153829285714286E-3</v>
      </c>
      <c r="F71" s="12">
        <f>E71/Calculation!K$19*1000</f>
        <v>1.0641942765794794E-2</v>
      </c>
      <c r="G71" s="12">
        <f t="shared" ref="G71:G101" si="7">G70+(F71+F70)/2*30</f>
        <v>60.747443291055674</v>
      </c>
    </row>
    <row r="72" spans="1:7">
      <c r="A72" s="34">
        <v>33.5</v>
      </c>
      <c r="B72" s="34">
        <v>2622.91</v>
      </c>
      <c r="C72" s="35">
        <f t="shared" si="4"/>
        <v>2.6229100000000001</v>
      </c>
      <c r="D72" s="12">
        <f t="shared" si="5"/>
        <v>0.184128282</v>
      </c>
      <c r="E72" s="12">
        <f t="shared" si="6"/>
        <v>8.2200125892857145E-3</v>
      </c>
      <c r="F72" s="12">
        <f>E72/Calculation!K$19*1000</f>
        <v>9.5563179931496076E-3</v>
      </c>
      <c r="G72" s="12">
        <f t="shared" si="7"/>
        <v>61.050417202439839</v>
      </c>
    </row>
    <row r="73" spans="1:7">
      <c r="A73" s="34">
        <v>34</v>
      </c>
      <c r="B73" s="34">
        <v>2257.38</v>
      </c>
      <c r="C73" s="35">
        <f t="shared" si="4"/>
        <v>2.2573799999999999</v>
      </c>
      <c r="D73" s="12">
        <f t="shared" si="5"/>
        <v>0.15846807599999999</v>
      </c>
      <c r="E73" s="12">
        <f t="shared" si="6"/>
        <v>7.0744676785714283E-3</v>
      </c>
      <c r="F73" s="12">
        <f>E73/Calculation!K$19*1000</f>
        <v>8.2245449181924113E-3</v>
      </c>
      <c r="G73" s="12">
        <f t="shared" si="7"/>
        <v>61.317130146109967</v>
      </c>
    </row>
    <row r="74" spans="1:7">
      <c r="A74" s="34">
        <v>34.5</v>
      </c>
      <c r="B74" s="34">
        <v>2020.81</v>
      </c>
      <c r="C74" s="35">
        <f t="shared" si="4"/>
        <v>2.02081</v>
      </c>
      <c r="D74" s="12">
        <f t="shared" si="5"/>
        <v>0.141860862</v>
      </c>
      <c r="E74" s="12">
        <f t="shared" si="6"/>
        <v>6.3330741964285724E-3</v>
      </c>
      <c r="F74" s="12">
        <f>E74/Calculation!K$19*1000</f>
        <v>7.3626250857774982E-3</v>
      </c>
      <c r="G74" s="12">
        <f t="shared" si="7"/>
        <v>61.550937696169512</v>
      </c>
    </row>
    <row r="75" spans="1:7">
      <c r="A75" s="34">
        <v>35</v>
      </c>
      <c r="B75" s="34">
        <v>1761.96</v>
      </c>
      <c r="C75" s="35">
        <f t="shared" si="4"/>
        <v>1.76196</v>
      </c>
      <c r="D75" s="12">
        <f t="shared" si="5"/>
        <v>0.123689592</v>
      </c>
      <c r="E75" s="12">
        <f t="shared" si="6"/>
        <v>5.5218567857142865E-3</v>
      </c>
      <c r="F75" s="12">
        <f>E75/Calculation!K$19*1000</f>
        <v>6.4195302359630656E-3</v>
      </c>
      <c r="G75" s="12">
        <f t="shared" si="7"/>
        <v>61.757670025995623</v>
      </c>
    </row>
    <row r="76" spans="1:7">
      <c r="A76" s="34">
        <v>35.5</v>
      </c>
      <c r="B76" s="34">
        <v>1539.42</v>
      </c>
      <c r="C76" s="35">
        <f t="shared" si="4"/>
        <v>1.53942</v>
      </c>
      <c r="D76" s="12">
        <f t="shared" si="5"/>
        <v>0.10806728400000001</v>
      </c>
      <c r="E76" s="12">
        <f t="shared" si="6"/>
        <v>4.8244323214285722E-3</v>
      </c>
      <c r="F76" s="12">
        <f>E76/Calculation!K$19*1000</f>
        <v>5.6087273467310614E-3</v>
      </c>
      <c r="G76" s="12">
        <f t="shared" si="7"/>
        <v>61.938093889736038</v>
      </c>
    </row>
    <row r="77" spans="1:7">
      <c r="A77" s="34">
        <v>36</v>
      </c>
      <c r="B77" s="34">
        <v>1353.57</v>
      </c>
      <c r="C77" s="35">
        <f t="shared" si="4"/>
        <v>1.3535699999999999</v>
      </c>
      <c r="D77" s="12">
        <f t="shared" si="5"/>
        <v>9.5020614000000003E-2</v>
      </c>
      <c r="E77" s="12">
        <f t="shared" si="6"/>
        <v>4.2419916964285716E-3</v>
      </c>
      <c r="F77" s="12">
        <f>E77/Calculation!K$19*1000</f>
        <v>4.9316009111969195E-3</v>
      </c>
      <c r="G77" s="12">
        <f t="shared" si="7"/>
        <v>62.096198813604957</v>
      </c>
    </row>
    <row r="78" spans="1:7">
      <c r="A78" s="34">
        <v>36.5</v>
      </c>
      <c r="B78" s="34">
        <v>1195.98</v>
      </c>
      <c r="C78" s="35">
        <f t="shared" si="4"/>
        <v>1.19598</v>
      </c>
      <c r="D78" s="12">
        <f t="shared" si="5"/>
        <v>8.3957796000000015E-2</v>
      </c>
      <c r="E78" s="12">
        <f t="shared" si="6"/>
        <v>3.7481158928571439E-3</v>
      </c>
      <c r="F78" s="12">
        <f>E78/Calculation!K$19*1000</f>
        <v>4.3574370426156701E-3</v>
      </c>
      <c r="G78" s="12">
        <f t="shared" si="7"/>
        <v>62.235534382912142</v>
      </c>
    </row>
    <row r="79" spans="1:7">
      <c r="A79" s="34">
        <v>37</v>
      </c>
      <c r="B79" s="34">
        <v>1087.05</v>
      </c>
      <c r="C79" s="35">
        <f t="shared" si="4"/>
        <v>1.0870499999999998</v>
      </c>
      <c r="D79" s="12">
        <f t="shared" si="5"/>
        <v>7.6310909999999982E-2</v>
      </c>
      <c r="E79" s="12">
        <f t="shared" si="6"/>
        <v>3.4067370535714281E-3</v>
      </c>
      <c r="F79" s="12">
        <f>E79/Calculation!K$19*1000</f>
        <v>3.960561160868379E-3</v>
      </c>
      <c r="G79" s="12">
        <f t="shared" si="7"/>
        <v>62.360304355964402</v>
      </c>
    </row>
    <row r="80" spans="1:7">
      <c r="A80" s="34">
        <v>37.5</v>
      </c>
      <c r="B80" s="34">
        <v>954.72</v>
      </c>
      <c r="C80" s="35">
        <f t="shared" si="4"/>
        <v>0.95472000000000001</v>
      </c>
      <c r="D80" s="12">
        <f t="shared" si="5"/>
        <v>6.702134400000001E-2</v>
      </c>
      <c r="E80" s="12">
        <f t="shared" si="6"/>
        <v>2.9920242857142862E-3</v>
      </c>
      <c r="F80" s="12">
        <f>E80/Calculation!K$19*1000</f>
        <v>3.4784296504339813E-3</v>
      </c>
      <c r="G80" s="12">
        <f t="shared" si="7"/>
        <v>62.471889218133938</v>
      </c>
    </row>
    <row r="81" spans="1:7">
      <c r="A81" s="34">
        <v>38</v>
      </c>
      <c r="B81" s="34">
        <v>859.08</v>
      </c>
      <c r="C81" s="35">
        <f t="shared" si="4"/>
        <v>0.85908000000000007</v>
      </c>
      <c r="D81" s="12">
        <f t="shared" si="5"/>
        <v>6.0307416000000003E-2</v>
      </c>
      <c r="E81" s="12">
        <f t="shared" si="6"/>
        <v>2.6922953571428573E-3</v>
      </c>
      <c r="F81" s="12">
        <f>E81/Calculation!K$19*1000</f>
        <v>3.1299745936974447E-3</v>
      </c>
      <c r="G81" s="12">
        <f t="shared" si="7"/>
        <v>62.571015281795908</v>
      </c>
    </row>
    <row r="82" spans="1:7">
      <c r="A82" s="34">
        <v>38.5</v>
      </c>
      <c r="B82" s="34">
        <v>772.61</v>
      </c>
      <c r="C82" s="35">
        <f t="shared" si="4"/>
        <v>0.77261000000000002</v>
      </c>
      <c r="D82" s="12">
        <f t="shared" si="5"/>
        <v>5.4237222000000009E-2</v>
      </c>
      <c r="E82" s="12">
        <f t="shared" si="6"/>
        <v>2.4213045535714291E-3</v>
      </c>
      <c r="F82" s="12">
        <f>E82/Calculation!K$19*1000</f>
        <v>2.8149295418780358E-3</v>
      </c>
      <c r="G82" s="12">
        <f t="shared" si="7"/>
        <v>62.660188843829538</v>
      </c>
    </row>
    <row r="83" spans="1:7">
      <c r="A83" s="34">
        <v>39</v>
      </c>
      <c r="B83" s="34">
        <v>691.38</v>
      </c>
      <c r="C83" s="35">
        <f t="shared" si="4"/>
        <v>0.69137999999999999</v>
      </c>
      <c r="D83" s="12">
        <f t="shared" si="5"/>
        <v>4.8534876000000005E-2</v>
      </c>
      <c r="E83" s="12">
        <f t="shared" si="6"/>
        <v>2.1667355357142862E-3</v>
      </c>
      <c r="F83" s="12">
        <f>E83/Calculation!K$19*1000</f>
        <v>2.5189759214398421E-3</v>
      </c>
      <c r="G83" s="12">
        <f t="shared" si="7"/>
        <v>62.740197425779307</v>
      </c>
    </row>
    <row r="84" spans="1:7">
      <c r="A84" s="34">
        <v>39.5</v>
      </c>
      <c r="B84" s="34">
        <v>625.69000000000005</v>
      </c>
      <c r="C84" s="35">
        <f t="shared" si="4"/>
        <v>0.62569000000000008</v>
      </c>
      <c r="D84" s="12">
        <f t="shared" si="5"/>
        <v>4.3923438000000002E-2</v>
      </c>
      <c r="E84" s="12">
        <f t="shared" si="6"/>
        <v>1.9608677678571431E-3</v>
      </c>
      <c r="F84" s="12">
        <f>E84/Calculation!K$19*1000</f>
        <v>2.2796407826169325E-3</v>
      </c>
      <c r="G84" s="12">
        <f t="shared" si="7"/>
        <v>62.812176676340158</v>
      </c>
    </row>
    <row r="85" spans="1:7">
      <c r="A85" s="34">
        <v>40</v>
      </c>
      <c r="B85" s="34">
        <v>574.03</v>
      </c>
      <c r="C85" s="35">
        <f t="shared" si="4"/>
        <v>0.57402999999999993</v>
      </c>
      <c r="D85" s="12">
        <f t="shared" si="5"/>
        <v>4.0296905999999993E-2</v>
      </c>
      <c r="E85" s="12">
        <f t="shared" si="6"/>
        <v>1.7989690178571427E-3</v>
      </c>
      <c r="F85" s="12">
        <f>E85/Calculation!K$19*1000</f>
        <v>2.0914225869769331E-3</v>
      </c>
      <c r="G85" s="12">
        <f t="shared" si="7"/>
        <v>62.877742626884064</v>
      </c>
    </row>
    <row r="86" spans="1:7">
      <c r="A86" s="34">
        <v>40.5</v>
      </c>
      <c r="B86" s="34">
        <v>539.41</v>
      </c>
      <c r="C86" s="35">
        <f t="shared" si="4"/>
        <v>0.53940999999999995</v>
      </c>
      <c r="D86" s="12">
        <f t="shared" si="5"/>
        <v>3.7866581999999996E-2</v>
      </c>
      <c r="E86" s="12">
        <f t="shared" si="6"/>
        <v>1.6904724107142857E-3</v>
      </c>
      <c r="F86" s="12">
        <f>E86/Calculation!K$19*1000</f>
        <v>1.9652879773552389E-3</v>
      </c>
      <c r="G86" s="12">
        <f t="shared" si="7"/>
        <v>62.93859328534905</v>
      </c>
    </row>
    <row r="87" spans="1:7">
      <c r="A87" s="34">
        <v>41</v>
      </c>
      <c r="B87" s="34">
        <v>526.12</v>
      </c>
      <c r="C87" s="35">
        <f t="shared" si="4"/>
        <v>0.52612000000000003</v>
      </c>
      <c r="D87" s="12">
        <f t="shared" si="5"/>
        <v>3.6933624000000005E-2</v>
      </c>
      <c r="E87" s="12">
        <f t="shared" si="6"/>
        <v>1.6488225000000003E-3</v>
      </c>
      <c r="F87" s="12">
        <f>E87/Calculation!K$19*1000</f>
        <v>1.9168671523444845E-3</v>
      </c>
      <c r="G87" s="12">
        <f t="shared" si="7"/>
        <v>62.996825612294543</v>
      </c>
    </row>
    <row r="88" spans="1:7">
      <c r="A88" s="34">
        <v>41.5</v>
      </c>
      <c r="B88" s="34">
        <v>488.68</v>
      </c>
      <c r="C88" s="35">
        <f t="shared" si="4"/>
        <v>0.48868</v>
      </c>
      <c r="D88" s="12">
        <f t="shared" si="5"/>
        <v>3.4305336000000006E-2</v>
      </c>
      <c r="E88" s="12">
        <f t="shared" si="6"/>
        <v>1.5314882142857147E-3</v>
      </c>
      <c r="F88" s="12">
        <f>E88/Calculation!K$19*1000</f>
        <v>1.7804581464451127E-3</v>
      </c>
      <c r="G88" s="12">
        <f t="shared" si="7"/>
        <v>63.052285491776388</v>
      </c>
    </row>
    <row r="89" spans="1:7">
      <c r="A89" s="34">
        <v>42</v>
      </c>
      <c r="B89" s="34">
        <v>460.24</v>
      </c>
      <c r="C89" s="35">
        <f t="shared" si="4"/>
        <v>0.46023999999999998</v>
      </c>
      <c r="D89" s="12">
        <f t="shared" si="5"/>
        <v>3.2308848000000001E-2</v>
      </c>
      <c r="E89" s="12">
        <f t="shared" si="6"/>
        <v>1.4423592857142858E-3</v>
      </c>
      <c r="F89" s="12">
        <f>E89/Calculation!K$19*1000</f>
        <v>1.676839766963859E-3</v>
      </c>
      <c r="G89" s="12">
        <f t="shared" si="7"/>
        <v>63.10414496047752</v>
      </c>
    </row>
    <row r="90" spans="1:7">
      <c r="A90" s="34">
        <v>42.5</v>
      </c>
      <c r="B90" s="34">
        <v>445.08</v>
      </c>
      <c r="C90" s="35">
        <f t="shared" si="4"/>
        <v>0.44507999999999998</v>
      </c>
      <c r="D90" s="12">
        <f t="shared" si="5"/>
        <v>3.1244615999999999E-2</v>
      </c>
      <c r="E90" s="12">
        <f t="shared" si="6"/>
        <v>1.3948489285714287E-3</v>
      </c>
      <c r="F90" s="12">
        <f>E90/Calculation!K$19*1000</f>
        <v>1.6216057784640065E-3</v>
      </c>
      <c r="G90" s="12">
        <f t="shared" si="7"/>
        <v>63.153621643658937</v>
      </c>
    </row>
    <row r="91" spans="1:7">
      <c r="A91" s="34">
        <v>43</v>
      </c>
      <c r="B91" s="34">
        <v>417.75</v>
      </c>
      <c r="C91" s="35">
        <f t="shared" si="4"/>
        <v>0.41775000000000001</v>
      </c>
      <c r="D91" s="12">
        <f t="shared" si="5"/>
        <v>2.9326049999999999E-2</v>
      </c>
      <c r="E91" s="12">
        <f t="shared" si="6"/>
        <v>1.3091986607142857E-3</v>
      </c>
      <c r="F91" s="12">
        <f>E91/Calculation!K$19*1000</f>
        <v>1.5220315762409873E-3</v>
      </c>
      <c r="G91" s="12">
        <f t="shared" si="7"/>
        <v>63.200776203979515</v>
      </c>
    </row>
    <row r="92" spans="1:7">
      <c r="A92" s="34">
        <v>43.5</v>
      </c>
      <c r="B92" s="34">
        <v>392.67</v>
      </c>
      <c r="C92" s="35">
        <f t="shared" si="4"/>
        <v>0.39267000000000002</v>
      </c>
      <c r="D92" s="12">
        <f t="shared" si="5"/>
        <v>2.7565434000000003E-2</v>
      </c>
      <c r="E92" s="12">
        <f t="shared" si="6"/>
        <v>1.2305997321428574E-3</v>
      </c>
      <c r="F92" s="12">
        <f>E92/Calculation!K$19*1000</f>
        <v>1.4306550306224981E-3</v>
      </c>
      <c r="G92" s="12">
        <f t="shared" si="7"/>
        <v>63.245066503082469</v>
      </c>
    </row>
    <row r="93" spans="1:7">
      <c r="A93" s="34">
        <v>44</v>
      </c>
      <c r="B93" s="34">
        <v>396.41</v>
      </c>
      <c r="C93" s="35">
        <f t="shared" si="4"/>
        <v>0.39641000000000004</v>
      </c>
      <c r="D93" s="12">
        <f t="shared" si="5"/>
        <v>2.7827982000000005E-2</v>
      </c>
      <c r="E93" s="12">
        <f t="shared" si="6"/>
        <v>1.2423206250000002E-3</v>
      </c>
      <c r="F93" s="12">
        <f>E93/Calculation!K$19*1000</f>
        <v>1.4442813576006938E-3</v>
      </c>
      <c r="G93" s="12">
        <f t="shared" si="7"/>
        <v>63.288190548905817</v>
      </c>
    </row>
    <row r="94" spans="1:7">
      <c r="A94" s="34">
        <v>44.5</v>
      </c>
      <c r="B94" s="34">
        <v>370.58</v>
      </c>
      <c r="C94" s="35">
        <f t="shared" si="4"/>
        <v>0.37057999999999996</v>
      </c>
      <c r="D94" s="12">
        <f t="shared" si="5"/>
        <v>2.6014716E-2</v>
      </c>
      <c r="E94" s="12">
        <f t="shared" si="6"/>
        <v>1.1613712500000001E-3</v>
      </c>
      <c r="F94" s="12">
        <f>E94/Calculation!K$19*1000</f>
        <v>1.3501722597806945E-3</v>
      </c>
      <c r="G94" s="12">
        <f t="shared" si="7"/>
        <v>63.330107353166539</v>
      </c>
    </row>
    <row r="95" spans="1:7">
      <c r="A95" s="34">
        <v>45</v>
      </c>
      <c r="B95" s="34">
        <v>389.49</v>
      </c>
      <c r="C95" s="35">
        <f t="shared" si="4"/>
        <v>0.38949</v>
      </c>
      <c r="D95" s="12">
        <f t="shared" si="5"/>
        <v>2.7342198000000002E-2</v>
      </c>
      <c r="E95" s="12">
        <f t="shared" si="6"/>
        <v>1.2206338392857143E-3</v>
      </c>
      <c r="F95" s="12">
        <f>E95/Calculation!K$19*1000</f>
        <v>1.4190690092880961E-3</v>
      </c>
      <c r="G95" s="12">
        <f t="shared" si="7"/>
        <v>63.371645972202572</v>
      </c>
    </row>
    <row r="96" spans="1:7">
      <c r="A96" s="34">
        <v>45.5</v>
      </c>
      <c r="B96" s="34">
        <v>394.35</v>
      </c>
      <c r="C96" s="35">
        <f t="shared" si="4"/>
        <v>0.39435000000000003</v>
      </c>
      <c r="D96" s="12">
        <f t="shared" si="5"/>
        <v>2.7683370000000002E-2</v>
      </c>
      <c r="E96" s="12">
        <f t="shared" si="6"/>
        <v>1.2358647321428573E-3</v>
      </c>
      <c r="F96" s="12">
        <f>E96/Calculation!K$19*1000</f>
        <v>1.4367759475538801E-3</v>
      </c>
      <c r="G96" s="12">
        <f t="shared" si="7"/>
        <v>63.414483646555205</v>
      </c>
    </row>
    <row r="97" spans="1:7">
      <c r="A97" s="34">
        <v>46</v>
      </c>
      <c r="B97" s="34">
        <v>400.9</v>
      </c>
      <c r="C97" s="35">
        <f t="shared" si="4"/>
        <v>0.40089999999999998</v>
      </c>
      <c r="D97" s="12">
        <f t="shared" si="5"/>
        <v>2.814318E-2</v>
      </c>
      <c r="E97" s="12">
        <f t="shared" si="6"/>
        <v>1.2563919642857144E-3</v>
      </c>
      <c r="F97" s="12">
        <f>E97/Calculation!K$19*1000</f>
        <v>1.4606402367803994E-3</v>
      </c>
      <c r="G97" s="12">
        <f t="shared" si="7"/>
        <v>63.457944889320217</v>
      </c>
    </row>
    <row r="98" spans="1:7">
      <c r="A98" s="34">
        <v>46.5</v>
      </c>
      <c r="B98" s="34">
        <v>414.75</v>
      </c>
      <c r="C98" s="35">
        <f t="shared" si="4"/>
        <v>0.41475000000000001</v>
      </c>
      <c r="D98" s="12">
        <f t="shared" si="5"/>
        <v>2.9115450000000005E-2</v>
      </c>
      <c r="E98" s="12">
        <f t="shared" si="6"/>
        <v>1.2997968750000004E-3</v>
      </c>
      <c r="F98" s="12">
        <f>E98/Calculation!K$19*1000</f>
        <v>1.5111013674349483E-3</v>
      </c>
      <c r="G98" s="12">
        <f t="shared" si="7"/>
        <v>63.502521013383451</v>
      </c>
    </row>
    <row r="99" spans="1:7">
      <c r="A99" s="34">
        <v>47</v>
      </c>
      <c r="B99" s="34">
        <v>419.81</v>
      </c>
      <c r="C99" s="35">
        <f t="shared" si="4"/>
        <v>0.41981000000000002</v>
      </c>
      <c r="D99" s="12">
        <f t="shared" si="5"/>
        <v>2.9470662000000002E-2</v>
      </c>
      <c r="E99" s="12">
        <f t="shared" si="6"/>
        <v>1.3156545535714288E-3</v>
      </c>
      <c r="F99" s="12">
        <f>E99/Calculation!K$19*1000</f>
        <v>1.5295369862878014E-3</v>
      </c>
      <c r="G99" s="12">
        <f t="shared" si="7"/>
        <v>63.54813058868929</v>
      </c>
    </row>
    <row r="100" spans="1:7">
      <c r="A100" s="34">
        <v>47.5</v>
      </c>
      <c r="B100" s="34">
        <v>449.75</v>
      </c>
      <c r="C100" s="35">
        <f t="shared" si="4"/>
        <v>0.44974999999999998</v>
      </c>
      <c r="D100" s="12">
        <f t="shared" si="5"/>
        <v>3.1572450000000002E-2</v>
      </c>
      <c r="E100" s="12">
        <f t="shared" si="6"/>
        <v>1.4094843750000001E-3</v>
      </c>
      <c r="F100" s="12">
        <f>E100/Calculation!K$19*1000</f>
        <v>1.6386204701720746E-3</v>
      </c>
      <c r="G100" s="12">
        <f t="shared" si="7"/>
        <v>63.595652950536191</v>
      </c>
    </row>
    <row r="101" spans="1:7">
      <c r="A101" s="34">
        <v>48</v>
      </c>
      <c r="B101" s="34">
        <v>494.3</v>
      </c>
      <c r="C101" s="35">
        <f t="shared" si="4"/>
        <v>0.49430000000000002</v>
      </c>
      <c r="D101" s="12">
        <f t="shared" si="5"/>
        <v>3.4699860000000006E-2</v>
      </c>
      <c r="E101" s="12">
        <f t="shared" si="6"/>
        <v>1.5491008928571431E-3</v>
      </c>
      <c r="F101" s="12">
        <f>E101/Calculation!K$20*1000</f>
        <v>1.944166254361689E-3</v>
      </c>
      <c r="G101" s="12">
        <f t="shared" si="7"/>
        <v>63.649394751404195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E19" sqref="E19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30" t="s">
        <v>41</v>
      </c>
      <c r="B1" s="130"/>
      <c r="D1" s="154" t="s">
        <v>4</v>
      </c>
      <c r="E1" s="154" t="s">
        <v>5</v>
      </c>
      <c r="F1" s="130" t="s">
        <v>139</v>
      </c>
      <c r="G1" s="130"/>
      <c r="H1" s="130"/>
      <c r="I1" s="130"/>
      <c r="J1" s="130" t="s">
        <v>42</v>
      </c>
      <c r="K1" s="130"/>
      <c r="L1" s="130"/>
      <c r="M1" s="130"/>
      <c r="N1" s="155" t="s">
        <v>43</v>
      </c>
      <c r="O1" s="128"/>
      <c r="P1" s="128"/>
      <c r="Q1" s="156"/>
      <c r="R1" s="130" t="s">
        <v>65</v>
      </c>
      <c r="S1" s="130"/>
      <c r="T1" s="130"/>
      <c r="U1" s="130"/>
    </row>
    <row r="2" spans="1:21">
      <c r="A2" s="130" t="s">
        <v>34</v>
      </c>
      <c r="B2" s="130"/>
      <c r="D2" s="154"/>
      <c r="E2" s="154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30" t="s">
        <v>35</v>
      </c>
      <c r="B3" s="14" t="s">
        <v>38</v>
      </c>
      <c r="D3" s="16">
        <v>0</v>
      </c>
      <c r="E3" s="66">
        <v>-0.16666666666666666</v>
      </c>
      <c r="F3" s="51">
        <v>50.181320307874479</v>
      </c>
      <c r="G3" s="51">
        <v>0.82779354651216475</v>
      </c>
      <c r="H3" s="13">
        <f>F3*Calculation!I3/Calculation!F22</f>
        <v>50.214774521413062</v>
      </c>
      <c r="I3" s="13">
        <f>G3*Calculation!I3/Calculation!F22</f>
        <v>0.82834540887650621</v>
      </c>
      <c r="J3" s="13">
        <v>0.89550029603315562</v>
      </c>
      <c r="K3" s="13">
        <v>1.2818611660515681E-2</v>
      </c>
      <c r="L3" s="13">
        <f>J3*Calculation!I3/Calculation!F22</f>
        <v>0.89609729623051104</v>
      </c>
      <c r="M3" s="13">
        <f>K3*Calculation!I3/Calculation!F22</f>
        <v>1.2827157401622692E-2</v>
      </c>
      <c r="N3" s="13">
        <v>1.5098529003608105</v>
      </c>
      <c r="O3" s="13">
        <v>0.26920578746560253</v>
      </c>
      <c r="P3" s="13">
        <f>N3*Calculation!I3/Calculation!F22</f>
        <v>1.5108594689610513</v>
      </c>
      <c r="Q3" s="13">
        <f>O3*Calculation!I3/Calculation!F22</f>
        <v>0.26938525799057961</v>
      </c>
      <c r="R3" s="13">
        <v>0</v>
      </c>
      <c r="S3" s="13">
        <v>0</v>
      </c>
      <c r="T3" s="13">
        <f>R3*Calculation!I3/Calculation!F22</f>
        <v>0</v>
      </c>
      <c r="U3" s="13">
        <f>S3*Calculation!I3/Calculation!F22</f>
        <v>0</v>
      </c>
    </row>
    <row r="4" spans="1:21">
      <c r="A4" s="130"/>
      <c r="B4" s="14" t="s">
        <v>39</v>
      </c>
      <c r="D4" s="16">
        <v>0</v>
      </c>
      <c r="E4" s="69">
        <v>0.16666666666666666</v>
      </c>
      <c r="F4" s="51">
        <v>46.954558910597989</v>
      </c>
      <c r="G4" s="51">
        <v>1.0683949477888137</v>
      </c>
      <c r="H4" s="13">
        <f>F4*Calculation!I4/Calculation!K3</f>
        <v>47.012289845475053</v>
      </c>
      <c r="I4" s="13">
        <f>G4*Calculation!I4/Calculation!K3</f>
        <v>1.069708546310125</v>
      </c>
      <c r="J4" s="13">
        <v>0.93990526939017172</v>
      </c>
      <c r="K4" s="13">
        <v>2.5637223321031275E-2</v>
      </c>
      <c r="L4" s="13">
        <f>J4*Calculation!I4/Calculation!K3</f>
        <v>0.94106088901809937</v>
      </c>
      <c r="M4" s="13">
        <f>K4*Calculation!I4/Calculation!K3</f>
        <v>2.5668744453468985E-2</v>
      </c>
      <c r="N4" s="13">
        <v>3.4526783236192067</v>
      </c>
      <c r="O4" s="13">
        <v>0.11696534835251433</v>
      </c>
      <c r="P4" s="13">
        <f>N4*Calculation!I4/Calculation!K3</f>
        <v>3.45692341402314</v>
      </c>
      <c r="Q4" s="13">
        <f>O4*Calculation!I4/Calculation!K3</f>
        <v>0.11710915800732269</v>
      </c>
      <c r="R4" s="13">
        <v>1.1007314070533711</v>
      </c>
      <c r="S4" s="13">
        <v>6.637085516628051E-2</v>
      </c>
      <c r="T4" s="13">
        <f>R4*Calculation!I4/Calculation!K3</f>
        <v>1.102084763461185</v>
      </c>
      <c r="U4" s="13">
        <f>S4*Calculation!I4/Calculation!K3</f>
        <v>6.6452458563399736E-2</v>
      </c>
    </row>
    <row r="5" spans="1:21">
      <c r="A5" s="15" t="s">
        <v>37</v>
      </c>
      <c r="B5" s="15">
        <v>180.16</v>
      </c>
      <c r="D5" s="16">
        <v>1</v>
      </c>
      <c r="E5" s="69">
        <v>2</v>
      </c>
      <c r="F5" s="51">
        <v>47.206187092954416</v>
      </c>
      <c r="G5" s="51">
        <v>0.15395680922672314</v>
      </c>
      <c r="H5" s="13">
        <f>F5*Calculation!I5/Calculation!K4</f>
        <v>47.294799351596758</v>
      </c>
      <c r="I5" s="13">
        <f>G5*Calculation!I5/Calculation!K4</f>
        <v>0.15424580652642211</v>
      </c>
      <c r="J5" s="13">
        <v>0.97690941385435182</v>
      </c>
      <c r="K5" s="13">
        <v>1.8868505155285834E-16</v>
      </c>
      <c r="L5" s="13">
        <f>J5*Calculation!I5/Calculation!K4</f>
        <v>0.97874320207114096</v>
      </c>
      <c r="M5" s="13">
        <f>K5*Calculation!I5/Calculation!K4</f>
        <v>1.890392383580164E-16</v>
      </c>
      <c r="N5" s="13">
        <v>3.7302248126561199</v>
      </c>
      <c r="O5" s="13">
        <v>3.3305578684429675E-2</v>
      </c>
      <c r="P5" s="13">
        <f>N5*Calculation!I5/Calculation!K4</f>
        <v>3.7372269381453553</v>
      </c>
      <c r="Q5" s="13">
        <f>O5*Calculation!I5/Calculation!K4</f>
        <v>3.3368097662012132E-2</v>
      </c>
      <c r="R5" s="13">
        <v>0.97038163516547171</v>
      </c>
      <c r="S5" s="13">
        <v>2.5085825296094995E-2</v>
      </c>
      <c r="T5" s="13">
        <f>R5*Calculation!I5/Calculation!K4</f>
        <v>0.97220316987802424</v>
      </c>
      <c r="U5" s="13">
        <f>S5*Calculation!I5/Calculation!K4</f>
        <v>2.5132914709078448E-2</v>
      </c>
    </row>
    <row r="6" spans="1:21">
      <c r="A6" s="15" t="s">
        <v>40</v>
      </c>
      <c r="B6" s="15">
        <v>180.16</v>
      </c>
      <c r="D6" s="16">
        <v>2</v>
      </c>
      <c r="E6" s="69">
        <v>3.3333333333333335</v>
      </c>
      <c r="F6" s="51">
        <v>47.790852575488465</v>
      </c>
      <c r="G6" s="51">
        <v>0.19227917490773663</v>
      </c>
      <c r="H6" s="13">
        <f>F6*Calculation!I6/Calculation!K5</f>
        <v>47.912334433656</v>
      </c>
      <c r="I6" s="13">
        <f>G6*Calculation!I6/Calculation!K5</f>
        <v>0.19276793855592259</v>
      </c>
      <c r="J6" s="13">
        <v>1.0213143872113679</v>
      </c>
      <c r="K6" s="13">
        <v>2.2202486678508014E-2</v>
      </c>
      <c r="L6" s="13">
        <f>J6*Calculation!I6/Calculation!K5</f>
        <v>1.0239105151907903</v>
      </c>
      <c r="M6" s="13">
        <f>K6*Calculation!I6/Calculation!K5</f>
        <v>2.2258924243278067E-2</v>
      </c>
      <c r="N6" s="13">
        <v>4.0743824590618933</v>
      </c>
      <c r="O6" s="13">
        <v>0.10175022359047113</v>
      </c>
      <c r="P6" s="13">
        <f>N6*Calculation!I6/Calculation!K5</f>
        <v>4.0847393270677577</v>
      </c>
      <c r="Q6" s="13">
        <f>O6*Calculation!I6/Calculation!K5</f>
        <v>0.10200886735940595</v>
      </c>
      <c r="R6" s="13">
        <v>0.97038163516547171</v>
      </c>
      <c r="S6" s="13">
        <v>2.5085825296094988E-2</v>
      </c>
      <c r="T6" s="13">
        <f>R6*Calculation!I6/Calculation!K5</f>
        <v>0.97284829474191148</v>
      </c>
      <c r="U6" s="13">
        <f>S6*Calculation!I6/Calculation!K5</f>
        <v>2.5149592157458722E-2</v>
      </c>
    </row>
    <row r="7" spans="1:21">
      <c r="A7" s="31" t="s">
        <v>116</v>
      </c>
      <c r="B7" s="31">
        <v>46.03</v>
      </c>
      <c r="D7" s="16">
        <v>3</v>
      </c>
      <c r="E7" s="69">
        <v>4.666666666666667</v>
      </c>
      <c r="F7" s="51">
        <v>45.522498519834215</v>
      </c>
      <c r="G7" s="51">
        <v>0.26857974114304611</v>
      </c>
      <c r="H7" s="13">
        <f>F7*Calculation!I7/Calculation!K6</f>
        <v>45.762653915703972</v>
      </c>
      <c r="I7" s="13">
        <f>G7*Calculation!I7/Calculation!K6</f>
        <v>0.26999664215142771</v>
      </c>
      <c r="J7" s="13">
        <v>1.0657193605683839</v>
      </c>
      <c r="K7" s="13">
        <v>2.2202486678508014E-2</v>
      </c>
      <c r="L7" s="13">
        <f>J7*Calculation!I7/Calculation!K6</f>
        <v>1.0713415971161395</v>
      </c>
      <c r="M7" s="13">
        <f>K7*Calculation!I7/Calculation!K6</f>
        <v>2.231961660658625E-2</v>
      </c>
      <c r="N7" s="13">
        <v>4.7960033305578689</v>
      </c>
      <c r="O7" s="13">
        <v>8.8118278470094694E-2</v>
      </c>
      <c r="P7" s="13">
        <f>N7*Calculation!I7/Calculation!K6</f>
        <v>4.8213047994115819</v>
      </c>
      <c r="Q7" s="13">
        <f>O7*Calculation!I7/Calculation!K6</f>
        <v>8.8583149264480604E-2</v>
      </c>
      <c r="R7" s="13">
        <v>1.4338474907668912</v>
      </c>
      <c r="S7" s="13">
        <v>4.34499239626331E-2</v>
      </c>
      <c r="T7" s="13">
        <f>R7*Calculation!I7/Calculation!K6</f>
        <v>1.441411799031121</v>
      </c>
      <c r="U7" s="13">
        <f>S7*Calculation!I7/Calculation!K6</f>
        <v>4.3679145425185514E-2</v>
      </c>
    </row>
    <row r="8" spans="1:21">
      <c r="A8" s="15" t="s">
        <v>43</v>
      </c>
      <c r="B8" s="15">
        <v>60.05</v>
      </c>
      <c r="D8" s="16">
        <v>4</v>
      </c>
      <c r="E8" s="69">
        <v>6</v>
      </c>
      <c r="F8" s="51">
        <v>43.098727057430438</v>
      </c>
      <c r="G8" s="51">
        <v>0.35460320775777487</v>
      </c>
      <c r="H8" s="13">
        <f>F8*Calculation!I8/Calculation!K7</f>
        <v>43.539675114827517</v>
      </c>
      <c r="I8" s="13">
        <f>G8*Calculation!I8/Calculation!K7</f>
        <v>0.35823119415744753</v>
      </c>
      <c r="J8" s="13">
        <v>1.0953226761397279</v>
      </c>
      <c r="K8" s="13">
        <v>3.3914858606837128E-2</v>
      </c>
      <c r="L8" s="13">
        <f>J8*Calculation!I8/Calculation!K7</f>
        <v>1.106529049024551</v>
      </c>
      <c r="M8" s="13">
        <f>K8*Calculation!I8/Calculation!K7</f>
        <v>3.42618454447466E-2</v>
      </c>
      <c r="N8" s="13">
        <v>6.3946711074104927</v>
      </c>
      <c r="O8" s="13">
        <v>6.661115736885935E-2</v>
      </c>
      <c r="P8" s="13">
        <f>N8*Calculation!I8/Calculation!K7</f>
        <v>6.4600957265355197</v>
      </c>
      <c r="Q8" s="13">
        <f>O8*Calculation!I8/Calculation!K7</f>
        <v>6.7292663818078385E-2</v>
      </c>
      <c r="R8" s="13">
        <v>2.9545948294590483</v>
      </c>
      <c r="S8" s="13">
        <v>4.34499239626331E-2</v>
      </c>
      <c r="T8" s="13">
        <f>R8*Calculation!I8/Calculation!K7</f>
        <v>2.9848236306185205</v>
      </c>
      <c r="U8" s="13">
        <f>S8*Calculation!I8/Calculation!K7</f>
        <v>4.3894465156154742E-2</v>
      </c>
    </row>
    <row r="9" spans="1:21">
      <c r="A9" s="31" t="s">
        <v>67</v>
      </c>
      <c r="B9" s="31">
        <v>74.08</v>
      </c>
      <c r="D9" s="16">
        <v>5</v>
      </c>
      <c r="E9" s="69">
        <v>7.333333333333333</v>
      </c>
      <c r="F9" s="51">
        <v>35.990230905861452</v>
      </c>
      <c r="G9" s="51">
        <v>0.31769733617349349</v>
      </c>
      <c r="H9" s="13">
        <f>F9*Calculation!I9/Calculation!K8</f>
        <v>36.701455373437256</v>
      </c>
      <c r="I9" s="13">
        <f>G9*Calculation!I9/Calculation!K8</f>
        <v>0.32397554315030525</v>
      </c>
      <c r="J9" s="13">
        <v>1.0435168738898759</v>
      </c>
      <c r="K9" s="13">
        <v>1.8868505155285834E-16</v>
      </c>
      <c r="L9" s="13">
        <f>J9*Calculation!I9/Calculation!K8</f>
        <v>1.0641384346400689</v>
      </c>
      <c r="M9" s="13">
        <f>K9*Calculation!I9/Calculation!K8</f>
        <v>1.9241376965086697E-16</v>
      </c>
      <c r="N9" s="13">
        <v>9.4143769081321125</v>
      </c>
      <c r="O9" s="13">
        <v>8.3817201612774561E-2</v>
      </c>
      <c r="P9" s="13">
        <f>N9*Calculation!I9/Calculation!K8</f>
        <v>9.6004200380458382</v>
      </c>
      <c r="Q9" s="13">
        <f>O9*Calculation!I9/Calculation!K8</f>
        <v>8.5473563439034214E-2</v>
      </c>
      <c r="R9" s="13">
        <v>5.2139908755159681</v>
      </c>
      <c r="S9" s="13">
        <v>0.11495769328979295</v>
      </c>
      <c r="T9" s="13">
        <f>R9*Calculation!I9/Calculation!K8</f>
        <v>5.3170276660851554</v>
      </c>
      <c r="U9" s="13">
        <f>S9*Calculation!I9/Calculation!K8</f>
        <v>0.11722944098759558</v>
      </c>
    </row>
    <row r="10" spans="1:21">
      <c r="A10" s="31" t="s">
        <v>66</v>
      </c>
      <c r="B10" s="31">
        <v>88.11</v>
      </c>
      <c r="D10" s="16">
        <v>6</v>
      </c>
      <c r="E10" s="69">
        <v>8.6666666666666661</v>
      </c>
      <c r="F10" s="51">
        <v>25.325636471284785</v>
      </c>
      <c r="G10" s="51">
        <v>1.0269900152736768</v>
      </c>
      <c r="H10" s="13">
        <f>F10*Calculation!I10/Calculation!K9</f>
        <v>26.114994192154448</v>
      </c>
      <c r="I10" s="13">
        <f>G10*Calculation!I10/Calculation!K9</f>
        <v>1.0589995759704629</v>
      </c>
      <c r="J10" s="13">
        <v>1.0435168738898759</v>
      </c>
      <c r="K10" s="13">
        <v>3.8455834981547039E-2</v>
      </c>
      <c r="L10" s="13">
        <f>J10*Calculation!I10/Calculation!K9</f>
        <v>1.0760415491215014</v>
      </c>
      <c r="M10" s="13">
        <f>K10*Calculation!I10/Calculation!K9</f>
        <v>3.9654439024118367E-2</v>
      </c>
      <c r="N10" s="13">
        <v>15.076325284485154</v>
      </c>
      <c r="O10" s="13">
        <v>0.53115176081734983</v>
      </c>
      <c r="P10" s="13">
        <f>N10*Calculation!I10/Calculation!K9</f>
        <v>15.546229122011379</v>
      </c>
      <c r="Q10" s="13">
        <f>O10*Calculation!I10/Calculation!K9</f>
        <v>0.5477068726239207</v>
      </c>
      <c r="R10" s="13">
        <v>5.4022738793540448</v>
      </c>
      <c r="S10" s="13">
        <v>0.21869315476198872</v>
      </c>
      <c r="T10" s="13">
        <f>R10*Calculation!I10/Calculation!K9</f>
        <v>5.5706537185638378</v>
      </c>
      <c r="U10" s="13">
        <f>S10*Calculation!I10/Calculation!K9</f>
        <v>0.22550945453824317</v>
      </c>
    </row>
    <row r="11" spans="1:21">
      <c r="A11" s="15" t="s">
        <v>42</v>
      </c>
      <c r="B11" s="15">
        <v>90.08</v>
      </c>
      <c r="D11" s="16">
        <v>7</v>
      </c>
      <c r="E11" s="69">
        <v>10</v>
      </c>
      <c r="F11" s="51">
        <v>18.731497927767908</v>
      </c>
      <c r="G11" s="51">
        <v>0.29815330193137513</v>
      </c>
      <c r="H11" s="13">
        <f>F11*Calculation!I11/Calculation!K10</f>
        <v>19.565793106759592</v>
      </c>
      <c r="I11" s="13">
        <f>G11*Calculation!I11/Calculation!K10</f>
        <v>0.31143295865509341</v>
      </c>
      <c r="J11" s="13">
        <v>1.0583185316755477</v>
      </c>
      <c r="K11" s="13">
        <v>1.2818611660515681E-2</v>
      </c>
      <c r="L11" s="13">
        <f>J11*Calculation!I11/Calculation!K10</f>
        <v>1.1054557148426005</v>
      </c>
      <c r="M11" s="13">
        <f>K11*Calculation!I11/Calculation!K10</f>
        <v>1.3389548696676632E-2</v>
      </c>
      <c r="N11" s="13">
        <v>27.42159311684707</v>
      </c>
      <c r="O11" s="13">
        <v>0.34019546924328786</v>
      </c>
      <c r="P11" s="13">
        <f>N11*Calculation!I11/Calculation!K10</f>
        <v>28.642942473202748</v>
      </c>
      <c r="Q11" s="13">
        <f>O11*Calculation!I11/Calculation!K10</f>
        <v>0.35534767121874994</v>
      </c>
      <c r="R11" s="13">
        <v>7.8354696212614954</v>
      </c>
      <c r="S11" s="13">
        <v>0.10934657738099436</v>
      </c>
      <c r="T11" s="13">
        <f>R11*Calculation!I11/Calculation!K10</f>
        <v>8.1844590376638831</v>
      </c>
      <c r="U11" s="13">
        <f>S11*Calculation!I11/Calculation!K10</f>
        <v>0.11421684043737104</v>
      </c>
    </row>
    <row r="12" spans="1:21">
      <c r="A12" s="15" t="s">
        <v>44</v>
      </c>
      <c r="B12" s="15">
        <v>46.07</v>
      </c>
      <c r="D12" s="16">
        <v>8</v>
      </c>
      <c r="E12" s="69">
        <v>11.333333333333334</v>
      </c>
      <c r="F12" s="51">
        <v>12.122557726465365</v>
      </c>
      <c r="G12" s="51">
        <v>8.670348219256982E-2</v>
      </c>
      <c r="H12" s="13">
        <f>F12*Calculation!I12/Calculation!K11</f>
        <v>12.771056584057035</v>
      </c>
      <c r="I12" s="13">
        <f>G12*Calculation!I12/Calculation!K11</f>
        <v>9.1341703797268733E-2</v>
      </c>
      <c r="J12" s="13">
        <v>1.1323268206039077</v>
      </c>
      <c r="K12" s="13">
        <v>2.2202486678507938E-2</v>
      </c>
      <c r="L12" s="13">
        <f>J12*Calculation!I12/Calculation!K11</f>
        <v>1.1929008897196132</v>
      </c>
      <c r="M12" s="13">
        <f>K12*Calculation!I12/Calculation!K11</f>
        <v>2.3390213523913926E-2</v>
      </c>
      <c r="N12" s="13">
        <v>35.970024979184011</v>
      </c>
      <c r="O12" s="13">
        <v>0.28456298901973659</v>
      </c>
      <c r="P12" s="13">
        <f>N12*Calculation!I12/Calculation!K11</f>
        <v>37.894249275152461</v>
      </c>
      <c r="Q12" s="13">
        <f>O12*Calculation!I12/Calculation!K11</f>
        <v>0.29978574790083434</v>
      </c>
      <c r="R12" s="13">
        <v>8.2844521688753723</v>
      </c>
      <c r="S12" s="13">
        <v>2.5085825296094995E-2</v>
      </c>
      <c r="T12" s="13">
        <f>R12*Calculation!I12/Calculation!K11</f>
        <v>8.727630736345473</v>
      </c>
      <c r="U12" s="13">
        <f>S12*Calculation!I12/Calculation!K11</f>
        <v>2.6427796966870882E-2</v>
      </c>
    </row>
    <row r="13" spans="1:21">
      <c r="D13" s="16">
        <v>9</v>
      </c>
      <c r="E13" s="69">
        <v>12.666666666666666</v>
      </c>
      <c r="F13" s="51">
        <v>5.2397868561278864</v>
      </c>
      <c r="G13" s="51">
        <v>4.7098586668731006E-2</v>
      </c>
      <c r="H13" s="13">
        <f>F13*Calculation!I13/Calculation!K12</f>
        <v>5.5686283567181061</v>
      </c>
      <c r="I13" s="13">
        <f>G13*Calculation!I13/Calculation!K12</f>
        <v>5.0054426350971314E-2</v>
      </c>
      <c r="J13" s="13">
        <v>2.0278271166370634</v>
      </c>
      <c r="K13" s="13">
        <v>2.5637223321031362E-2</v>
      </c>
      <c r="L13" s="13">
        <f>J13*Calculation!I13/Calculation!K12</f>
        <v>2.1550906352270638</v>
      </c>
      <c r="M13" s="13">
        <f>K13*Calculation!I13/Calculation!K12</f>
        <v>2.7246178650577837E-2</v>
      </c>
      <c r="N13" s="13">
        <v>47.749097973910636</v>
      </c>
      <c r="O13" s="13">
        <v>0.33361041801424873</v>
      </c>
      <c r="P13" s="13">
        <f>N13*Calculation!I13/Calculation!K12</f>
        <v>50.745762811757416</v>
      </c>
      <c r="Q13" s="13">
        <f>O13*Calculation!I13/Calculation!K12</f>
        <v>0.35454732890100299</v>
      </c>
      <c r="R13" s="13">
        <v>6.6478383662828584</v>
      </c>
      <c r="S13" s="13">
        <v>4.34499239626331E-2</v>
      </c>
      <c r="T13" s="13">
        <f>R13*Calculation!I13/Calculation!K12</f>
        <v>7.0650471581811551</v>
      </c>
      <c r="U13" s="13">
        <f>S13*Calculation!I13/Calculation!K12</f>
        <v>4.6176778811641575E-2</v>
      </c>
    </row>
    <row r="14" spans="1:21">
      <c r="D14" s="16">
        <v>10</v>
      </c>
      <c r="E14" s="69">
        <v>14</v>
      </c>
      <c r="F14" s="51">
        <v>0</v>
      </c>
      <c r="G14" s="51">
        <v>0</v>
      </c>
      <c r="H14" s="13">
        <f>F14*Calculation!I14/Calculation!K13</f>
        <v>0</v>
      </c>
      <c r="I14" s="13">
        <f>G14*Calculation!I14/Calculation!K13</f>
        <v>0</v>
      </c>
      <c r="J14" s="13">
        <v>3.7004144464179989</v>
      </c>
      <c r="K14" s="13">
        <v>4.6218161622249884E-2</v>
      </c>
      <c r="L14" s="13">
        <f>J14*Calculation!I14/Calculation!K13</f>
        <v>3.9552485649460536</v>
      </c>
      <c r="M14" s="13">
        <f>K14*Calculation!I14/Calculation!K13</f>
        <v>4.9401038742512525E-2</v>
      </c>
      <c r="N14" s="13">
        <v>55.764640577296696</v>
      </c>
      <c r="O14" s="13">
        <v>0.90682555011544408</v>
      </c>
      <c r="P14" s="13">
        <f>N14*Calculation!I14/Calculation!K13</f>
        <v>59.604949070391349</v>
      </c>
      <c r="Q14" s="13">
        <f>O14*Calculation!I14/Calculation!K13</f>
        <v>0.96927533596202198</v>
      </c>
      <c r="R14" s="13">
        <v>3.519443840973278</v>
      </c>
      <c r="S14" s="13">
        <v>0.13034977188789931</v>
      </c>
      <c r="T14" s="13">
        <f>R14*Calculation!I14/Calculation!K13</f>
        <v>3.761815170431142</v>
      </c>
      <c r="U14" s="13">
        <f>S14*Calculation!I14/Calculation!K13</f>
        <v>0.13932648779374612</v>
      </c>
    </row>
    <row r="15" spans="1:21">
      <c r="D15" s="16">
        <v>11</v>
      </c>
      <c r="E15" s="69">
        <v>15.333333333333334</v>
      </c>
      <c r="F15" s="51">
        <v>0</v>
      </c>
      <c r="G15" s="51">
        <v>0</v>
      </c>
      <c r="H15" s="13">
        <f>F15*Calculation!I15/Calculation!K14</f>
        <v>0</v>
      </c>
      <c r="I15" s="13">
        <f>G15*Calculation!I15/Calculation!K14</f>
        <v>0</v>
      </c>
      <c r="J15" s="13">
        <v>3.6930136175251631</v>
      </c>
      <c r="K15" s="13">
        <v>1.2818611660515681E-2</v>
      </c>
      <c r="L15" s="13">
        <f>J15*Calculation!I15/Calculation!K14</f>
        <v>3.9473380678161609</v>
      </c>
      <c r="M15" s="13">
        <f>K15*Calculation!I15/Calculation!K14</f>
        <v>1.370138294210092E-2</v>
      </c>
      <c r="N15" s="13">
        <v>57.263391618096037</v>
      </c>
      <c r="O15" s="13">
        <v>0.50984013336464373</v>
      </c>
      <c r="P15" s="13">
        <f>N15*Calculation!I15/Calculation!K14</f>
        <v>61.20691365818805</v>
      </c>
      <c r="Q15" s="13">
        <f>O15*Calculation!I15/Calculation!K14</f>
        <v>0.54495097374685331</v>
      </c>
      <c r="R15" s="13">
        <v>1.3903975668042581</v>
      </c>
      <c r="S15" s="13">
        <v>4.34499239626331E-2</v>
      </c>
      <c r="T15" s="13">
        <f>R15*Calculation!I15/Calculation!K14</f>
        <v>1.4861492031332906</v>
      </c>
      <c r="U15" s="13">
        <f>S15*Calculation!I15/Calculation!K14</f>
        <v>4.6442162597915365E-2</v>
      </c>
    </row>
    <row r="16" spans="1:21">
      <c r="D16" s="16">
        <v>12</v>
      </c>
      <c r="E16" s="69">
        <v>16.666666666666668</v>
      </c>
      <c r="F16" s="51">
        <v>0</v>
      </c>
      <c r="G16" s="51">
        <v>0</v>
      </c>
      <c r="H16" s="13">
        <f>F16*Calculation!I16/Calculation!K15</f>
        <v>0</v>
      </c>
      <c r="I16" s="13">
        <f>G16*Calculation!I16/Calculation!K15</f>
        <v>0</v>
      </c>
      <c r="J16" s="13">
        <v>3.7670219064535226</v>
      </c>
      <c r="K16" s="13">
        <v>3.3914858606837212E-2</v>
      </c>
      <c r="L16" s="13">
        <f>J16*Calculation!I16/Calculation!K15</f>
        <v>4.029996828205209</v>
      </c>
      <c r="M16" s="13">
        <f>K16*Calculation!I16/Calculation!K15</f>
        <v>3.6282446985623447E-2</v>
      </c>
      <c r="N16" s="13">
        <v>58.495698029419927</v>
      </c>
      <c r="O16" s="13">
        <v>0.78838837757783897</v>
      </c>
      <c r="P16" s="13">
        <f>N16*Calculation!I16/Calculation!K15</f>
        <v>62.579269082124334</v>
      </c>
      <c r="Q16" s="13">
        <f>O16*Calculation!I16/Calculation!K15</f>
        <v>0.84342558655936561</v>
      </c>
      <c r="R16" s="13">
        <v>0.28966615975088711</v>
      </c>
      <c r="S16" s="13">
        <v>2.5085825296094974E-2</v>
      </c>
      <c r="T16" s="13">
        <f>R16*Calculation!I16/Calculation!K15</f>
        <v>0.30988768688458951</v>
      </c>
      <c r="U16" s="13">
        <f>S16*Calculation!I16/Calculation!K15</f>
        <v>2.6837060916205233E-2</v>
      </c>
    </row>
    <row r="17" spans="4:21">
      <c r="D17" s="16">
        <v>13</v>
      </c>
      <c r="E17" s="69">
        <v>18</v>
      </c>
      <c r="F17" s="51">
        <v>0</v>
      </c>
      <c r="G17" s="51">
        <v>0</v>
      </c>
      <c r="H17" s="13">
        <f>F17*Calculation!I17/Calculation!K16</f>
        <v>0</v>
      </c>
      <c r="I17" s="13">
        <f>G17*Calculation!I17/Calculation!K16</f>
        <v>0</v>
      </c>
      <c r="J17" s="13">
        <v>3.7818235642391951</v>
      </c>
      <c r="K17" s="13">
        <v>5.5875032824679642E-2</v>
      </c>
      <c r="L17" s="13">
        <f>J17*Calculation!I17/Calculation!K16</f>
        <v>4.0458317862728137</v>
      </c>
      <c r="M17" s="13">
        <f>K17*Calculation!I17/Calculation!K16</f>
        <v>5.9775655849932101E-2</v>
      </c>
      <c r="N17" s="13">
        <v>58.351373855120734</v>
      </c>
      <c r="O17" s="13">
        <v>0.1526253353857043</v>
      </c>
      <c r="P17" s="13">
        <f>N17*Calculation!I17/Calculation!K16</f>
        <v>62.424869670838021</v>
      </c>
      <c r="Q17" s="13">
        <f>O17*Calculation!I17/Calculation!K16</f>
        <v>0.16328007449450002</v>
      </c>
      <c r="R17" s="13">
        <v>0</v>
      </c>
      <c r="S17" s="13">
        <v>0</v>
      </c>
      <c r="T17" s="13">
        <f>R17*Calculation!I17/Calculation!K16</f>
        <v>0</v>
      </c>
      <c r="U17" s="13">
        <f>S17*Calculation!I17/Calculation!K16</f>
        <v>0</v>
      </c>
    </row>
    <row r="18" spans="4:21">
      <c r="D18" s="16">
        <v>14</v>
      </c>
      <c r="E18" s="69">
        <v>24</v>
      </c>
      <c r="F18" s="51">
        <v>0</v>
      </c>
      <c r="G18" s="51">
        <v>0</v>
      </c>
      <c r="H18" s="13">
        <f>F18*Calculation!I18/Calculation!K17</f>
        <v>0</v>
      </c>
      <c r="I18" s="13">
        <f>G18*Calculation!I18/Calculation!K17</f>
        <v>0</v>
      </c>
      <c r="J18" s="13">
        <v>3.9742451154529301</v>
      </c>
      <c r="K18" s="13">
        <v>3.8455834981547046E-2</v>
      </c>
      <c r="L18" s="13">
        <f>J18*Calculation!I18/Calculation!K17</f>
        <v>4.2599419425907934</v>
      </c>
      <c r="M18" s="13">
        <f>K18*Calculation!I18/Calculation!K17</f>
        <v>4.1220312189167177E-2</v>
      </c>
      <c r="N18" s="13">
        <v>58.384679433805168</v>
      </c>
      <c r="O18" s="13">
        <v>0.48379147531503447</v>
      </c>
      <c r="P18" s="13">
        <f>N18*Calculation!I18/Calculation!K17</f>
        <v>62.581782829074342</v>
      </c>
      <c r="Q18" s="13">
        <f>O18*Calculation!I18/Calculation!K17</f>
        <v>0.51856982578879462</v>
      </c>
      <c r="R18" s="13">
        <v>0</v>
      </c>
      <c r="S18" s="13">
        <v>0</v>
      </c>
      <c r="T18" s="13">
        <f>R18*Calculation!I18/Calculation!K17</f>
        <v>0</v>
      </c>
      <c r="U18" s="13">
        <f>S18*Calculation!I18/Calculation!K17</f>
        <v>0</v>
      </c>
    </row>
    <row r="19" spans="4:21">
      <c r="D19" s="16">
        <v>15</v>
      </c>
      <c r="E19" s="69">
        <v>30.25</v>
      </c>
      <c r="F19" s="51">
        <v>0</v>
      </c>
      <c r="G19" s="51">
        <v>0</v>
      </c>
      <c r="H19" s="13">
        <f>F19*Calculation!I19/Calculation!K18</f>
        <v>0</v>
      </c>
      <c r="I19" s="13">
        <f>G19*Calculation!I19/Calculation!K18</f>
        <v>0</v>
      </c>
      <c r="J19" s="13">
        <v>4.6255180580224984</v>
      </c>
      <c r="K19" s="13">
        <v>4.6218161622249884E-2</v>
      </c>
      <c r="L19" s="13">
        <f>J19*Calculation!I19/Calculation!K18</f>
        <v>4.9580329871866793</v>
      </c>
      <c r="M19" s="13">
        <f>K19*Calculation!I19/Calculation!K18</f>
        <v>4.9540649729558517E-2</v>
      </c>
      <c r="N19" s="13">
        <v>60.571745767416054</v>
      </c>
      <c r="O19" s="13">
        <v>0.5384115749312085</v>
      </c>
      <c r="P19" s="13">
        <f>N19*Calculation!I19/Calculation!K18</f>
        <v>64.926070947980534</v>
      </c>
      <c r="Q19" s="13">
        <f>O19*Calculation!I19/Calculation!K18</f>
        <v>0.57711640419653076</v>
      </c>
      <c r="R19" s="13">
        <v>0</v>
      </c>
      <c r="S19" s="13">
        <v>0</v>
      </c>
      <c r="T19" s="13">
        <f>R19*Calculation!I19/Calculation!K18</f>
        <v>0</v>
      </c>
      <c r="U19" s="13">
        <f>S19*Calculation!I19/Calculation!K18</f>
        <v>0</v>
      </c>
    </row>
    <row r="20" spans="4:21">
      <c r="D20" s="16">
        <v>16</v>
      </c>
      <c r="E20" s="69">
        <v>48</v>
      </c>
      <c r="F20" s="51">
        <v>0</v>
      </c>
      <c r="G20" s="51">
        <v>0</v>
      </c>
      <c r="H20" s="13">
        <f>F20*Calculation!I20/Calculation!K19</f>
        <v>0</v>
      </c>
      <c r="I20" s="13">
        <f>G20*Calculation!I20/Calculation!K19</f>
        <v>0</v>
      </c>
      <c r="J20" s="13">
        <v>5.0251628182356436</v>
      </c>
      <c r="K20" s="13">
        <v>0.12228176170706276</v>
      </c>
      <c r="L20" s="13">
        <f>J20*Calculation!I20/Calculation!K19</f>
        <v>5.392249127341735</v>
      </c>
      <c r="M20" s="13">
        <f>K20*Calculation!I20/Calculation!K19</f>
        <v>0.13121439975276822</v>
      </c>
      <c r="N20" s="13">
        <v>61.50430197058008</v>
      </c>
      <c r="O20" s="13">
        <v>1.8947137512686423</v>
      </c>
      <c r="P20" s="13">
        <f>N20*Calculation!I20/Calculation!K19</f>
        <v>65.997168773342452</v>
      </c>
      <c r="Q20" s="13">
        <f>O20*Calculation!I20/Calculation!K19</f>
        <v>2.0331218990090103</v>
      </c>
      <c r="R20" s="13">
        <v>0</v>
      </c>
      <c r="S20" s="13">
        <v>0</v>
      </c>
      <c r="T20" s="13">
        <f>R20*Calculation!I20/Calculation!K19</f>
        <v>0</v>
      </c>
      <c r="U20" s="13">
        <f>S20*Calculation!I20/Calculation!K19</f>
        <v>0</v>
      </c>
    </row>
    <row r="22" spans="4:21">
      <c r="D22" s="154" t="s">
        <v>4</v>
      </c>
      <c r="E22" s="154" t="s">
        <v>60</v>
      </c>
      <c r="F22" s="130" t="s">
        <v>44</v>
      </c>
      <c r="G22" s="130"/>
      <c r="H22" s="130"/>
      <c r="I22" s="130"/>
      <c r="J22" s="130" t="s">
        <v>66</v>
      </c>
      <c r="K22" s="130"/>
      <c r="L22" s="130"/>
      <c r="M22" s="130"/>
      <c r="N22" s="155" t="s">
        <v>67</v>
      </c>
      <c r="O22" s="128"/>
      <c r="P22" s="128"/>
      <c r="Q22" s="156"/>
    </row>
    <row r="23" spans="4:21">
      <c r="D23" s="154"/>
      <c r="E23" s="154"/>
      <c r="F23" s="20" t="s">
        <v>48</v>
      </c>
      <c r="G23" s="20" t="s">
        <v>23</v>
      </c>
      <c r="H23" s="20" t="s">
        <v>48</v>
      </c>
      <c r="I23" s="20" t="s">
        <v>23</v>
      </c>
      <c r="J23" s="20" t="s">
        <v>48</v>
      </c>
      <c r="K23" s="20" t="s">
        <v>23</v>
      </c>
      <c r="L23" s="20" t="s">
        <v>48</v>
      </c>
      <c r="M23" s="20" t="s">
        <v>23</v>
      </c>
      <c r="N23" s="20" t="s">
        <v>48</v>
      </c>
      <c r="O23" s="20" t="s">
        <v>23</v>
      </c>
      <c r="P23" s="20" t="s">
        <v>48</v>
      </c>
      <c r="Q23" s="20" t="s">
        <v>23</v>
      </c>
    </row>
    <row r="24" spans="4:21">
      <c r="D24" s="16">
        <v>0</v>
      </c>
      <c r="E24" s="66">
        <v>-0.16666666666666666</v>
      </c>
      <c r="F24" s="13">
        <v>0</v>
      </c>
      <c r="G24" s="13">
        <v>0</v>
      </c>
      <c r="H24" s="13">
        <f>F24*Calculation!I3/Calculation!F22</f>
        <v>0</v>
      </c>
      <c r="I24" s="13">
        <f>G24*Calculation!I3/Calculation!F22</f>
        <v>0</v>
      </c>
      <c r="J24" s="13">
        <v>0</v>
      </c>
      <c r="K24" s="13">
        <v>0</v>
      </c>
      <c r="L24" s="13">
        <f>J24*Calculation!I3/Calculation!F22</f>
        <v>0</v>
      </c>
      <c r="M24" s="13">
        <f>K24*Calculation!I3/Calculation!F22</f>
        <v>0</v>
      </c>
      <c r="N24" s="13">
        <v>0</v>
      </c>
      <c r="O24" s="13">
        <v>0</v>
      </c>
      <c r="P24" s="13">
        <f>N24*Calculation!I3/Calculation!F22</f>
        <v>0</v>
      </c>
      <c r="Q24" s="13">
        <f>O24*Calculation!I3/Calculation!F22</f>
        <v>0</v>
      </c>
    </row>
    <row r="25" spans="4:21">
      <c r="D25" s="16">
        <v>0</v>
      </c>
      <c r="E25" s="69">
        <v>0.16666666666666666</v>
      </c>
      <c r="F25" s="13">
        <v>0</v>
      </c>
      <c r="G25" s="13">
        <v>0</v>
      </c>
      <c r="H25" s="13">
        <f>F25*Calculation!I4/Calculation!K3</f>
        <v>0</v>
      </c>
      <c r="I25" s="13">
        <f>G25*Calculation!I4/Calculation!K3</f>
        <v>0</v>
      </c>
      <c r="J25" s="13">
        <v>0.41614648356221379</v>
      </c>
      <c r="K25" s="13">
        <v>1.3105215507652396E-2</v>
      </c>
      <c r="L25" s="13">
        <f>J25*Calculation!I4/Calculation!K3</f>
        <v>0.41665813836420207</v>
      </c>
      <c r="M25" s="13">
        <f>K25*Calculation!I4/Calculation!K3</f>
        <v>1.3121328455161127E-2</v>
      </c>
      <c r="N25" s="13">
        <v>0</v>
      </c>
      <c r="O25" s="13">
        <v>0</v>
      </c>
      <c r="P25" s="13">
        <f>N25*Calculation!I4/Calculation!K3</f>
        <v>0</v>
      </c>
      <c r="Q25" s="13">
        <f>O25*Calculation!I4/Calculation!K3</f>
        <v>0</v>
      </c>
    </row>
    <row r="26" spans="4:21">
      <c r="D26" s="16">
        <v>1</v>
      </c>
      <c r="E26" s="69">
        <v>2</v>
      </c>
      <c r="F26" s="13">
        <v>0</v>
      </c>
      <c r="G26" s="13">
        <v>0</v>
      </c>
      <c r="H26" s="13">
        <f>F26*Calculation!I5/Calculation!K4</f>
        <v>0</v>
      </c>
      <c r="I26" s="13">
        <f>G26*Calculation!I5/Calculation!K4</f>
        <v>0</v>
      </c>
      <c r="J26" s="13">
        <v>0.51450837967691898</v>
      </c>
      <c r="K26" s="13">
        <v>3.4673141111155284E-2</v>
      </c>
      <c r="L26" s="13">
        <f>J26*Calculation!I5/Calculation!K4</f>
        <v>0.51547417997601563</v>
      </c>
      <c r="M26" s="13">
        <f>K26*Calculation!I5/Calculation!K4</f>
        <v>3.4738227184343828E-2</v>
      </c>
      <c r="N26" s="13">
        <v>0</v>
      </c>
      <c r="O26" s="13">
        <v>0</v>
      </c>
      <c r="P26" s="13">
        <f>N26*Calculation!I5/Calculation!K4</f>
        <v>0</v>
      </c>
      <c r="Q26" s="13">
        <f>O26*Calculation!I5/Calculation!K4</f>
        <v>0</v>
      </c>
    </row>
    <row r="27" spans="4:21">
      <c r="D27" s="16">
        <v>2</v>
      </c>
      <c r="E27" s="69">
        <v>3.3333333333333335</v>
      </c>
      <c r="F27" s="13">
        <v>0</v>
      </c>
      <c r="G27" s="13">
        <v>0</v>
      </c>
      <c r="H27" s="13">
        <f>F27*Calculation!I6/Calculation!K5</f>
        <v>0</v>
      </c>
      <c r="I27" s="13">
        <f>G27*Calculation!I6/Calculation!K5</f>
        <v>0</v>
      </c>
      <c r="J27" s="13">
        <v>0.70366587220519805</v>
      </c>
      <c r="K27" s="13">
        <v>2.2698899103393507E-2</v>
      </c>
      <c r="L27" s="13">
        <f>J27*Calculation!I6/Calculation!K5</f>
        <v>0.70545455420348513</v>
      </c>
      <c r="M27" s="13">
        <f>K27*Calculation!I6/Calculation!K5</f>
        <v>2.275659852269309E-2</v>
      </c>
      <c r="N27" s="13">
        <v>0</v>
      </c>
      <c r="O27" s="13">
        <v>0</v>
      </c>
      <c r="P27" s="13">
        <f>N27*Calculation!I6/Calculation!K5</f>
        <v>0</v>
      </c>
      <c r="Q27" s="13">
        <f>O27*Calculation!I6/Calculation!K5</f>
        <v>0</v>
      </c>
    </row>
    <row r="28" spans="4:21">
      <c r="D28" s="16">
        <v>3</v>
      </c>
      <c r="E28" s="69">
        <v>4.666666666666667</v>
      </c>
      <c r="F28" s="13">
        <v>0</v>
      </c>
      <c r="G28" s="13">
        <v>0</v>
      </c>
      <c r="H28" s="13">
        <f>F28*Calculation!I7/Calculation!K6</f>
        <v>0</v>
      </c>
      <c r="I28" s="13">
        <f>G28*Calculation!I7/Calculation!K6</f>
        <v>0</v>
      </c>
      <c r="J28" s="13">
        <v>1.8461771270760035</v>
      </c>
      <c r="K28" s="13">
        <v>1.3105215507652396E-2</v>
      </c>
      <c r="L28" s="13">
        <f>J28*Calculation!I7/Calculation!K6</f>
        <v>1.8559166935149027</v>
      </c>
      <c r="M28" s="13">
        <f>K28*Calculation!I7/Calculation!K6</f>
        <v>1.3174352490914143E-2</v>
      </c>
      <c r="N28" s="13">
        <v>0</v>
      </c>
      <c r="O28" s="13">
        <v>0</v>
      </c>
      <c r="P28" s="13">
        <f>N28*Calculation!I7/Calculation!K6</f>
        <v>0</v>
      </c>
      <c r="Q28" s="13">
        <f>O28*Calculation!I7/Calculation!K6</f>
        <v>0</v>
      </c>
    </row>
    <row r="29" spans="4:21">
      <c r="D29" s="16">
        <v>4</v>
      </c>
      <c r="E29" s="69">
        <v>6</v>
      </c>
      <c r="F29" s="13">
        <v>0</v>
      </c>
      <c r="G29" s="13">
        <v>0</v>
      </c>
      <c r="H29" s="13">
        <f>F29*Calculation!I8/Calculation!K7</f>
        <v>0</v>
      </c>
      <c r="I29" s="13">
        <f>G29*Calculation!I8/Calculation!K7</f>
        <v>0</v>
      </c>
      <c r="J29" s="13">
        <v>4.6381417167934025</v>
      </c>
      <c r="K29" s="13">
        <v>1.3105215507652396E-2</v>
      </c>
      <c r="L29" s="13">
        <f>J29*Calculation!I8/Calculation!K7</f>
        <v>4.6855950807228552</v>
      </c>
      <c r="M29" s="13">
        <f>K29*Calculation!I8/Calculation!K7</f>
        <v>1.3239296482066537E-2</v>
      </c>
      <c r="N29" s="13">
        <v>0</v>
      </c>
      <c r="O29" s="13">
        <v>0</v>
      </c>
      <c r="P29" s="13">
        <f>N29*Calculation!I8/Calculation!K7</f>
        <v>0</v>
      </c>
      <c r="Q29" s="13">
        <f>O29*Calculation!I8/Calculation!K7</f>
        <v>0</v>
      </c>
    </row>
    <row r="30" spans="4:21">
      <c r="D30" s="16">
        <v>5</v>
      </c>
      <c r="E30" s="69">
        <v>7.333333333333333</v>
      </c>
      <c r="F30" s="13">
        <v>0</v>
      </c>
      <c r="G30" s="13">
        <v>0</v>
      </c>
      <c r="H30" s="13">
        <f>F30*Calculation!I9/Calculation!K8</f>
        <v>0</v>
      </c>
      <c r="I30" s="13">
        <f>G30*Calculation!I9/Calculation!K8</f>
        <v>0</v>
      </c>
      <c r="J30" s="13">
        <v>8.9282336473347712</v>
      </c>
      <c r="K30" s="13">
        <v>0.10235500517132899</v>
      </c>
      <c r="L30" s="13">
        <f>J30*Calculation!I9/Calculation!K8</f>
        <v>9.1046698096596952</v>
      </c>
      <c r="M30" s="13">
        <f>K30*Calculation!I9/Calculation!K8</f>
        <v>0.10437770361544599</v>
      </c>
      <c r="N30" s="13">
        <v>0</v>
      </c>
      <c r="O30" s="13">
        <v>0</v>
      </c>
      <c r="P30" s="13">
        <f>N30*Calculation!I9/Calculation!K8</f>
        <v>0</v>
      </c>
      <c r="Q30" s="13">
        <f>O30*Calculation!I9/Calculation!K8</f>
        <v>0</v>
      </c>
    </row>
    <row r="31" spans="4:21">
      <c r="D31" s="16">
        <v>6</v>
      </c>
      <c r="E31" s="69">
        <v>8.6666666666666661</v>
      </c>
      <c r="F31" s="13">
        <v>0</v>
      </c>
      <c r="G31" s="13">
        <v>0</v>
      </c>
      <c r="H31" s="13">
        <f>F31*Calculation!I10/Calculation!K9</f>
        <v>0</v>
      </c>
      <c r="I31" s="13">
        <f>G31*Calculation!I10/Calculation!K9</f>
        <v>0</v>
      </c>
      <c r="J31" s="13">
        <v>12.196875118223433</v>
      </c>
      <c r="K31" s="13">
        <v>0.41998075394780549</v>
      </c>
      <c r="L31" s="13">
        <f>J31*Calculation!I10/Calculation!K9</f>
        <v>12.577031311177123</v>
      </c>
      <c r="M31" s="13">
        <f>K31*Calculation!I10/Calculation!K9</f>
        <v>0.43307085145122842</v>
      </c>
      <c r="N31" s="13">
        <v>0</v>
      </c>
      <c r="O31" s="13">
        <v>0</v>
      </c>
      <c r="P31" s="13">
        <f>N31*Calculation!I10/Calculation!K9</f>
        <v>0</v>
      </c>
      <c r="Q31" s="13">
        <f>O31*Calculation!I10/Calculation!K9</f>
        <v>0</v>
      </c>
    </row>
    <row r="32" spans="4:21">
      <c r="D32" s="16">
        <v>7</v>
      </c>
      <c r="E32" s="69">
        <v>10</v>
      </c>
      <c r="F32" s="13">
        <v>0</v>
      </c>
      <c r="G32" s="13">
        <v>0</v>
      </c>
      <c r="H32" s="13">
        <f>F32*Calculation!I11/Calculation!K10</f>
        <v>0</v>
      </c>
      <c r="I32" s="13">
        <f>G32*Calculation!I11/Calculation!K10</f>
        <v>0</v>
      </c>
      <c r="J32" s="13">
        <v>18.174251882117051</v>
      </c>
      <c r="K32" s="13">
        <v>0.26600682224865685</v>
      </c>
      <c r="L32" s="13">
        <f>J32*Calculation!I11/Calculation!K10</f>
        <v>18.983727492957193</v>
      </c>
      <c r="M32" s="13">
        <f>K32*Calculation!I11/Calculation!K10</f>
        <v>0.27785468461592444</v>
      </c>
      <c r="N32" s="13">
        <v>0</v>
      </c>
      <c r="O32" s="13">
        <v>0</v>
      </c>
      <c r="P32" s="13">
        <f>N32*Calculation!I11/Calculation!K10</f>
        <v>0</v>
      </c>
      <c r="Q32" s="13">
        <f>O32*Calculation!I11/Calculation!K10</f>
        <v>0</v>
      </c>
    </row>
    <row r="33" spans="4:17">
      <c r="D33" s="16">
        <v>8</v>
      </c>
      <c r="E33" s="69">
        <v>11.333333333333334</v>
      </c>
      <c r="F33" s="13">
        <v>0</v>
      </c>
      <c r="G33" s="13">
        <v>0</v>
      </c>
      <c r="H33" s="13">
        <f>F33*Calculation!I12/Calculation!K11</f>
        <v>0</v>
      </c>
      <c r="I33" s="13">
        <f>G33*Calculation!I12/Calculation!K11</f>
        <v>0</v>
      </c>
      <c r="J33" s="13">
        <v>20.368478795445089</v>
      </c>
      <c r="K33" s="13">
        <v>0.12501578815766898</v>
      </c>
      <c r="L33" s="13">
        <f>J33*Calculation!I12/Calculation!K11</f>
        <v>21.458094990952183</v>
      </c>
      <c r="M33" s="13">
        <f>K33*Calculation!I12/Calculation!K11</f>
        <v>0.13170353488822709</v>
      </c>
      <c r="N33" s="13">
        <v>0</v>
      </c>
      <c r="O33" s="13">
        <v>0</v>
      </c>
      <c r="P33" s="13">
        <f>N33*Calculation!I12/Calculation!K11</f>
        <v>0</v>
      </c>
      <c r="Q33" s="13">
        <f>O33*Calculation!I12/Calculation!K11</f>
        <v>0</v>
      </c>
    </row>
    <row r="34" spans="4:17">
      <c r="D34" s="16">
        <v>9</v>
      </c>
      <c r="E34" s="69">
        <v>12.666666666666666</v>
      </c>
      <c r="F34" s="13">
        <v>0</v>
      </c>
      <c r="G34" s="13">
        <v>0</v>
      </c>
      <c r="H34" s="13">
        <f>F34*Calculation!I13/Calculation!K12</f>
        <v>0</v>
      </c>
      <c r="I34" s="13">
        <f>G34*Calculation!I13/Calculation!K12</f>
        <v>0</v>
      </c>
      <c r="J34" s="13">
        <v>21.579086747626071</v>
      </c>
      <c r="K34" s="13">
        <v>0.13300341112432915</v>
      </c>
      <c r="L34" s="13">
        <f>J34*Calculation!I13/Calculation!K12</f>
        <v>22.933359251889684</v>
      </c>
      <c r="M34" s="13">
        <f>K34*Calculation!I13/Calculation!K12</f>
        <v>0.14135051426013556</v>
      </c>
      <c r="N34" s="13">
        <v>0</v>
      </c>
      <c r="O34" s="13">
        <v>0</v>
      </c>
      <c r="P34" s="13">
        <f>N34*Calculation!I13/Calculation!K12</f>
        <v>0</v>
      </c>
      <c r="Q34" s="13">
        <f>O34*Calculation!I13/Calculation!K12</f>
        <v>0</v>
      </c>
    </row>
    <row r="35" spans="4:17">
      <c r="D35" s="16">
        <v>10</v>
      </c>
      <c r="E35" s="69">
        <v>14</v>
      </c>
      <c r="F35" s="13">
        <v>0</v>
      </c>
      <c r="G35" s="13">
        <v>0</v>
      </c>
      <c r="H35" s="13">
        <f>F35*Calculation!I14/Calculation!K13</f>
        <v>0</v>
      </c>
      <c r="I35" s="13">
        <f>G35*Calculation!I14/Calculation!K13</f>
        <v>0</v>
      </c>
      <c r="J35" s="13">
        <v>21.980100631786023</v>
      </c>
      <c r="K35" s="13">
        <v>0.19036425113167837</v>
      </c>
      <c r="L35" s="13">
        <f>J35*Calculation!I14/Calculation!K13</f>
        <v>23.493790422690704</v>
      </c>
      <c r="M35" s="13">
        <f>K35*Calculation!I14/Calculation!K13</f>
        <v>0.20347394650197762</v>
      </c>
      <c r="N35" s="13">
        <v>0</v>
      </c>
      <c r="O35" s="13">
        <v>0</v>
      </c>
      <c r="P35" s="13">
        <f>N35*Calculation!I14/Calculation!K13</f>
        <v>0</v>
      </c>
      <c r="Q35" s="13">
        <f>O35*Calculation!I14/Calculation!K13</f>
        <v>0</v>
      </c>
    </row>
    <row r="36" spans="4:17">
      <c r="D36" s="16">
        <v>11</v>
      </c>
      <c r="E36" s="69">
        <v>15.333333333333334</v>
      </c>
      <c r="F36" s="13">
        <v>0</v>
      </c>
      <c r="G36" s="13">
        <v>0</v>
      </c>
      <c r="H36" s="13">
        <f>F36*Calculation!I15/Calculation!K14</f>
        <v>0</v>
      </c>
      <c r="I36" s="13">
        <f>G36*Calculation!I15/Calculation!K14</f>
        <v>0</v>
      </c>
      <c r="J36" s="13">
        <v>22.131426625808647</v>
      </c>
      <c r="K36" s="13">
        <v>7.8631293045914374E-2</v>
      </c>
      <c r="L36" s="13">
        <f>J36*Calculation!I15/Calculation!K14</f>
        <v>23.655537688939866</v>
      </c>
      <c r="M36" s="13">
        <f>K36*Calculation!I15/Calculation!K14</f>
        <v>8.4046344938675577E-2</v>
      </c>
      <c r="N36" s="13">
        <v>0</v>
      </c>
      <c r="O36" s="13">
        <v>0</v>
      </c>
      <c r="P36" s="13">
        <f>N36*Calculation!I15/Calculation!K14</f>
        <v>0</v>
      </c>
      <c r="Q36" s="13">
        <f>O36*Calculation!I15/Calculation!K14</f>
        <v>0</v>
      </c>
    </row>
    <row r="37" spans="4:17">
      <c r="D37" s="16">
        <v>12</v>
      </c>
      <c r="E37" s="69">
        <v>16.666666666666668</v>
      </c>
      <c r="F37" s="13">
        <v>0</v>
      </c>
      <c r="G37" s="13">
        <v>0</v>
      </c>
      <c r="H37" s="13">
        <f>F37*Calculation!I16/Calculation!K15</f>
        <v>0</v>
      </c>
      <c r="I37" s="13">
        <f>G37*Calculation!I16/Calculation!K15</f>
        <v>0</v>
      </c>
      <c r="J37" s="13">
        <v>22.396247115348242</v>
      </c>
      <c r="K37" s="13">
        <v>0.19036425113167837</v>
      </c>
      <c r="L37" s="13">
        <f>J37*Calculation!I16/Calculation!K15</f>
        <v>23.959723909205003</v>
      </c>
      <c r="M37" s="13">
        <f>K37*Calculation!I16/Calculation!K15</f>
        <v>0.20365353515731913</v>
      </c>
      <c r="N37" s="13">
        <v>0</v>
      </c>
      <c r="O37" s="13">
        <v>0</v>
      </c>
      <c r="P37" s="13">
        <f>N37*Calculation!I16/Calculation!K15</f>
        <v>0</v>
      </c>
      <c r="Q37" s="13">
        <f>O37*Calculation!I16/Calculation!K15</f>
        <v>0</v>
      </c>
    </row>
    <row r="38" spans="4:17">
      <c r="D38" s="16">
        <v>13</v>
      </c>
      <c r="E38" s="69">
        <v>18</v>
      </c>
      <c r="F38" s="13">
        <v>0</v>
      </c>
      <c r="G38" s="13">
        <v>0</v>
      </c>
      <c r="H38" s="13">
        <f>F38*Calculation!I17/Calculation!K16</f>
        <v>0</v>
      </c>
      <c r="I38" s="13">
        <f>G38*Calculation!I17/Calculation!K16</f>
        <v>0</v>
      </c>
      <c r="J38" s="13">
        <v>22.108727726705258</v>
      </c>
      <c r="K38" s="13">
        <v>9.8942207321318296E-2</v>
      </c>
      <c r="L38" s="13">
        <f>J38*Calculation!I17/Calculation!K16</f>
        <v>23.652132859019265</v>
      </c>
      <c r="M38" s="13">
        <f>K38*Calculation!I17/Calculation!K16</f>
        <v>0.10584933976556755</v>
      </c>
      <c r="N38" s="13">
        <v>0</v>
      </c>
      <c r="O38" s="13">
        <v>0</v>
      </c>
      <c r="P38" s="13">
        <f>N38*Calculation!I17/Calculation!K16</f>
        <v>0</v>
      </c>
      <c r="Q38" s="13">
        <f>O38*Calculation!I17/Calculation!K16</f>
        <v>0</v>
      </c>
    </row>
    <row r="39" spans="4:17">
      <c r="D39" s="16">
        <v>14</v>
      </c>
      <c r="E39" s="69">
        <v>24</v>
      </c>
      <c r="F39" s="13">
        <v>0</v>
      </c>
      <c r="G39" s="13">
        <v>0</v>
      </c>
      <c r="H39" s="13">
        <f>F39*Calculation!I18/Calculation!K17</f>
        <v>0</v>
      </c>
      <c r="I39" s="13">
        <f>G39*Calculation!I18/Calculation!K17</f>
        <v>0</v>
      </c>
      <c r="J39" s="13">
        <v>22.683766503991222</v>
      </c>
      <c r="K39" s="13">
        <v>0.21573907508619047</v>
      </c>
      <c r="L39" s="13">
        <f>J39*Calculation!I18/Calculation!K17</f>
        <v>24.314435959311886</v>
      </c>
      <c r="M39" s="13">
        <f>K39*Calculation!I18/Calculation!K17</f>
        <v>0.23124792455350812</v>
      </c>
      <c r="N39" s="13">
        <v>0</v>
      </c>
      <c r="O39" s="13">
        <v>0</v>
      </c>
      <c r="P39" s="13">
        <f>N39*Calculation!I18/Calculation!K17</f>
        <v>0</v>
      </c>
      <c r="Q39" s="13">
        <f>O39*Calculation!I18/Calculation!K17</f>
        <v>0</v>
      </c>
    </row>
    <row r="40" spans="4:17">
      <c r="D40" s="16">
        <v>15</v>
      </c>
      <c r="E40" s="69">
        <v>30.25</v>
      </c>
      <c r="F40" s="13">
        <v>0</v>
      </c>
      <c r="G40" s="13">
        <v>0</v>
      </c>
      <c r="H40" s="13">
        <f>F40*Calculation!I19/Calculation!K18</f>
        <v>0</v>
      </c>
      <c r="I40" s="13">
        <f>G40*Calculation!I19/Calculation!K18</f>
        <v>0</v>
      </c>
      <c r="J40" s="13">
        <v>23.758181061551849</v>
      </c>
      <c r="K40" s="13">
        <v>0.17187329007831961</v>
      </c>
      <c r="L40" s="13">
        <f>J40*Calculation!I19/Calculation!K18</f>
        <v>25.466087028765621</v>
      </c>
      <c r="M40" s="13">
        <f>K40*Calculation!I19/Calculation!K18</f>
        <v>0.18422875689494686</v>
      </c>
      <c r="N40" s="13">
        <v>0</v>
      </c>
      <c r="O40" s="13">
        <v>0</v>
      </c>
      <c r="P40" s="13">
        <f>N40*Calculation!I19/Calculation!K18</f>
        <v>0</v>
      </c>
      <c r="Q40" s="13">
        <f>O40*Calculation!I19/Calculation!K18</f>
        <v>0</v>
      </c>
    </row>
    <row r="41" spans="4:17">
      <c r="D41" s="16">
        <v>16</v>
      </c>
      <c r="E41" s="69">
        <v>48</v>
      </c>
      <c r="F41" s="13">
        <v>0</v>
      </c>
      <c r="G41" s="13">
        <v>0</v>
      </c>
      <c r="H41" s="13">
        <f>F41*Calculation!I20/Calculation!K19</f>
        <v>0</v>
      </c>
      <c r="I41" s="13">
        <f>G41*Calculation!I20/Calculation!K19</f>
        <v>0</v>
      </c>
      <c r="J41" s="13">
        <v>24.136496046608411</v>
      </c>
      <c r="K41" s="13">
        <v>0.71432441297668203</v>
      </c>
      <c r="L41" s="13">
        <f>J41*Calculation!I20/Calculation!K19</f>
        <v>25.899658270198628</v>
      </c>
      <c r="M41" s="13">
        <f>K41*Calculation!I20/Calculation!K19</f>
        <v>0.76650555053354463</v>
      </c>
      <c r="N41" s="13">
        <v>0</v>
      </c>
      <c r="O41" s="13">
        <v>0</v>
      </c>
      <c r="P41" s="13">
        <f>N41*Calculation!I20/Calculation!K19</f>
        <v>0</v>
      </c>
      <c r="Q41" s="13">
        <f>O41*Calculation!I20/Calculation!K19</f>
        <v>0</v>
      </c>
    </row>
  </sheetData>
  <mergeCells count="14">
    <mergeCell ref="F22:I22"/>
    <mergeCell ref="J22:M22"/>
    <mergeCell ref="N22:Q22"/>
    <mergeCell ref="N1:Q1"/>
    <mergeCell ref="A1:B1"/>
    <mergeCell ref="A2:B2"/>
    <mergeCell ref="A3:A4"/>
    <mergeCell ref="D22:D23"/>
    <mergeCell ref="E22:E23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139</v>
      </c>
      <c r="B2" s="17">
        <v>180.16</v>
      </c>
    </row>
    <row r="4" spans="1:8">
      <c r="A4" s="157" t="s">
        <v>140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8" t="s">
        <v>4</v>
      </c>
      <c r="B6" s="28" t="s">
        <v>5</v>
      </c>
      <c r="C6" s="28" t="s">
        <v>19</v>
      </c>
      <c r="D6" s="162"/>
      <c r="E6" s="162"/>
      <c r="F6" s="162"/>
      <c r="G6" s="164"/>
      <c r="H6" s="164"/>
    </row>
    <row r="7" spans="1:8">
      <c r="A7" s="16">
        <v>0</v>
      </c>
      <c r="B7" s="66">
        <v>-0.16666666666666666</v>
      </c>
      <c r="C7" s="16">
        <v>2</v>
      </c>
      <c r="D7" s="19">
        <v>4.593</v>
      </c>
      <c r="E7" s="19">
        <v>4.444</v>
      </c>
      <c r="F7" s="19">
        <v>4.524</v>
      </c>
      <c r="G7" s="19">
        <f>(C7*1000*AVERAGE(D7:F7)/$B$2)</f>
        <v>50.181320307874479</v>
      </c>
      <c r="H7" s="19">
        <f>(C7*1000*STDEV(D7:F7))/$B$2</f>
        <v>0.82779354651216475</v>
      </c>
    </row>
    <row r="8" spans="1:8">
      <c r="A8" s="16">
        <v>0</v>
      </c>
      <c r="B8" s="69">
        <v>0.16666666666666666</v>
      </c>
      <c r="C8" s="16">
        <v>2</v>
      </c>
      <c r="D8" s="19">
        <v>4.3099999999999996</v>
      </c>
      <c r="E8" s="19">
        <v>4.2560000000000002</v>
      </c>
      <c r="F8" s="19">
        <v>4.1230000000000002</v>
      </c>
      <c r="G8" s="19">
        <f t="shared" ref="G8:G17" si="0">(C8*1000*AVERAGE(D8:F8))/$B$2</f>
        <v>46.954558910597989</v>
      </c>
      <c r="H8" s="19">
        <f t="shared" ref="H8:H17" si="1">(C8*1000*STDEV(D8:F8))/$B$2</f>
        <v>1.0683949477888137</v>
      </c>
    </row>
    <row r="9" spans="1:8">
      <c r="A9" s="16">
        <v>1</v>
      </c>
      <c r="B9" s="69">
        <v>2</v>
      </c>
      <c r="C9" s="16">
        <v>2</v>
      </c>
      <c r="D9" s="19">
        <v>4.2560000000000002</v>
      </c>
      <c r="E9" s="19">
        <v>4.2370000000000001</v>
      </c>
      <c r="F9" s="19">
        <v>4.2640000000000002</v>
      </c>
      <c r="G9" s="19">
        <f t="shared" si="0"/>
        <v>47.206187092954416</v>
      </c>
      <c r="H9" s="19">
        <f t="shared" si="1"/>
        <v>0.15395680922672314</v>
      </c>
    </row>
    <row r="10" spans="1:8">
      <c r="A10" s="16">
        <v>2</v>
      </c>
      <c r="B10" s="69">
        <v>3.3333333333333335</v>
      </c>
      <c r="C10" s="16">
        <v>2</v>
      </c>
      <c r="D10" s="19">
        <v>4.3250000000000002</v>
      </c>
      <c r="E10" s="19">
        <v>4.2949999999999999</v>
      </c>
      <c r="F10" s="19">
        <v>4.2949999999999999</v>
      </c>
      <c r="G10" s="19">
        <f t="shared" si="0"/>
        <v>47.790852575488465</v>
      </c>
      <c r="H10" s="19">
        <f t="shared" si="1"/>
        <v>0.19227917490773663</v>
      </c>
    </row>
    <row r="11" spans="1:8">
      <c r="A11" s="16">
        <v>3</v>
      </c>
      <c r="B11" s="69">
        <v>4.666666666666667</v>
      </c>
      <c r="C11" s="16">
        <v>2</v>
      </c>
      <c r="D11" s="19">
        <v>4.0919999999999996</v>
      </c>
      <c r="E11" s="19">
        <v>4.0819999999999999</v>
      </c>
      <c r="F11" s="19">
        <v>4.1280000000000001</v>
      </c>
      <c r="G11" s="19">
        <f t="shared" si="0"/>
        <v>45.522498519834215</v>
      </c>
      <c r="H11" s="19">
        <f t="shared" si="1"/>
        <v>0.26857974114304611</v>
      </c>
    </row>
    <row r="12" spans="1:8">
      <c r="A12" s="16">
        <v>4</v>
      </c>
      <c r="B12" s="69">
        <v>6</v>
      </c>
      <c r="C12" s="16">
        <v>2</v>
      </c>
      <c r="D12" s="19">
        <v>3.8460000000000001</v>
      </c>
      <c r="E12" s="19">
        <v>3.9060000000000001</v>
      </c>
      <c r="F12" s="19">
        <v>3.895</v>
      </c>
      <c r="G12" s="19">
        <f t="shared" si="0"/>
        <v>43.098727057430438</v>
      </c>
      <c r="H12" s="19">
        <f t="shared" si="1"/>
        <v>0.35460320775777487</v>
      </c>
    </row>
    <row r="13" spans="1:8">
      <c r="A13" s="16">
        <v>5</v>
      </c>
      <c r="B13" s="69">
        <v>7.333333333333333</v>
      </c>
      <c r="C13" s="16">
        <v>2</v>
      </c>
      <c r="D13" s="19">
        <v>3.26</v>
      </c>
      <c r="E13" s="19">
        <v>3.2570000000000001</v>
      </c>
      <c r="F13" s="19">
        <v>3.2090000000000001</v>
      </c>
      <c r="G13" s="19">
        <f t="shared" si="0"/>
        <v>35.990230905861452</v>
      </c>
      <c r="H13" s="19">
        <f t="shared" si="1"/>
        <v>0.31769733617349349</v>
      </c>
    </row>
    <row r="14" spans="1:8">
      <c r="A14" s="16">
        <v>6</v>
      </c>
      <c r="B14" s="69">
        <v>8.6666666666666661</v>
      </c>
      <c r="C14" s="16">
        <v>2</v>
      </c>
      <c r="D14" s="19">
        <v>2.1880000000000002</v>
      </c>
      <c r="E14" s="19">
        <v>2.2829999999999999</v>
      </c>
      <c r="F14" s="19">
        <v>2.3730000000000002</v>
      </c>
      <c r="G14" s="19">
        <f t="shared" si="0"/>
        <v>25.325636471284785</v>
      </c>
      <c r="H14" s="19">
        <f t="shared" si="1"/>
        <v>1.0269900152736768</v>
      </c>
    </row>
    <row r="15" spans="1:8">
      <c r="A15" s="16">
        <v>7</v>
      </c>
      <c r="B15" s="69">
        <v>10</v>
      </c>
      <c r="C15" s="16">
        <v>2</v>
      </c>
      <c r="D15" s="19">
        <v>1.6679999999999999</v>
      </c>
      <c r="E15" s="19">
        <v>1.6759999999999999</v>
      </c>
      <c r="F15" s="19">
        <v>1.718</v>
      </c>
      <c r="G15" s="19">
        <f t="shared" si="0"/>
        <v>18.731497927767908</v>
      </c>
      <c r="H15" s="19">
        <f t="shared" si="1"/>
        <v>0.29815330193137513</v>
      </c>
    </row>
    <row r="16" spans="1:8">
      <c r="A16" s="16">
        <v>8</v>
      </c>
      <c r="B16" s="69">
        <v>11.333333333333334</v>
      </c>
      <c r="C16" s="16">
        <v>2</v>
      </c>
      <c r="D16" s="19">
        <v>1.083</v>
      </c>
      <c r="E16" s="19">
        <v>1.0960000000000001</v>
      </c>
      <c r="F16" s="19">
        <v>1.097</v>
      </c>
      <c r="G16" s="19">
        <f t="shared" si="0"/>
        <v>12.122557726465365</v>
      </c>
      <c r="H16" s="19">
        <f t="shared" si="1"/>
        <v>8.670348219256982E-2</v>
      </c>
    </row>
    <row r="17" spans="1:8">
      <c r="A17" s="16">
        <v>9</v>
      </c>
      <c r="B17" s="69">
        <v>12.666666666666666</v>
      </c>
      <c r="C17" s="16">
        <v>2</v>
      </c>
      <c r="D17" s="79">
        <v>0.46899999999999997</v>
      </c>
      <c r="E17" s="79">
        <v>0.47499999999999998</v>
      </c>
      <c r="F17" s="79" t="s">
        <v>148</v>
      </c>
      <c r="G17" s="19">
        <f t="shared" si="0"/>
        <v>5.2397868561278864</v>
      </c>
      <c r="H17" s="19">
        <f t="shared" si="1"/>
        <v>4.7098586668731006E-2</v>
      </c>
    </row>
    <row r="18" spans="1:8">
      <c r="A18" s="16">
        <v>10</v>
      </c>
      <c r="B18" s="69">
        <v>14</v>
      </c>
      <c r="C18" s="16">
        <v>2</v>
      </c>
      <c r="D18" s="79">
        <v>0</v>
      </c>
      <c r="E18" s="79">
        <v>0</v>
      </c>
      <c r="F18" s="79">
        <v>0</v>
      </c>
      <c r="G18" s="19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16">
        <v>11</v>
      </c>
      <c r="B19" s="69">
        <v>15.333333333333334</v>
      </c>
      <c r="C19" s="16">
        <v>2</v>
      </c>
      <c r="D19" s="79">
        <v>0</v>
      </c>
      <c r="E19" s="79">
        <v>0</v>
      </c>
      <c r="F19" s="79">
        <v>0</v>
      </c>
      <c r="G19" s="19">
        <f t="shared" si="2"/>
        <v>0</v>
      </c>
      <c r="H19" s="19">
        <f t="shared" si="3"/>
        <v>0</v>
      </c>
    </row>
    <row r="20" spans="1:8">
      <c r="A20" s="16">
        <v>12</v>
      </c>
      <c r="B20" s="69">
        <v>16.666666666666668</v>
      </c>
      <c r="C20" s="16">
        <v>2</v>
      </c>
      <c r="D20" s="79">
        <v>0</v>
      </c>
      <c r="E20" s="79">
        <v>0</v>
      </c>
      <c r="F20" s="79">
        <v>0</v>
      </c>
      <c r="G20" s="19">
        <f t="shared" si="2"/>
        <v>0</v>
      </c>
      <c r="H20" s="19">
        <f t="shared" si="3"/>
        <v>0</v>
      </c>
    </row>
    <row r="21" spans="1:8">
      <c r="A21" s="16">
        <v>13</v>
      </c>
      <c r="B21" s="69">
        <v>18</v>
      </c>
      <c r="C21" s="16">
        <v>2</v>
      </c>
      <c r="D21" s="79">
        <v>0</v>
      </c>
      <c r="E21" s="79">
        <v>0</v>
      </c>
      <c r="F21" s="79">
        <v>0</v>
      </c>
      <c r="G21" s="19">
        <f t="shared" si="2"/>
        <v>0</v>
      </c>
      <c r="H21" s="19">
        <f t="shared" si="3"/>
        <v>0</v>
      </c>
    </row>
    <row r="22" spans="1:8">
      <c r="A22" s="16">
        <v>14</v>
      </c>
      <c r="B22" s="69">
        <v>24</v>
      </c>
      <c r="C22" s="16">
        <v>2</v>
      </c>
      <c r="D22" s="79">
        <v>0</v>
      </c>
      <c r="E22" s="79">
        <v>0</v>
      </c>
      <c r="F22" s="79">
        <v>0</v>
      </c>
      <c r="G22" s="19">
        <f t="shared" si="2"/>
        <v>0</v>
      </c>
      <c r="H22" s="19">
        <f t="shared" si="3"/>
        <v>0</v>
      </c>
    </row>
    <row r="23" spans="1:8">
      <c r="A23" s="16">
        <v>15</v>
      </c>
      <c r="B23" s="69">
        <v>30.25</v>
      </c>
      <c r="C23" s="16">
        <v>2</v>
      </c>
      <c r="D23" s="79">
        <v>0</v>
      </c>
      <c r="E23" s="79">
        <v>0</v>
      </c>
      <c r="F23" s="79">
        <v>0</v>
      </c>
      <c r="G23" s="19">
        <f t="shared" si="2"/>
        <v>0</v>
      </c>
      <c r="H23" s="19">
        <f t="shared" si="3"/>
        <v>0</v>
      </c>
    </row>
    <row r="24" spans="1:8">
      <c r="A24" s="16">
        <v>16</v>
      </c>
      <c r="B24" s="69">
        <v>48</v>
      </c>
      <c r="C24" s="16">
        <v>2</v>
      </c>
      <c r="D24" s="79">
        <v>0</v>
      </c>
      <c r="E24" s="79">
        <v>0</v>
      </c>
      <c r="F24" s="79">
        <v>0</v>
      </c>
      <c r="G24" s="19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65</v>
      </c>
      <c r="B2" s="17">
        <v>46.03</v>
      </c>
    </row>
    <row r="4" spans="1:8">
      <c r="A4" s="157" t="s">
        <v>65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8" t="s">
        <v>4</v>
      </c>
      <c r="B6" s="28" t="s">
        <v>60</v>
      </c>
      <c r="C6" s="28" t="s">
        <v>19</v>
      </c>
      <c r="D6" s="162"/>
      <c r="E6" s="162"/>
      <c r="F6" s="162"/>
      <c r="G6" s="164"/>
      <c r="H6" s="164"/>
    </row>
    <row r="7" spans="1:8">
      <c r="A7" s="70">
        <v>0</v>
      </c>
      <c r="B7" s="66">
        <v>-0.16666666666666666</v>
      </c>
      <c r="C7" s="16">
        <v>2</v>
      </c>
      <c r="D7" s="54">
        <v>0</v>
      </c>
      <c r="E7" s="54">
        <v>0</v>
      </c>
      <c r="F7" s="54">
        <v>0</v>
      </c>
      <c r="G7" s="16">
        <f>(C7*1000*AVERAGE(D7:F7))/$B$2</f>
        <v>0</v>
      </c>
      <c r="H7" s="19">
        <f t="shared" ref="H7:H9" si="0">(C7*1000*STDEV(D7:F7))/$B$2</f>
        <v>0</v>
      </c>
    </row>
    <row r="8" spans="1:8">
      <c r="A8" s="71">
        <v>0</v>
      </c>
      <c r="B8" s="69">
        <v>0.16666666666666666</v>
      </c>
      <c r="C8" s="16">
        <v>2</v>
      </c>
      <c r="D8" s="54">
        <v>2.7E-2</v>
      </c>
      <c r="E8" s="54">
        <v>2.4E-2</v>
      </c>
      <c r="F8" s="54">
        <v>2.5000000000000001E-2</v>
      </c>
      <c r="G8" s="16">
        <f t="shared" ref="G8:G10" si="1">(C8*1000*AVERAGE(D8:F8))/$B$2</f>
        <v>1.1007314070533711</v>
      </c>
      <c r="H8" s="19">
        <f t="shared" si="0"/>
        <v>6.637085516628051E-2</v>
      </c>
    </row>
    <row r="9" spans="1:8">
      <c r="A9" s="71">
        <v>1</v>
      </c>
      <c r="B9" s="69">
        <v>2</v>
      </c>
      <c r="C9" s="16">
        <v>2</v>
      </c>
      <c r="D9" s="54">
        <v>2.1999999999999999E-2</v>
      </c>
      <c r="E9" s="54">
        <v>2.1999999999999999E-2</v>
      </c>
      <c r="F9" s="54">
        <v>2.3E-2</v>
      </c>
      <c r="G9" s="16">
        <f t="shared" si="1"/>
        <v>0.97038163516547171</v>
      </c>
      <c r="H9" s="19">
        <f t="shared" si="0"/>
        <v>2.5085825296094995E-2</v>
      </c>
    </row>
    <row r="10" spans="1:8">
      <c r="A10" s="71">
        <v>2</v>
      </c>
      <c r="B10" s="69">
        <v>3.3333333333333335</v>
      </c>
      <c r="C10" s="16">
        <v>2</v>
      </c>
      <c r="D10" s="54">
        <v>2.1999999999999999E-2</v>
      </c>
      <c r="E10" s="54">
        <v>2.3E-2</v>
      </c>
      <c r="F10" s="54">
        <v>2.1999999999999999E-2</v>
      </c>
      <c r="G10" s="16">
        <f t="shared" si="1"/>
        <v>0.97038163516547171</v>
      </c>
      <c r="H10" s="19">
        <f t="shared" ref="H10:H23" si="2">(C10*1000*STDEV(D10:F10))/$B$2</f>
        <v>2.5085825296094988E-2</v>
      </c>
    </row>
    <row r="11" spans="1:8">
      <c r="A11" s="71">
        <v>3</v>
      </c>
      <c r="B11" s="69">
        <v>4.666666666666667</v>
      </c>
      <c r="C11" s="16">
        <v>2</v>
      </c>
      <c r="D11" s="54">
        <v>3.4000000000000002E-2</v>
      </c>
      <c r="E11" s="54">
        <v>3.2000000000000001E-2</v>
      </c>
      <c r="F11" s="54">
        <v>3.3000000000000002E-2</v>
      </c>
      <c r="G11" s="16">
        <f t="shared" ref="G11:G23" si="3">(C11*1000*AVERAGE(D11:F11))/$B$2</f>
        <v>1.4338474907668912</v>
      </c>
      <c r="H11" s="19">
        <f t="shared" si="2"/>
        <v>4.34499239626331E-2</v>
      </c>
    </row>
    <row r="12" spans="1:8">
      <c r="A12" s="71">
        <v>4</v>
      </c>
      <c r="B12" s="69">
        <v>6</v>
      </c>
      <c r="C12" s="16">
        <v>2</v>
      </c>
      <c r="D12" s="54">
        <v>6.8000000000000005E-2</v>
      </c>
      <c r="E12" s="54">
        <v>6.7000000000000004E-2</v>
      </c>
      <c r="F12" s="54">
        <v>6.9000000000000006E-2</v>
      </c>
      <c r="G12" s="16">
        <f t="shared" si="3"/>
        <v>2.9545948294590483</v>
      </c>
      <c r="H12" s="19">
        <f t="shared" si="2"/>
        <v>4.34499239626331E-2</v>
      </c>
    </row>
    <row r="13" spans="1:8">
      <c r="A13" s="71">
        <v>5</v>
      </c>
      <c r="B13" s="69">
        <v>7.333333333333333</v>
      </c>
      <c r="C13" s="16">
        <v>2</v>
      </c>
      <c r="D13" s="54">
        <v>0.122</v>
      </c>
      <c r="E13" s="54">
        <v>0.121</v>
      </c>
      <c r="F13" s="54">
        <v>0.11700000000000001</v>
      </c>
      <c r="G13" s="16">
        <f t="shared" si="3"/>
        <v>5.2139908755159681</v>
      </c>
      <c r="H13" s="19">
        <f t="shared" si="2"/>
        <v>0.11495769328979295</v>
      </c>
    </row>
    <row r="14" spans="1:8">
      <c r="A14" s="71">
        <v>6</v>
      </c>
      <c r="B14" s="69">
        <v>8.6666666666666661</v>
      </c>
      <c r="C14" s="16">
        <v>2</v>
      </c>
      <c r="D14" s="54">
        <v>0.11899999999999999</v>
      </c>
      <c r="E14" s="54">
        <v>0.125</v>
      </c>
      <c r="F14" s="54">
        <v>0.129</v>
      </c>
      <c r="G14" s="16">
        <f t="shared" si="3"/>
        <v>5.4022738793540448</v>
      </c>
      <c r="H14" s="19">
        <f t="shared" si="2"/>
        <v>0.21869315476198872</v>
      </c>
    </row>
    <row r="15" spans="1:8">
      <c r="A15" s="71">
        <v>7</v>
      </c>
      <c r="B15" s="69">
        <v>10</v>
      </c>
      <c r="C15" s="16">
        <v>2</v>
      </c>
      <c r="D15" s="54">
        <v>0.17799999999999999</v>
      </c>
      <c r="E15" s="54">
        <v>0.18</v>
      </c>
      <c r="F15" s="54">
        <v>0.183</v>
      </c>
      <c r="G15" s="16">
        <f t="shared" si="3"/>
        <v>7.8354696212614954</v>
      </c>
      <c r="H15" s="19">
        <f t="shared" si="2"/>
        <v>0.10934657738099436</v>
      </c>
    </row>
    <row r="16" spans="1:8">
      <c r="A16" s="71">
        <v>8</v>
      </c>
      <c r="B16" s="69">
        <v>11.333333333333334</v>
      </c>
      <c r="C16" s="16">
        <v>2</v>
      </c>
      <c r="D16" s="54">
        <v>0.191</v>
      </c>
      <c r="E16" s="54">
        <v>0.191</v>
      </c>
      <c r="F16" s="54">
        <v>0.19</v>
      </c>
      <c r="G16" s="16">
        <f t="shared" si="3"/>
        <v>8.2844521688753723</v>
      </c>
      <c r="H16" s="19">
        <f t="shared" si="2"/>
        <v>2.5085825296094995E-2</v>
      </c>
    </row>
    <row r="17" spans="1:8">
      <c r="A17" s="71">
        <v>9</v>
      </c>
      <c r="B17" s="69">
        <v>12.666666666666666</v>
      </c>
      <c r="C17" s="16">
        <v>2</v>
      </c>
      <c r="D17" s="54">
        <v>0.152</v>
      </c>
      <c r="E17" s="54">
        <v>0.154</v>
      </c>
      <c r="F17" s="54">
        <v>0.153</v>
      </c>
      <c r="G17" s="16">
        <f t="shared" si="3"/>
        <v>6.6478383662828584</v>
      </c>
      <c r="H17" s="19">
        <f t="shared" si="2"/>
        <v>4.34499239626331E-2</v>
      </c>
    </row>
    <row r="18" spans="1:8">
      <c r="A18" s="71">
        <v>10</v>
      </c>
      <c r="B18" s="69">
        <v>14</v>
      </c>
      <c r="C18" s="16">
        <v>2</v>
      </c>
      <c r="D18" s="54">
        <v>8.1000000000000003E-2</v>
      </c>
      <c r="E18" s="54">
        <v>8.4000000000000005E-2</v>
      </c>
      <c r="F18" s="54">
        <v>7.8E-2</v>
      </c>
      <c r="G18" s="16">
        <f t="shared" si="3"/>
        <v>3.519443840973278</v>
      </c>
      <c r="H18" s="19">
        <f t="shared" si="2"/>
        <v>0.13034977188789931</v>
      </c>
    </row>
    <row r="19" spans="1:8">
      <c r="A19" s="71">
        <v>11</v>
      </c>
      <c r="B19" s="69">
        <v>15.333333333333334</v>
      </c>
      <c r="C19" s="16">
        <v>2</v>
      </c>
      <c r="D19" s="54">
        <v>3.1E-2</v>
      </c>
      <c r="E19" s="54">
        <v>3.2000000000000001E-2</v>
      </c>
      <c r="F19" s="54">
        <v>3.3000000000000002E-2</v>
      </c>
      <c r="G19" s="16">
        <f t="shared" si="3"/>
        <v>1.3903975668042581</v>
      </c>
      <c r="H19" s="19">
        <f t="shared" si="2"/>
        <v>4.34499239626331E-2</v>
      </c>
    </row>
    <row r="20" spans="1:8">
      <c r="A20" s="71">
        <v>12</v>
      </c>
      <c r="B20" s="69">
        <v>16.666666666666668</v>
      </c>
      <c r="C20" s="16">
        <v>2</v>
      </c>
      <c r="D20" s="54">
        <v>6.0000000000000001E-3</v>
      </c>
      <c r="E20" s="54">
        <v>7.0000000000000001E-3</v>
      </c>
      <c r="F20" s="54">
        <v>7.0000000000000001E-3</v>
      </c>
      <c r="G20" s="16">
        <f t="shared" si="3"/>
        <v>0.28966615975088711</v>
      </c>
      <c r="H20" s="19">
        <f t="shared" si="2"/>
        <v>2.5085825296094974E-2</v>
      </c>
    </row>
    <row r="21" spans="1:8">
      <c r="A21" s="71">
        <v>13</v>
      </c>
      <c r="B21" s="69">
        <v>18</v>
      </c>
      <c r="C21" s="16">
        <v>2</v>
      </c>
      <c r="D21" s="54">
        <v>0</v>
      </c>
      <c r="E21" s="54">
        <v>0</v>
      </c>
      <c r="F21" s="54">
        <v>0</v>
      </c>
      <c r="G21" s="16">
        <f t="shared" si="3"/>
        <v>0</v>
      </c>
      <c r="H21" s="19">
        <f t="shared" si="2"/>
        <v>0</v>
      </c>
    </row>
    <row r="22" spans="1:8">
      <c r="A22" s="71">
        <v>14</v>
      </c>
      <c r="B22" s="69">
        <v>24</v>
      </c>
      <c r="C22" s="16">
        <v>2</v>
      </c>
      <c r="D22" s="54">
        <v>0</v>
      </c>
      <c r="E22" s="54">
        <v>0</v>
      </c>
      <c r="F22" s="54">
        <v>0</v>
      </c>
      <c r="G22" s="16">
        <f t="shared" si="3"/>
        <v>0</v>
      </c>
      <c r="H22" s="19">
        <f t="shared" si="2"/>
        <v>0</v>
      </c>
    </row>
    <row r="23" spans="1:8">
      <c r="A23" s="71">
        <v>15</v>
      </c>
      <c r="B23" s="69">
        <v>30.25</v>
      </c>
      <c r="C23" s="16">
        <v>2</v>
      </c>
      <c r="D23" s="54">
        <v>0</v>
      </c>
      <c r="E23" s="54">
        <v>0</v>
      </c>
      <c r="F23" s="54">
        <v>0</v>
      </c>
      <c r="G23" s="16">
        <f t="shared" si="3"/>
        <v>0</v>
      </c>
      <c r="H23" s="19">
        <f t="shared" si="2"/>
        <v>0</v>
      </c>
    </row>
    <row r="24" spans="1:8">
      <c r="A24" s="71">
        <v>16</v>
      </c>
      <c r="B24" s="69">
        <v>48</v>
      </c>
      <c r="C24" s="16">
        <v>2</v>
      </c>
      <c r="D24" s="54">
        <v>0</v>
      </c>
      <c r="E24" s="54">
        <v>0</v>
      </c>
      <c r="F24" s="54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57" t="s">
        <v>43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2" t="s">
        <v>4</v>
      </c>
      <c r="B6" s="22" t="s">
        <v>60</v>
      </c>
      <c r="C6" s="22" t="s">
        <v>19</v>
      </c>
      <c r="D6" s="162"/>
      <c r="E6" s="162"/>
      <c r="F6" s="162"/>
      <c r="G6" s="164"/>
      <c r="H6" s="164"/>
    </row>
    <row r="7" spans="1:8">
      <c r="A7" s="70">
        <v>0</v>
      </c>
      <c r="B7" s="66">
        <v>-0.16666666666666666</v>
      </c>
      <c r="C7" s="16">
        <v>2</v>
      </c>
      <c r="D7" s="79">
        <v>5.3999999999999999E-2</v>
      </c>
      <c r="E7" s="79">
        <v>4.3999999999999997E-2</v>
      </c>
      <c r="F7" s="79">
        <v>3.7999999999999999E-2</v>
      </c>
      <c r="G7" s="16">
        <f>(C7*1000*AVERAGE(D7:F7))/$B$2</f>
        <v>1.5098529003608105</v>
      </c>
      <c r="H7" s="19">
        <f>(C7*1000*STDEV(D7:F7))/$B$2</f>
        <v>0.26920578746560253</v>
      </c>
    </row>
    <row r="8" spans="1:8">
      <c r="A8" s="71">
        <v>0</v>
      </c>
      <c r="B8" s="69">
        <v>0.16666666666666666</v>
      </c>
      <c r="C8" s="16">
        <v>2</v>
      </c>
      <c r="D8" s="79">
        <v>0.107</v>
      </c>
      <c r="E8" s="79">
        <v>0.104</v>
      </c>
      <c r="F8" s="79">
        <v>0.1</v>
      </c>
      <c r="G8" s="16">
        <f t="shared" ref="G8:G17" si="0">(C8*1000*AVERAGE(D8:F8))/$B$2</f>
        <v>3.4526783236192067</v>
      </c>
      <c r="H8" s="19">
        <f t="shared" ref="H8:H17" si="1">(C8*1000*STDEV(D8:F8))/$B$2</f>
        <v>0.11696534835251433</v>
      </c>
    </row>
    <row r="9" spans="1:8">
      <c r="A9" s="71">
        <v>1</v>
      </c>
      <c r="B9" s="69">
        <v>2</v>
      </c>
      <c r="C9" s="16">
        <v>2</v>
      </c>
      <c r="D9" s="79">
        <v>0.113</v>
      </c>
      <c r="E9" s="79">
        <v>0.111</v>
      </c>
      <c r="F9" s="79">
        <v>0.112</v>
      </c>
      <c r="G9" s="16">
        <f t="shared" si="0"/>
        <v>3.7302248126561199</v>
      </c>
      <c r="H9" s="19">
        <f t="shared" si="1"/>
        <v>3.3305578684429675E-2</v>
      </c>
    </row>
    <row r="10" spans="1:8">
      <c r="A10" s="71">
        <v>2</v>
      </c>
      <c r="B10" s="69">
        <v>3.3333333333333335</v>
      </c>
      <c r="C10" s="16">
        <v>2</v>
      </c>
      <c r="D10" s="79">
        <v>0.125</v>
      </c>
      <c r="E10" s="79">
        <v>0.11899999999999999</v>
      </c>
      <c r="F10" s="79">
        <v>0.123</v>
      </c>
      <c r="G10" s="16">
        <f t="shared" si="0"/>
        <v>4.0743824590618933</v>
      </c>
      <c r="H10" s="19">
        <f t="shared" si="1"/>
        <v>0.10175022359047113</v>
      </c>
    </row>
    <row r="11" spans="1:8">
      <c r="A11" s="71">
        <v>3</v>
      </c>
      <c r="B11" s="69">
        <v>4.666666666666667</v>
      </c>
      <c r="C11" s="16">
        <v>2</v>
      </c>
      <c r="D11" s="79">
        <v>0.14099999999999999</v>
      </c>
      <c r="E11" s="79">
        <v>0.14499999999999999</v>
      </c>
      <c r="F11" s="79">
        <v>0.14599999999999999</v>
      </c>
      <c r="G11" s="16">
        <f t="shared" si="0"/>
        <v>4.7960033305578689</v>
      </c>
      <c r="H11" s="19">
        <f t="shared" si="1"/>
        <v>8.8118278470094694E-2</v>
      </c>
    </row>
    <row r="12" spans="1:8">
      <c r="A12" s="71">
        <v>4</v>
      </c>
      <c r="B12" s="69">
        <v>6</v>
      </c>
      <c r="C12" s="16">
        <v>2</v>
      </c>
      <c r="D12" s="79">
        <v>0.19</v>
      </c>
      <c r="E12" s="79">
        <v>0.19400000000000001</v>
      </c>
      <c r="F12" s="79">
        <v>0.192</v>
      </c>
      <c r="G12" s="16">
        <f t="shared" si="0"/>
        <v>6.3946711074104927</v>
      </c>
      <c r="H12" s="19">
        <f t="shared" si="1"/>
        <v>6.661115736885935E-2</v>
      </c>
    </row>
    <row r="13" spans="1:8">
      <c r="A13" s="71">
        <v>5</v>
      </c>
      <c r="B13" s="69">
        <v>7.333333333333333</v>
      </c>
      <c r="C13" s="16">
        <v>2</v>
      </c>
      <c r="D13" s="79">
        <v>0.28499999999999998</v>
      </c>
      <c r="E13" s="79">
        <v>0.28299999999999997</v>
      </c>
      <c r="F13" s="79">
        <v>0.28000000000000003</v>
      </c>
      <c r="G13" s="16">
        <f t="shared" si="0"/>
        <v>9.4143769081321125</v>
      </c>
      <c r="H13" s="19">
        <f t="shared" si="1"/>
        <v>8.3817201612774561E-2</v>
      </c>
    </row>
    <row r="14" spans="1:8">
      <c r="A14" s="71">
        <v>6</v>
      </c>
      <c r="B14" s="69">
        <v>8.6666666666666661</v>
      </c>
      <c r="C14" s="16">
        <v>2</v>
      </c>
      <c r="D14" s="79">
        <v>0.435</v>
      </c>
      <c r="E14" s="79">
        <v>0.45700000000000002</v>
      </c>
      <c r="F14" s="79">
        <v>0.46600000000000003</v>
      </c>
      <c r="G14" s="16">
        <f t="shared" si="0"/>
        <v>15.076325284485154</v>
      </c>
      <c r="H14" s="19">
        <f t="shared" si="1"/>
        <v>0.53115176081734983</v>
      </c>
    </row>
    <row r="15" spans="1:8">
      <c r="A15" s="71">
        <v>7</v>
      </c>
      <c r="B15" s="69">
        <v>10</v>
      </c>
      <c r="C15" s="16">
        <v>2</v>
      </c>
      <c r="D15" s="19">
        <v>0.81599999999999995</v>
      </c>
      <c r="E15" s="19">
        <v>0.81899999999999995</v>
      </c>
      <c r="F15" s="19">
        <v>0.83499999999999996</v>
      </c>
      <c r="G15" s="16">
        <f t="shared" si="0"/>
        <v>27.42159311684707</v>
      </c>
      <c r="H15" s="19">
        <f t="shared" si="1"/>
        <v>0.34019546924328786</v>
      </c>
    </row>
    <row r="16" spans="1:8">
      <c r="A16" s="71">
        <v>8</v>
      </c>
      <c r="B16" s="69">
        <v>11.333333333333334</v>
      </c>
      <c r="C16" s="16">
        <v>2</v>
      </c>
      <c r="D16" s="19">
        <v>1.071</v>
      </c>
      <c r="E16" s="19">
        <v>1.0880000000000001</v>
      </c>
      <c r="F16" s="19">
        <v>1.081</v>
      </c>
      <c r="G16" s="16">
        <f t="shared" si="0"/>
        <v>35.970024979184011</v>
      </c>
      <c r="H16" s="19">
        <f t="shared" si="1"/>
        <v>0.28456298901973659</v>
      </c>
    </row>
    <row r="17" spans="1:8">
      <c r="A17" s="71">
        <v>9</v>
      </c>
      <c r="B17" s="69">
        <v>12.666666666666666</v>
      </c>
      <c r="C17" s="16">
        <v>2</v>
      </c>
      <c r="D17" s="19">
        <v>1.4239999999999999</v>
      </c>
      <c r="E17" s="19">
        <v>1.444</v>
      </c>
      <c r="F17" s="19">
        <v>1.4330000000000001</v>
      </c>
      <c r="G17" s="16">
        <f t="shared" si="0"/>
        <v>47.749097973910636</v>
      </c>
      <c r="H17" s="19">
        <f t="shared" si="1"/>
        <v>0.33361041801424873</v>
      </c>
    </row>
    <row r="18" spans="1:8">
      <c r="A18" s="71">
        <v>10</v>
      </c>
      <c r="B18" s="69">
        <v>14</v>
      </c>
      <c r="C18" s="16">
        <v>2</v>
      </c>
      <c r="D18" s="19">
        <v>1.665</v>
      </c>
      <c r="E18" s="19">
        <v>1.7050000000000001</v>
      </c>
      <c r="F18" s="19">
        <v>1.653</v>
      </c>
      <c r="G18" s="16">
        <f t="shared" ref="G18:G23" si="2">(C18*1000*AVERAGE(D18:F18))/$B$2</f>
        <v>55.764640577296696</v>
      </c>
      <c r="H18" s="19">
        <f t="shared" ref="H18:H23" si="3">(C18*1000*STDEV(D18:F18))/$B$2</f>
        <v>0.90682555011544408</v>
      </c>
    </row>
    <row r="19" spans="1:8">
      <c r="A19" s="71">
        <v>11</v>
      </c>
      <c r="B19" s="69">
        <v>15.333333333333334</v>
      </c>
      <c r="C19" s="16">
        <v>2</v>
      </c>
      <c r="D19" s="19">
        <v>1.71</v>
      </c>
      <c r="E19" s="19">
        <v>1.7110000000000001</v>
      </c>
      <c r="F19" s="19">
        <v>1.7370000000000001</v>
      </c>
      <c r="G19" s="16">
        <f t="shared" si="2"/>
        <v>57.263391618096037</v>
      </c>
      <c r="H19" s="19">
        <f t="shared" si="3"/>
        <v>0.50984013336464373</v>
      </c>
    </row>
    <row r="20" spans="1:8">
      <c r="A20" s="71">
        <v>12</v>
      </c>
      <c r="B20" s="69">
        <v>16.666666666666668</v>
      </c>
      <c r="C20" s="16">
        <v>2</v>
      </c>
      <c r="D20" s="19">
        <v>1.7290000000000001</v>
      </c>
      <c r="E20" s="19">
        <v>1.77</v>
      </c>
      <c r="F20" s="19">
        <v>1.77</v>
      </c>
      <c r="G20" s="16">
        <f t="shared" si="2"/>
        <v>58.495698029419927</v>
      </c>
      <c r="H20" s="19">
        <f t="shared" si="3"/>
        <v>0.78838837757783897</v>
      </c>
    </row>
    <row r="21" spans="1:8">
      <c r="A21" s="71">
        <v>13</v>
      </c>
      <c r="B21" s="69">
        <v>18</v>
      </c>
      <c r="C21" s="16">
        <v>2</v>
      </c>
      <c r="D21" s="19">
        <v>1.7470000000000001</v>
      </c>
      <c r="E21" s="19">
        <v>1.7529999999999999</v>
      </c>
      <c r="F21" s="19">
        <v>1.756</v>
      </c>
      <c r="G21" s="16">
        <f t="shared" si="2"/>
        <v>58.351373855120734</v>
      </c>
      <c r="H21" s="19">
        <f t="shared" si="3"/>
        <v>0.1526253353857043</v>
      </c>
    </row>
    <row r="22" spans="1:8">
      <c r="A22" s="71">
        <v>14</v>
      </c>
      <c r="B22" s="69">
        <v>24</v>
      </c>
      <c r="C22" s="16">
        <v>2</v>
      </c>
      <c r="D22" s="19">
        <v>1.768</v>
      </c>
      <c r="E22" s="19">
        <v>1.752</v>
      </c>
      <c r="F22" s="19">
        <v>1.7390000000000001</v>
      </c>
      <c r="G22" s="16">
        <f t="shared" si="2"/>
        <v>58.384679433805168</v>
      </c>
      <c r="H22" s="19">
        <f t="shared" si="3"/>
        <v>0.48379147531503447</v>
      </c>
    </row>
    <row r="23" spans="1:8">
      <c r="A23" s="71">
        <v>15</v>
      </c>
      <c r="B23" s="69">
        <v>30.25</v>
      </c>
      <c r="C23" s="16">
        <v>2</v>
      </c>
      <c r="D23" s="19">
        <v>1.804</v>
      </c>
      <c r="E23" s="19">
        <v>1.8160000000000001</v>
      </c>
      <c r="F23" s="19">
        <v>1.8360000000000001</v>
      </c>
      <c r="G23" s="16">
        <f t="shared" si="2"/>
        <v>60.571745767416054</v>
      </c>
      <c r="H23" s="19">
        <f t="shared" si="3"/>
        <v>0.5384115749312085</v>
      </c>
    </row>
    <row r="24" spans="1:8">
      <c r="A24" s="71">
        <v>16</v>
      </c>
      <c r="B24" s="69">
        <v>48</v>
      </c>
      <c r="C24" s="16">
        <v>2</v>
      </c>
      <c r="D24" s="19">
        <v>1.881</v>
      </c>
      <c r="E24" s="19">
        <v>1.8779999999999999</v>
      </c>
      <c r="F24" s="19">
        <v>1.7809999999999999</v>
      </c>
      <c r="G24" s="16">
        <f t="shared" ref="G24" si="4">(C24*1000*AVERAGE(D24:F24))/$B$2</f>
        <v>61.50430197058008</v>
      </c>
      <c r="H24" s="19">
        <f t="shared" ref="H24" si="5">(C24*1000*STDEV(D24:F24))/$B$2</f>
        <v>1.8947137512686423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B7" sqref="B7:B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67</v>
      </c>
      <c r="B2" s="17">
        <v>74.08</v>
      </c>
    </row>
    <row r="4" spans="1:8">
      <c r="A4" s="157" t="s">
        <v>67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8" t="s">
        <v>4</v>
      </c>
      <c r="B6" s="28" t="s">
        <v>60</v>
      </c>
      <c r="C6" s="28" t="s">
        <v>19</v>
      </c>
      <c r="D6" s="162"/>
      <c r="E6" s="162"/>
      <c r="F6" s="162"/>
      <c r="G6" s="164"/>
      <c r="H6" s="164"/>
    </row>
    <row r="7" spans="1:8">
      <c r="A7" s="70">
        <v>0</v>
      </c>
      <c r="B7" s="66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71">
        <v>0</v>
      </c>
      <c r="B8" s="69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71">
        <v>1</v>
      </c>
      <c r="B9" s="69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71">
        <v>2</v>
      </c>
      <c r="B10" s="69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71">
        <v>3</v>
      </c>
      <c r="B11" s="69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71">
        <v>4</v>
      </c>
      <c r="B12" s="69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71">
        <v>5</v>
      </c>
      <c r="B13" s="69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71">
        <v>6</v>
      </c>
      <c r="B14" s="69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71">
        <v>7</v>
      </c>
      <c r="B15" s="69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71">
        <v>8</v>
      </c>
      <c r="B16" s="69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71">
        <v>9</v>
      </c>
      <c r="B17" s="69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71">
        <v>10</v>
      </c>
      <c r="B18" s="69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71">
        <v>11</v>
      </c>
      <c r="B19" s="69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71">
        <v>12</v>
      </c>
      <c r="B20" s="69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71">
        <v>13</v>
      </c>
      <c r="B21" s="69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71">
        <v>14</v>
      </c>
      <c r="B22" s="69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71">
        <v>15</v>
      </c>
      <c r="B23" s="69">
        <v>30.25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71">
        <v>16</v>
      </c>
      <c r="B24" s="69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66</v>
      </c>
      <c r="B2" s="17">
        <v>88.11</v>
      </c>
    </row>
    <row r="4" spans="1:8">
      <c r="A4" s="157" t="s">
        <v>66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8" t="s">
        <v>4</v>
      </c>
      <c r="B6" s="28" t="s">
        <v>60</v>
      </c>
      <c r="C6" s="28" t="s">
        <v>19</v>
      </c>
      <c r="D6" s="162"/>
      <c r="E6" s="162"/>
      <c r="F6" s="162"/>
      <c r="G6" s="164"/>
      <c r="H6" s="164"/>
    </row>
    <row r="7" spans="1:8">
      <c r="A7" s="70">
        <v>0</v>
      </c>
      <c r="B7" s="66">
        <v>-0.16666666666666666</v>
      </c>
      <c r="C7" s="16">
        <v>2</v>
      </c>
      <c r="D7" s="55">
        <v>0</v>
      </c>
      <c r="E7" s="56">
        <v>0</v>
      </c>
      <c r="F7" s="56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71">
        <v>0</v>
      </c>
      <c r="B8" s="69">
        <v>0.16666666666666666</v>
      </c>
      <c r="C8" s="16">
        <v>2</v>
      </c>
      <c r="D8" s="57">
        <v>1.7999999999999999E-2</v>
      </c>
      <c r="E8" s="58">
        <v>1.7999999999999999E-2</v>
      </c>
      <c r="F8" s="58">
        <v>1.9E-2</v>
      </c>
      <c r="G8" s="16">
        <f>(C8*1000*AVERAGE(D8:F8))/$B$2</f>
        <v>0.41614648356221379</v>
      </c>
      <c r="H8" s="19">
        <f t="shared" ref="H8:H17" si="0">(C8*1000*STDEV(D8:F8))/$B$2</f>
        <v>1.3105215507652396E-2</v>
      </c>
    </row>
    <row r="9" spans="1:8">
      <c r="A9" s="71">
        <v>1</v>
      </c>
      <c r="B9" s="69">
        <v>2</v>
      </c>
      <c r="C9" s="16">
        <v>2</v>
      </c>
      <c r="D9" s="57">
        <v>2.1000000000000001E-2</v>
      </c>
      <c r="E9" s="58">
        <v>2.3E-2</v>
      </c>
      <c r="F9" s="58">
        <v>2.4E-2</v>
      </c>
      <c r="G9" s="16">
        <f t="shared" ref="G9:G17" si="1">(C9*1000*AVERAGE(D9:F9))/$B$2</f>
        <v>0.51450837967691898</v>
      </c>
      <c r="H9" s="19">
        <f t="shared" si="0"/>
        <v>3.4673141111155284E-2</v>
      </c>
    </row>
    <row r="10" spans="1:8">
      <c r="A10" s="71">
        <v>2</v>
      </c>
      <c r="B10" s="69">
        <v>3.3333333333333335</v>
      </c>
      <c r="C10" s="16">
        <v>2</v>
      </c>
      <c r="D10" s="54">
        <v>0.03</v>
      </c>
      <c r="E10" s="54">
        <v>3.2000000000000001E-2</v>
      </c>
      <c r="F10" s="54">
        <v>3.1E-2</v>
      </c>
      <c r="G10" s="16">
        <f t="shared" si="1"/>
        <v>0.70366587220519805</v>
      </c>
      <c r="H10" s="19">
        <f t="shared" si="0"/>
        <v>2.2698899103393507E-2</v>
      </c>
    </row>
    <row r="11" spans="1:8">
      <c r="A11" s="71">
        <v>3</v>
      </c>
      <c r="B11" s="69">
        <v>4.666666666666667</v>
      </c>
      <c r="C11" s="16">
        <v>2</v>
      </c>
      <c r="D11" s="54">
        <v>8.2000000000000003E-2</v>
      </c>
      <c r="E11" s="54">
        <v>8.1000000000000003E-2</v>
      </c>
      <c r="F11" s="54">
        <v>8.1000000000000003E-2</v>
      </c>
      <c r="G11" s="16">
        <f t="shared" si="1"/>
        <v>1.8461771270760035</v>
      </c>
      <c r="H11" s="19">
        <f t="shared" si="0"/>
        <v>1.3105215507652396E-2</v>
      </c>
    </row>
    <row r="12" spans="1:8">
      <c r="A12" s="71">
        <v>4</v>
      </c>
      <c r="B12" s="69">
        <v>6</v>
      </c>
      <c r="C12" s="16">
        <v>2</v>
      </c>
      <c r="D12" s="54">
        <v>0.20399999999999999</v>
      </c>
      <c r="E12" s="54">
        <v>0.20499999999999999</v>
      </c>
      <c r="F12" s="54">
        <v>0.20399999999999999</v>
      </c>
      <c r="G12" s="16">
        <f t="shared" si="1"/>
        <v>4.6381417167934025</v>
      </c>
      <c r="H12" s="19">
        <f t="shared" si="0"/>
        <v>1.3105215507652396E-2</v>
      </c>
    </row>
    <row r="13" spans="1:8">
      <c r="A13" s="71">
        <v>5</v>
      </c>
      <c r="B13" s="69">
        <v>7.333333333333333</v>
      </c>
      <c r="C13" s="16">
        <v>2</v>
      </c>
      <c r="D13" s="54">
        <v>0.39800000000000002</v>
      </c>
      <c r="E13" s="54">
        <v>0.39300000000000002</v>
      </c>
      <c r="F13" s="54">
        <v>0.38900000000000001</v>
      </c>
      <c r="G13" s="16">
        <f t="shared" si="1"/>
        <v>8.9282336473347712</v>
      </c>
      <c r="H13" s="19">
        <f t="shared" si="0"/>
        <v>0.10235500517132899</v>
      </c>
    </row>
    <row r="14" spans="1:8">
      <c r="A14" s="71">
        <v>6</v>
      </c>
      <c r="B14" s="69">
        <v>8.6666666666666661</v>
      </c>
      <c r="C14" s="16">
        <v>2</v>
      </c>
      <c r="D14" s="54">
        <v>0.51900000000000002</v>
      </c>
      <c r="E14" s="54">
        <v>0.53700000000000003</v>
      </c>
      <c r="F14" s="54">
        <v>0.55600000000000005</v>
      </c>
      <c r="G14" s="16">
        <f t="shared" si="1"/>
        <v>12.196875118223433</v>
      </c>
      <c r="H14" s="19">
        <f t="shared" si="0"/>
        <v>0.41998075394780549</v>
      </c>
    </row>
    <row r="15" spans="1:8">
      <c r="A15" s="71">
        <v>7</v>
      </c>
      <c r="B15" s="69">
        <v>10</v>
      </c>
      <c r="C15" s="16">
        <v>2</v>
      </c>
      <c r="D15" s="54">
        <v>0.79200000000000004</v>
      </c>
      <c r="E15" s="54">
        <v>0.79600000000000004</v>
      </c>
      <c r="F15" s="54">
        <v>0.81399999999999995</v>
      </c>
      <c r="G15" s="16">
        <f t="shared" si="1"/>
        <v>18.174251882117051</v>
      </c>
      <c r="H15" s="19">
        <f t="shared" si="0"/>
        <v>0.26600682224865685</v>
      </c>
    </row>
    <row r="16" spans="1:8">
      <c r="A16" s="71">
        <v>8</v>
      </c>
      <c r="B16" s="69">
        <v>11.333333333333334</v>
      </c>
      <c r="C16" s="16">
        <v>2</v>
      </c>
      <c r="D16" s="54">
        <v>0.89100000000000001</v>
      </c>
      <c r="E16" s="54">
        <v>0.90100000000000002</v>
      </c>
      <c r="F16" s="54">
        <v>0.9</v>
      </c>
      <c r="G16" s="16">
        <f t="shared" si="1"/>
        <v>20.368478795445089</v>
      </c>
      <c r="H16" s="19">
        <f t="shared" si="0"/>
        <v>0.12501578815766898</v>
      </c>
    </row>
    <row r="17" spans="1:8">
      <c r="A17" s="71">
        <v>9</v>
      </c>
      <c r="B17" s="69">
        <v>12.666666666666666</v>
      </c>
      <c r="C17" s="16">
        <v>2</v>
      </c>
      <c r="D17" s="54">
        <v>0.94399999999999995</v>
      </c>
      <c r="E17" s="54">
        <v>0.95299999999999996</v>
      </c>
      <c r="F17" s="54">
        <v>0.95499999999999996</v>
      </c>
      <c r="G17" s="16">
        <f t="shared" si="1"/>
        <v>21.579086747626071</v>
      </c>
      <c r="H17" s="19">
        <f t="shared" si="0"/>
        <v>0.13300341112432915</v>
      </c>
    </row>
    <row r="18" spans="1:8">
      <c r="A18" s="71">
        <v>10</v>
      </c>
      <c r="B18" s="69">
        <v>14</v>
      </c>
      <c r="C18" s="16">
        <v>2</v>
      </c>
      <c r="D18" s="72">
        <v>0.96399999999999997</v>
      </c>
      <c r="E18" s="72">
        <v>0.97799999999999998</v>
      </c>
      <c r="F18" s="72">
        <v>0.96299999999999997</v>
      </c>
      <c r="G18" s="16">
        <f t="shared" ref="G18:G23" si="2">(C18*1000*AVERAGE(D18:F18))/$B$2</f>
        <v>21.980100631786023</v>
      </c>
      <c r="H18" s="19">
        <f t="shared" ref="H18:H23" si="3">(C18*1000*STDEV(D18:F18))/$B$2</f>
        <v>0.19036425113167837</v>
      </c>
    </row>
    <row r="19" spans="1:8">
      <c r="A19" s="71">
        <v>11</v>
      </c>
      <c r="B19" s="69">
        <v>15.333333333333334</v>
      </c>
      <c r="C19" s="16">
        <v>2</v>
      </c>
      <c r="D19" s="72">
        <v>0.97299999999999998</v>
      </c>
      <c r="E19" s="72">
        <v>0.97299999999999998</v>
      </c>
      <c r="F19" s="72">
        <v>0.97899999999999998</v>
      </c>
      <c r="G19" s="16">
        <f t="shared" si="2"/>
        <v>22.131426625808647</v>
      </c>
      <c r="H19" s="19">
        <f t="shared" si="3"/>
        <v>7.8631293045914374E-2</v>
      </c>
    </row>
    <row r="20" spans="1:8">
      <c r="A20" s="71">
        <v>12</v>
      </c>
      <c r="B20" s="69">
        <v>16.666666666666668</v>
      </c>
      <c r="C20" s="16">
        <v>2</v>
      </c>
      <c r="D20" s="72">
        <v>0.97699999999999998</v>
      </c>
      <c r="E20" s="72">
        <v>0.99099999999999999</v>
      </c>
      <c r="F20" s="72">
        <v>0.99199999999999999</v>
      </c>
      <c r="G20" s="16">
        <f t="shared" si="2"/>
        <v>22.396247115348242</v>
      </c>
      <c r="H20" s="19">
        <f t="shared" si="3"/>
        <v>0.19036425113167837</v>
      </c>
    </row>
    <row r="21" spans="1:8">
      <c r="A21" s="71">
        <v>13</v>
      </c>
      <c r="B21" s="69">
        <v>18</v>
      </c>
      <c r="C21" s="16">
        <v>2</v>
      </c>
      <c r="D21" s="59">
        <v>0.97199999999999998</v>
      </c>
      <c r="E21" s="72">
        <v>0.97899999999999998</v>
      </c>
      <c r="F21" s="72">
        <v>0.97099999999999997</v>
      </c>
      <c r="G21" s="16">
        <f t="shared" si="2"/>
        <v>22.108727726705258</v>
      </c>
      <c r="H21" s="19">
        <f t="shared" si="3"/>
        <v>9.8942207321318296E-2</v>
      </c>
    </row>
    <row r="22" spans="1:8">
      <c r="A22" s="71">
        <v>14</v>
      </c>
      <c r="B22" s="69">
        <v>24</v>
      </c>
      <c r="C22" s="16">
        <v>2</v>
      </c>
      <c r="D22" s="72">
        <v>1.0089999999999999</v>
      </c>
      <c r="E22" s="72">
        <v>0.999</v>
      </c>
      <c r="F22" s="72">
        <v>0.99</v>
      </c>
      <c r="G22" s="16">
        <f t="shared" si="2"/>
        <v>22.683766503991222</v>
      </c>
      <c r="H22" s="19">
        <f t="shared" si="3"/>
        <v>0.21573907508619047</v>
      </c>
    </row>
    <row r="23" spans="1:8">
      <c r="A23" s="71">
        <v>15</v>
      </c>
      <c r="B23" s="69">
        <v>30.25</v>
      </c>
      <c r="C23" s="16">
        <v>2</v>
      </c>
      <c r="D23" s="72">
        <v>1.038</v>
      </c>
      <c r="E23" s="72">
        <v>1.052</v>
      </c>
      <c r="F23" s="72">
        <v>1.05</v>
      </c>
      <c r="G23" s="16">
        <f t="shared" si="2"/>
        <v>23.758181061551849</v>
      </c>
      <c r="H23" s="19">
        <f t="shared" si="3"/>
        <v>0.17187329007831961</v>
      </c>
    </row>
    <row r="24" spans="1:8">
      <c r="A24" s="71">
        <v>16</v>
      </c>
      <c r="B24" s="69">
        <v>48</v>
      </c>
      <c r="C24" s="16">
        <v>2</v>
      </c>
      <c r="D24" s="72">
        <v>1.081</v>
      </c>
      <c r="E24" s="72">
        <v>1.0820000000000001</v>
      </c>
      <c r="F24" s="72">
        <v>1.0269999999999999</v>
      </c>
      <c r="G24" s="16">
        <f t="shared" ref="G24" si="4">(C24*1000*AVERAGE(D24:F24))/$B$2</f>
        <v>24.136496046608411</v>
      </c>
      <c r="H24" s="19">
        <f t="shared" ref="H24" si="5">(C24*1000*STDEV(D24:F24))/$B$2</f>
        <v>0.71432441297668203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4" sqref="A4:D20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31" t="s">
        <v>4</v>
      </c>
      <c r="B1" s="131" t="s">
        <v>117</v>
      </c>
      <c r="C1" s="131" t="s">
        <v>117</v>
      </c>
      <c r="D1" s="131" t="s">
        <v>5</v>
      </c>
      <c r="E1" s="4" t="s">
        <v>7</v>
      </c>
      <c r="F1" s="4" t="s">
        <v>9</v>
      </c>
      <c r="G1" s="130" t="s">
        <v>11</v>
      </c>
      <c r="H1" s="130" t="s">
        <v>12</v>
      </c>
      <c r="I1" s="4" t="s">
        <v>13</v>
      </c>
      <c r="J1" s="4" t="s">
        <v>16</v>
      </c>
      <c r="K1" s="4" t="s">
        <v>16</v>
      </c>
    </row>
    <row r="2" spans="1:11">
      <c r="A2" s="132"/>
      <c r="B2" s="132"/>
      <c r="C2" s="132"/>
      <c r="D2" s="132"/>
      <c r="E2" s="5" t="s">
        <v>8</v>
      </c>
      <c r="F2" s="5" t="s">
        <v>10</v>
      </c>
      <c r="G2" s="130"/>
      <c r="H2" s="130"/>
      <c r="I2" s="5" t="s">
        <v>14</v>
      </c>
      <c r="J2" s="5" t="s">
        <v>17</v>
      </c>
      <c r="K2" s="5" t="s">
        <v>138</v>
      </c>
    </row>
    <row r="3" spans="1:11">
      <c r="A3" s="32" t="s">
        <v>6</v>
      </c>
      <c r="B3" s="31">
        <v>-10</v>
      </c>
      <c r="C3" s="31">
        <f>B3</f>
        <v>-10</v>
      </c>
      <c r="D3" s="13">
        <f>C3/60</f>
        <v>-0.16666666666666666</v>
      </c>
      <c r="E3" s="67">
        <v>51</v>
      </c>
      <c r="F3" s="13">
        <f>E3</f>
        <v>51</v>
      </c>
      <c r="G3" s="1">
        <v>1</v>
      </c>
      <c r="H3" s="1">
        <v>0</v>
      </c>
      <c r="I3" s="13">
        <f>$F$22+G3+H3</f>
        <v>1501</v>
      </c>
      <c r="J3" s="13">
        <f>F3*1500/I3</f>
        <v>50.966022651565623</v>
      </c>
      <c r="K3" s="13">
        <f>$F$23-J3</f>
        <v>1599.0339773484343</v>
      </c>
    </row>
    <row r="4" spans="1:11">
      <c r="A4" s="1">
        <v>0</v>
      </c>
      <c r="B4" s="31">
        <v>10</v>
      </c>
      <c r="C4" s="31">
        <f>B4</f>
        <v>10</v>
      </c>
      <c r="D4" s="13">
        <f t="shared" ref="D4:D18" si="0">C4/60</f>
        <v>0.16666666666666666</v>
      </c>
      <c r="E4" s="67">
        <v>55</v>
      </c>
      <c r="F4" s="13">
        <f>F3+E4</f>
        <v>106</v>
      </c>
      <c r="G4" s="39">
        <v>2</v>
      </c>
      <c r="H4" s="39">
        <v>0</v>
      </c>
      <c r="I4" s="13">
        <f t="shared" ref="I4:I20" si="1">$F$23-F3+G4+H4</f>
        <v>1601</v>
      </c>
      <c r="J4" s="13">
        <f>E4*K3/I4</f>
        <v>54.932460183737589</v>
      </c>
      <c r="K4" s="13">
        <f>K3-J4</f>
        <v>1544.1015171646968</v>
      </c>
    </row>
    <row r="5" spans="1:11">
      <c r="A5" s="1">
        <v>1</v>
      </c>
      <c r="B5" s="31">
        <v>110</v>
      </c>
      <c r="C5" s="31">
        <f>C4+B5</f>
        <v>120</v>
      </c>
      <c r="D5" s="13">
        <f t="shared" si="0"/>
        <v>2</v>
      </c>
      <c r="E5" s="67">
        <v>40</v>
      </c>
      <c r="F5" s="13">
        <f>F4+E5</f>
        <v>146</v>
      </c>
      <c r="G5" s="39">
        <v>3</v>
      </c>
      <c r="H5" s="39">
        <v>0</v>
      </c>
      <c r="I5" s="13">
        <f t="shared" si="1"/>
        <v>1547</v>
      </c>
      <c r="J5" s="13">
        <f>E5*K4/I5</f>
        <v>39.925055388873865</v>
      </c>
      <c r="K5" s="13">
        <f>K4-J5</f>
        <v>1504.1764617758229</v>
      </c>
    </row>
    <row r="6" spans="1:11">
      <c r="A6" s="1">
        <v>2</v>
      </c>
      <c r="B6" s="31">
        <v>80</v>
      </c>
      <c r="C6" s="31">
        <f>C5+B6</f>
        <v>200</v>
      </c>
      <c r="D6" s="13">
        <f t="shared" si="0"/>
        <v>3.3333333333333335</v>
      </c>
      <c r="E6" s="1">
        <v>41</v>
      </c>
      <c r="F6" s="13">
        <f t="shared" ref="F6:F19" si="2">F5+E6</f>
        <v>187</v>
      </c>
      <c r="G6" s="39">
        <v>4</v>
      </c>
      <c r="H6" s="39">
        <v>0</v>
      </c>
      <c r="I6" s="13">
        <f t="shared" si="1"/>
        <v>1508</v>
      </c>
      <c r="J6" s="13">
        <f>E6*K5/I6</f>
        <v>40.896044385151683</v>
      </c>
      <c r="K6" s="13">
        <f t="shared" ref="K6:K13" si="3">K5-J6</f>
        <v>1463.2804173906711</v>
      </c>
    </row>
    <row r="7" spans="1:11">
      <c r="A7" s="1">
        <v>3</v>
      </c>
      <c r="B7" s="31">
        <v>80</v>
      </c>
      <c r="C7" s="31">
        <f>C6+B7</f>
        <v>280</v>
      </c>
      <c r="D7" s="13">
        <f t="shared" si="0"/>
        <v>4.666666666666667</v>
      </c>
      <c r="E7" s="1">
        <v>51</v>
      </c>
      <c r="F7" s="13">
        <f t="shared" si="2"/>
        <v>238</v>
      </c>
      <c r="G7" s="39">
        <v>8</v>
      </c>
      <c r="H7" s="39">
        <v>0</v>
      </c>
      <c r="I7" s="13">
        <f t="shared" si="1"/>
        <v>1471</v>
      </c>
      <c r="J7" s="13">
        <f>E7*K6/I7</f>
        <v>50.73235981436045</v>
      </c>
      <c r="K7" s="13">
        <f>K6-J7</f>
        <v>1412.5480575763106</v>
      </c>
    </row>
    <row r="8" spans="1:11">
      <c r="A8" s="1">
        <v>4</v>
      </c>
      <c r="B8" s="31">
        <v>80</v>
      </c>
      <c r="C8" s="31">
        <f t="shared" ref="C8:C18" si="4">C7+B8</f>
        <v>360</v>
      </c>
      <c r="D8" s="13">
        <f t="shared" si="0"/>
        <v>6</v>
      </c>
      <c r="E8" s="1">
        <v>49</v>
      </c>
      <c r="F8" s="13">
        <f t="shared" si="2"/>
        <v>287</v>
      </c>
      <c r="G8" s="39">
        <v>15</v>
      </c>
      <c r="H8" s="39">
        <v>0</v>
      </c>
      <c r="I8" s="13">
        <f t="shared" si="1"/>
        <v>1427</v>
      </c>
      <c r="J8" s="13">
        <f t="shared" ref="J8:J13" si="5">E8*K7/I8</f>
        <v>48.503752502620337</v>
      </c>
      <c r="K8" s="13">
        <f t="shared" si="3"/>
        <v>1364.0443050736903</v>
      </c>
    </row>
    <row r="9" spans="1:11">
      <c r="A9" s="1">
        <v>5</v>
      </c>
      <c r="B9" s="31">
        <v>80</v>
      </c>
      <c r="C9" s="31">
        <f t="shared" si="4"/>
        <v>440</v>
      </c>
      <c r="D9" s="13">
        <f t="shared" si="0"/>
        <v>7.333333333333333</v>
      </c>
      <c r="E9" s="1">
        <v>50</v>
      </c>
      <c r="F9" s="13">
        <f t="shared" si="2"/>
        <v>337</v>
      </c>
      <c r="G9" s="39">
        <v>28</v>
      </c>
      <c r="H9" s="39">
        <v>0</v>
      </c>
      <c r="I9" s="13">
        <f t="shared" si="1"/>
        <v>1391</v>
      </c>
      <c r="J9" s="13">
        <f t="shared" si="5"/>
        <v>49.031067759658178</v>
      </c>
      <c r="K9" s="13">
        <f t="shared" si="3"/>
        <v>1315.0132373140323</v>
      </c>
    </row>
    <row r="10" spans="1:11">
      <c r="A10" s="1">
        <v>6</v>
      </c>
      <c r="B10" s="31">
        <v>80</v>
      </c>
      <c r="C10" s="31">
        <f t="shared" si="4"/>
        <v>520</v>
      </c>
      <c r="D10" s="13">
        <f t="shared" si="0"/>
        <v>8.6666666666666661</v>
      </c>
      <c r="E10" s="1">
        <v>45</v>
      </c>
      <c r="F10" s="13">
        <f t="shared" si="2"/>
        <v>382</v>
      </c>
      <c r="G10" s="39">
        <v>43</v>
      </c>
      <c r="H10" s="39">
        <v>0</v>
      </c>
      <c r="I10" s="13">
        <f t="shared" si="1"/>
        <v>1356</v>
      </c>
      <c r="J10" s="13">
        <f t="shared" si="5"/>
        <v>43.639819822368331</v>
      </c>
      <c r="K10" s="13">
        <f t="shared" si="3"/>
        <v>1271.373417491664</v>
      </c>
    </row>
    <row r="11" spans="1:11">
      <c r="A11" s="1">
        <v>7</v>
      </c>
      <c r="B11" s="31">
        <v>80</v>
      </c>
      <c r="C11" s="31">
        <f t="shared" si="4"/>
        <v>600</v>
      </c>
      <c r="D11" s="13">
        <f t="shared" si="0"/>
        <v>10</v>
      </c>
      <c r="E11" s="1">
        <v>45</v>
      </c>
      <c r="F11" s="13">
        <f t="shared" si="2"/>
        <v>427</v>
      </c>
      <c r="G11" s="39">
        <v>60</v>
      </c>
      <c r="H11" s="39">
        <v>0</v>
      </c>
      <c r="I11" s="13">
        <f t="shared" si="1"/>
        <v>1328</v>
      </c>
      <c r="J11" s="13">
        <f t="shared" si="5"/>
        <v>43.081177550545846</v>
      </c>
      <c r="K11" s="13">
        <f t="shared" si="3"/>
        <v>1228.2922399411182</v>
      </c>
    </row>
    <row r="12" spans="1:11">
      <c r="A12" s="1">
        <v>8</v>
      </c>
      <c r="B12" s="31">
        <v>80</v>
      </c>
      <c r="C12" s="31">
        <f t="shared" si="4"/>
        <v>680</v>
      </c>
      <c r="D12" s="13">
        <f t="shared" si="0"/>
        <v>11.333333333333334</v>
      </c>
      <c r="E12" s="1">
        <v>43</v>
      </c>
      <c r="F12" s="13">
        <f t="shared" si="2"/>
        <v>470</v>
      </c>
      <c r="G12" s="39">
        <v>71</v>
      </c>
      <c r="H12" s="39">
        <v>0</v>
      </c>
      <c r="I12" s="13">
        <f t="shared" si="1"/>
        <v>1294</v>
      </c>
      <c r="J12" s="13">
        <f t="shared" si="5"/>
        <v>40.816511837301455</v>
      </c>
      <c r="K12" s="13">
        <f t="shared" si="3"/>
        <v>1187.4757281038167</v>
      </c>
    </row>
    <row r="13" spans="1:11">
      <c r="A13" s="1">
        <v>9</v>
      </c>
      <c r="B13" s="31">
        <v>80</v>
      </c>
      <c r="C13" s="31">
        <f t="shared" si="4"/>
        <v>760</v>
      </c>
      <c r="D13" s="13">
        <f>C13/60</f>
        <v>12.666666666666666</v>
      </c>
      <c r="E13" s="1">
        <v>44</v>
      </c>
      <c r="F13" s="13">
        <f t="shared" si="2"/>
        <v>514</v>
      </c>
      <c r="G13" s="39">
        <v>82</v>
      </c>
      <c r="H13" s="39">
        <v>0</v>
      </c>
      <c r="I13" s="13">
        <f t="shared" si="1"/>
        <v>1262</v>
      </c>
      <c r="J13" s="13">
        <f t="shared" si="5"/>
        <v>41.401689410909611</v>
      </c>
      <c r="K13" s="13">
        <f t="shared" si="3"/>
        <v>1146.0740386929072</v>
      </c>
    </row>
    <row r="14" spans="1:11">
      <c r="A14" s="36">
        <v>10</v>
      </c>
      <c r="B14" s="31">
        <v>80</v>
      </c>
      <c r="C14" s="31">
        <f t="shared" si="4"/>
        <v>840</v>
      </c>
      <c r="D14" s="13">
        <f t="shared" si="0"/>
        <v>14</v>
      </c>
      <c r="E14" s="3">
        <v>46</v>
      </c>
      <c r="F14" s="13">
        <f t="shared" si="2"/>
        <v>560</v>
      </c>
      <c r="G14" s="39">
        <v>89</v>
      </c>
      <c r="H14" s="39">
        <v>0</v>
      </c>
      <c r="I14" s="13">
        <f t="shared" si="1"/>
        <v>1225</v>
      </c>
      <c r="J14" s="13">
        <f t="shared" ref="J14:J19" si="6">E14*K13/I14</f>
        <v>43.036249616223451</v>
      </c>
      <c r="K14" s="13">
        <f t="shared" ref="K14:K19" si="7">K13-J14</f>
        <v>1103.0377890766838</v>
      </c>
    </row>
    <row r="15" spans="1:11">
      <c r="A15" s="36">
        <v>11</v>
      </c>
      <c r="B15" s="31">
        <v>80</v>
      </c>
      <c r="C15" s="31">
        <f t="shared" si="4"/>
        <v>920</v>
      </c>
      <c r="D15" s="13">
        <f t="shared" si="0"/>
        <v>15.333333333333334</v>
      </c>
      <c r="E15" s="36">
        <v>46</v>
      </c>
      <c r="F15" s="13">
        <f t="shared" si="2"/>
        <v>606</v>
      </c>
      <c r="G15" s="39">
        <v>89</v>
      </c>
      <c r="H15" s="39">
        <v>0</v>
      </c>
      <c r="I15" s="13">
        <f t="shared" si="1"/>
        <v>1179</v>
      </c>
      <c r="J15" s="13">
        <f t="shared" si="6"/>
        <v>43.036249616223451</v>
      </c>
      <c r="K15" s="13">
        <f t="shared" si="7"/>
        <v>1060.0015394604604</v>
      </c>
    </row>
    <row r="16" spans="1:11">
      <c r="A16" s="36">
        <v>12</v>
      </c>
      <c r="B16" s="31">
        <v>80</v>
      </c>
      <c r="C16" s="31">
        <f t="shared" si="4"/>
        <v>1000</v>
      </c>
      <c r="D16" s="13">
        <f t="shared" si="0"/>
        <v>16.666666666666668</v>
      </c>
      <c r="E16" s="36">
        <v>53</v>
      </c>
      <c r="F16" s="13">
        <f t="shared" si="2"/>
        <v>659</v>
      </c>
      <c r="G16" s="39">
        <v>89</v>
      </c>
      <c r="H16" s="39">
        <v>1</v>
      </c>
      <c r="I16" s="13">
        <f t="shared" si="1"/>
        <v>1134</v>
      </c>
      <c r="J16" s="13">
        <f t="shared" si="6"/>
        <v>49.541518158204937</v>
      </c>
      <c r="K16" s="13">
        <f t="shared" si="7"/>
        <v>1010.4600213022555</v>
      </c>
    </row>
    <row r="17" spans="1:11">
      <c r="A17" s="36">
        <v>13</v>
      </c>
      <c r="B17" s="31">
        <v>80</v>
      </c>
      <c r="C17" s="31">
        <f t="shared" si="4"/>
        <v>1080</v>
      </c>
      <c r="D17" s="13">
        <f t="shared" si="0"/>
        <v>18</v>
      </c>
      <c r="E17" s="36">
        <v>51</v>
      </c>
      <c r="F17" s="13">
        <f t="shared" si="2"/>
        <v>710</v>
      </c>
      <c r="G17" s="39">
        <v>89</v>
      </c>
      <c r="H17" s="39">
        <v>1</v>
      </c>
      <c r="I17" s="13">
        <f t="shared" si="1"/>
        <v>1081</v>
      </c>
      <c r="J17" s="13">
        <f t="shared" si="6"/>
        <v>47.672026906951928</v>
      </c>
      <c r="K17" s="13">
        <f t="shared" si="7"/>
        <v>962.7879943953036</v>
      </c>
    </row>
    <row r="18" spans="1:11">
      <c r="A18" s="36">
        <v>14</v>
      </c>
      <c r="B18" s="31">
        <v>360</v>
      </c>
      <c r="C18" s="31">
        <f t="shared" si="4"/>
        <v>1440</v>
      </c>
      <c r="D18" s="13">
        <f t="shared" si="0"/>
        <v>24</v>
      </c>
      <c r="E18" s="36">
        <v>60</v>
      </c>
      <c r="F18" s="13">
        <f t="shared" si="2"/>
        <v>770</v>
      </c>
      <c r="G18" s="39">
        <v>89</v>
      </c>
      <c r="H18" s="39">
        <v>3</v>
      </c>
      <c r="I18" s="13">
        <f t="shared" si="1"/>
        <v>1032</v>
      </c>
      <c r="J18" s="13">
        <f t="shared" si="6"/>
        <v>55.97604618577347</v>
      </c>
      <c r="K18" s="13">
        <f t="shared" si="7"/>
        <v>906.8119482095301</v>
      </c>
    </row>
    <row r="19" spans="1:11">
      <c r="A19" s="36">
        <v>15</v>
      </c>
      <c r="B19" s="31">
        <v>375</v>
      </c>
      <c r="C19" s="31">
        <f>C18+B19</f>
        <v>1815</v>
      </c>
      <c r="D19" s="13">
        <f>C19/60</f>
        <v>30.25</v>
      </c>
      <c r="E19" s="36">
        <v>50</v>
      </c>
      <c r="F19" s="13">
        <f t="shared" si="2"/>
        <v>820</v>
      </c>
      <c r="G19" s="39">
        <v>89</v>
      </c>
      <c r="H19" s="39">
        <v>3</v>
      </c>
      <c r="I19" s="13">
        <f t="shared" si="1"/>
        <v>972</v>
      </c>
      <c r="J19" s="13">
        <f t="shared" si="6"/>
        <v>46.646705154811215</v>
      </c>
      <c r="K19" s="13">
        <f t="shared" si="7"/>
        <v>860.16524305471887</v>
      </c>
    </row>
    <row r="20" spans="1:11">
      <c r="A20" s="39">
        <v>16</v>
      </c>
      <c r="B20" s="31">
        <v>1065</v>
      </c>
      <c r="C20" s="31">
        <f>C19+B20</f>
        <v>2880</v>
      </c>
      <c r="D20" s="13">
        <f t="shared" ref="D20" si="8">C20/60</f>
        <v>48</v>
      </c>
      <c r="E20" s="39">
        <v>68</v>
      </c>
      <c r="F20" s="13">
        <f>F19+E20</f>
        <v>888</v>
      </c>
      <c r="G20" s="39">
        <v>89</v>
      </c>
      <c r="H20" s="39">
        <v>4</v>
      </c>
      <c r="I20" s="13">
        <f t="shared" si="1"/>
        <v>923</v>
      </c>
      <c r="J20" s="13">
        <f t="shared" ref="J20" si="9">E20*K19/I20</f>
        <v>63.370787137292396</v>
      </c>
      <c r="K20" s="13">
        <f t="shared" ref="K20" si="10">K19-J20</f>
        <v>796.79445591742649</v>
      </c>
    </row>
    <row r="22" spans="1:11">
      <c r="A22" s="127" t="s">
        <v>15</v>
      </c>
      <c r="B22" s="128"/>
      <c r="C22" s="128"/>
      <c r="D22" s="128"/>
      <c r="E22" s="129"/>
      <c r="F22" s="1">
        <v>1500</v>
      </c>
    </row>
    <row r="23" spans="1:11">
      <c r="A23" s="127" t="s">
        <v>15</v>
      </c>
      <c r="B23" s="128"/>
      <c r="C23" s="128"/>
      <c r="D23" s="128"/>
      <c r="E23" s="129"/>
      <c r="F23" s="39">
        <v>1650</v>
      </c>
    </row>
  </sheetData>
  <mergeCells count="8">
    <mergeCell ref="A23:E23"/>
    <mergeCell ref="A1:A2"/>
    <mergeCell ref="D1:D2"/>
    <mergeCell ref="G1:G2"/>
    <mergeCell ref="H1:H2"/>
    <mergeCell ref="A22:E22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57" t="s">
        <v>42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2" t="s">
        <v>4</v>
      </c>
      <c r="B6" s="22" t="s">
        <v>60</v>
      </c>
      <c r="C6" s="22" t="s">
        <v>19</v>
      </c>
      <c r="D6" s="162"/>
      <c r="E6" s="162"/>
      <c r="F6" s="162"/>
      <c r="G6" s="164"/>
      <c r="H6" s="164"/>
    </row>
    <row r="7" spans="1:8">
      <c r="A7" s="70">
        <v>0</v>
      </c>
      <c r="B7" s="66">
        <v>0</v>
      </c>
      <c r="C7" s="16">
        <v>2</v>
      </c>
      <c r="D7" s="41">
        <v>4.1000000000000002E-2</v>
      </c>
      <c r="E7" s="41">
        <v>0.04</v>
      </c>
      <c r="F7" s="41">
        <v>0.04</v>
      </c>
      <c r="G7" s="16">
        <f>(C7*1000*AVERAGE(D7:F7))/$B$2</f>
        <v>0.89550029603315562</v>
      </c>
      <c r="H7" s="19">
        <f>(C7*1000*STDEV(D7:F7))/$B$2</f>
        <v>1.2818611660515681E-2</v>
      </c>
    </row>
    <row r="8" spans="1:8">
      <c r="A8" s="71">
        <v>0</v>
      </c>
      <c r="B8" s="69">
        <v>0</v>
      </c>
      <c r="C8" s="16">
        <v>2</v>
      </c>
      <c r="D8" s="41">
        <v>4.2999999999999997E-2</v>
      </c>
      <c r="E8" s="41">
        <v>4.2999999999999997E-2</v>
      </c>
      <c r="F8" s="41">
        <v>4.1000000000000002E-2</v>
      </c>
      <c r="G8" s="16">
        <f t="shared" ref="G8:G23" si="0">(C8*1000*AVERAGE(D8:F8))/$B$2</f>
        <v>0.93990526939017172</v>
      </c>
      <c r="H8" s="19">
        <f t="shared" ref="H8:H23" si="1">(C8*1000*STDEV(D8:F8))/$B$2</f>
        <v>2.5637223321031275E-2</v>
      </c>
    </row>
    <row r="9" spans="1:8">
      <c r="A9" s="71">
        <v>1</v>
      </c>
      <c r="B9" s="69">
        <v>2</v>
      </c>
      <c r="C9" s="16">
        <v>2</v>
      </c>
      <c r="D9" s="41">
        <v>4.3999999999999997E-2</v>
      </c>
      <c r="E9" s="41">
        <v>4.3999999999999997E-2</v>
      </c>
      <c r="F9" s="41">
        <v>4.3999999999999997E-2</v>
      </c>
      <c r="G9" s="16">
        <f t="shared" si="0"/>
        <v>0.97690941385435182</v>
      </c>
      <c r="H9" s="19">
        <f t="shared" si="1"/>
        <v>1.8868505155285834E-16</v>
      </c>
    </row>
    <row r="10" spans="1:8">
      <c r="A10" s="71">
        <v>2</v>
      </c>
      <c r="B10" s="69">
        <v>3</v>
      </c>
      <c r="C10" s="16">
        <v>2</v>
      </c>
      <c r="D10" s="54">
        <v>4.4999999999999998E-2</v>
      </c>
      <c r="E10" s="54">
        <v>4.5999999999999999E-2</v>
      </c>
      <c r="F10" s="54">
        <v>4.7E-2</v>
      </c>
      <c r="G10" s="16">
        <f t="shared" si="0"/>
        <v>1.0213143872113679</v>
      </c>
      <c r="H10" s="19">
        <f t="shared" si="1"/>
        <v>2.2202486678508014E-2</v>
      </c>
    </row>
    <row r="11" spans="1:8">
      <c r="A11" s="71">
        <v>3</v>
      </c>
      <c r="B11" s="69">
        <v>5</v>
      </c>
      <c r="C11" s="16">
        <v>2</v>
      </c>
      <c r="D11" s="54">
        <v>4.8000000000000001E-2</v>
      </c>
      <c r="E11" s="54">
        <v>4.9000000000000002E-2</v>
      </c>
      <c r="F11" s="54">
        <v>4.7E-2</v>
      </c>
      <c r="G11" s="16">
        <f t="shared" si="0"/>
        <v>1.0657193605683839</v>
      </c>
      <c r="H11" s="19">
        <f t="shared" si="1"/>
        <v>2.2202486678508014E-2</v>
      </c>
    </row>
    <row r="12" spans="1:8">
      <c r="A12" s="71">
        <v>4</v>
      </c>
      <c r="B12" s="69">
        <v>6</v>
      </c>
      <c r="C12" s="16">
        <v>2</v>
      </c>
      <c r="D12" s="54">
        <v>4.9000000000000002E-2</v>
      </c>
      <c r="E12" s="54">
        <v>5.0999999999999997E-2</v>
      </c>
      <c r="F12" s="54">
        <v>4.8000000000000001E-2</v>
      </c>
      <c r="G12" s="16">
        <f t="shared" si="0"/>
        <v>1.0953226761397279</v>
      </c>
      <c r="H12" s="19">
        <f t="shared" si="1"/>
        <v>3.3914858606837128E-2</v>
      </c>
    </row>
    <row r="13" spans="1:8">
      <c r="A13" s="71">
        <v>5</v>
      </c>
      <c r="B13" s="69">
        <v>7</v>
      </c>
      <c r="C13" s="16">
        <v>2</v>
      </c>
      <c r="D13" s="54">
        <v>4.7E-2</v>
      </c>
      <c r="E13" s="54">
        <v>4.7E-2</v>
      </c>
      <c r="F13" s="54">
        <v>4.7E-2</v>
      </c>
      <c r="G13" s="16">
        <f t="shared" si="0"/>
        <v>1.0435168738898759</v>
      </c>
      <c r="H13" s="19">
        <f t="shared" si="1"/>
        <v>1.8868505155285834E-16</v>
      </c>
    </row>
    <row r="14" spans="1:8">
      <c r="A14" s="71">
        <v>6</v>
      </c>
      <c r="B14" s="69">
        <v>9</v>
      </c>
      <c r="C14" s="16">
        <v>2</v>
      </c>
      <c r="D14" s="54">
        <v>4.4999999999999998E-2</v>
      </c>
      <c r="E14" s="54">
        <v>4.8000000000000001E-2</v>
      </c>
      <c r="F14" s="54">
        <v>4.8000000000000001E-2</v>
      </c>
      <c r="G14" s="16">
        <f t="shared" si="0"/>
        <v>1.0435168738898759</v>
      </c>
      <c r="H14" s="19">
        <f t="shared" si="1"/>
        <v>3.8455834981547039E-2</v>
      </c>
    </row>
    <row r="15" spans="1:8">
      <c r="A15" s="71">
        <v>7</v>
      </c>
      <c r="B15" s="69">
        <v>10</v>
      </c>
      <c r="C15" s="16">
        <v>2</v>
      </c>
      <c r="D15" s="54">
        <v>4.7E-2</v>
      </c>
      <c r="E15" s="54">
        <v>4.8000000000000001E-2</v>
      </c>
      <c r="F15" s="54">
        <v>4.8000000000000001E-2</v>
      </c>
      <c r="G15" s="16">
        <f t="shared" si="0"/>
        <v>1.0583185316755477</v>
      </c>
      <c r="H15" s="19">
        <f t="shared" si="1"/>
        <v>1.2818611660515681E-2</v>
      </c>
    </row>
    <row r="16" spans="1:8">
      <c r="A16" s="71">
        <v>8</v>
      </c>
      <c r="B16" s="69">
        <v>11</v>
      </c>
      <c r="C16" s="16">
        <v>2</v>
      </c>
      <c r="D16" s="54">
        <v>0.05</v>
      </c>
      <c r="E16" s="54">
        <v>5.1999999999999998E-2</v>
      </c>
      <c r="F16" s="54">
        <v>5.0999999999999997E-2</v>
      </c>
      <c r="G16" s="16">
        <f t="shared" si="0"/>
        <v>1.1323268206039077</v>
      </c>
      <c r="H16" s="19">
        <f t="shared" si="1"/>
        <v>2.2202486678507938E-2</v>
      </c>
    </row>
    <row r="17" spans="1:8">
      <c r="A17" s="71">
        <v>9</v>
      </c>
      <c r="B17" s="69">
        <v>13</v>
      </c>
      <c r="C17" s="16">
        <v>2</v>
      </c>
      <c r="D17" s="54">
        <v>0.09</v>
      </c>
      <c r="E17" s="54">
        <v>9.1999999999999998E-2</v>
      </c>
      <c r="F17" s="54">
        <v>9.1999999999999998E-2</v>
      </c>
      <c r="G17" s="16">
        <f t="shared" si="0"/>
        <v>2.0278271166370634</v>
      </c>
      <c r="H17" s="19">
        <f t="shared" si="1"/>
        <v>2.5637223321031362E-2</v>
      </c>
    </row>
    <row r="18" spans="1:8">
      <c r="A18" s="71">
        <v>10</v>
      </c>
      <c r="B18" s="69">
        <v>14</v>
      </c>
      <c r="C18" s="16">
        <v>2</v>
      </c>
      <c r="D18" s="41">
        <v>0.16600000000000001</v>
      </c>
      <c r="E18" s="41">
        <v>0.16900000000000001</v>
      </c>
      <c r="F18" s="41">
        <v>0.16500000000000001</v>
      </c>
      <c r="G18" s="16">
        <f t="shared" si="0"/>
        <v>3.7004144464179989</v>
      </c>
      <c r="H18" s="19">
        <f t="shared" si="1"/>
        <v>4.6218161622249884E-2</v>
      </c>
    </row>
    <row r="19" spans="1:8">
      <c r="A19" s="71">
        <v>11</v>
      </c>
      <c r="B19" s="69">
        <v>15</v>
      </c>
      <c r="C19" s="16">
        <v>2</v>
      </c>
      <c r="D19" s="54">
        <v>0.16600000000000001</v>
      </c>
      <c r="E19" s="54">
        <v>0.16600000000000001</v>
      </c>
      <c r="F19" s="54">
        <v>0.16700000000000001</v>
      </c>
      <c r="G19" s="16">
        <f t="shared" si="0"/>
        <v>3.6930136175251631</v>
      </c>
      <c r="H19" s="19">
        <f t="shared" si="1"/>
        <v>1.2818611660515681E-2</v>
      </c>
    </row>
    <row r="20" spans="1:8">
      <c r="A20" s="71">
        <v>12</v>
      </c>
      <c r="B20" s="69">
        <v>17</v>
      </c>
      <c r="C20" s="16">
        <v>2</v>
      </c>
      <c r="D20" s="54">
        <v>0.16800000000000001</v>
      </c>
      <c r="E20" s="54">
        <v>0.17</v>
      </c>
      <c r="F20" s="54">
        <v>0.17100000000000001</v>
      </c>
      <c r="G20" s="16">
        <f t="shared" si="0"/>
        <v>3.7670219064535226</v>
      </c>
      <c r="H20" s="19">
        <f t="shared" si="1"/>
        <v>3.3914858606837212E-2</v>
      </c>
    </row>
    <row r="21" spans="1:8">
      <c r="A21" s="71">
        <v>13</v>
      </c>
      <c r="B21" s="69">
        <v>18</v>
      </c>
      <c r="C21" s="16">
        <v>2</v>
      </c>
      <c r="D21" s="54">
        <v>0.16800000000000001</v>
      </c>
      <c r="E21" s="54">
        <v>0.17299999999999999</v>
      </c>
      <c r="F21" s="54">
        <v>0.17</v>
      </c>
      <c r="G21" s="16">
        <f t="shared" si="0"/>
        <v>3.7818235642391951</v>
      </c>
      <c r="H21" s="19">
        <f t="shared" si="1"/>
        <v>5.5875032824679642E-2</v>
      </c>
    </row>
    <row r="22" spans="1:8">
      <c r="A22" s="71">
        <v>14</v>
      </c>
      <c r="B22" s="69">
        <v>24</v>
      </c>
      <c r="C22" s="16">
        <v>2</v>
      </c>
      <c r="D22" s="54">
        <v>0.18099999999999999</v>
      </c>
      <c r="E22" s="54">
        <v>0.17799999999999999</v>
      </c>
      <c r="F22" s="54">
        <v>0.17799999999999999</v>
      </c>
      <c r="G22" s="16">
        <f t="shared" si="0"/>
        <v>3.9742451154529301</v>
      </c>
      <c r="H22" s="19">
        <f t="shared" si="1"/>
        <v>3.8455834981547046E-2</v>
      </c>
    </row>
    <row r="23" spans="1:8">
      <c r="A23" s="71">
        <v>15</v>
      </c>
      <c r="B23" s="69">
        <v>30</v>
      </c>
      <c r="C23" s="16">
        <v>2</v>
      </c>
      <c r="D23" s="54">
        <v>0.20599999999999999</v>
      </c>
      <c r="E23" s="54">
        <v>0.20899999999999999</v>
      </c>
      <c r="F23" s="54">
        <v>0.21</v>
      </c>
      <c r="G23" s="16">
        <f t="shared" si="0"/>
        <v>4.6255180580224984</v>
      </c>
      <c r="H23" s="19">
        <f t="shared" si="1"/>
        <v>4.6218161622249884E-2</v>
      </c>
    </row>
    <row r="24" spans="1:8">
      <c r="A24" s="71">
        <v>16</v>
      </c>
      <c r="B24" s="69">
        <v>48</v>
      </c>
      <c r="C24" s="16">
        <v>2</v>
      </c>
      <c r="D24" s="54">
        <v>0.22900000000000001</v>
      </c>
      <c r="E24" s="54">
        <v>0.23</v>
      </c>
      <c r="F24" s="54">
        <v>0.22</v>
      </c>
      <c r="G24" s="16">
        <f t="shared" ref="G24" si="2">(C24*1000*AVERAGE(D24:F24))/$B$2</f>
        <v>5.0251628182356436</v>
      </c>
      <c r="H24" s="19">
        <f t="shared" ref="H24" si="3">(C24*1000*STDEV(D24:F24))/$B$2</f>
        <v>0.12228176170706276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25" sqref="A25:XFD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57" t="s">
        <v>44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2" t="s">
        <v>4</v>
      </c>
      <c r="B6" s="22" t="s">
        <v>60</v>
      </c>
      <c r="C6" s="22" t="s">
        <v>19</v>
      </c>
      <c r="D6" s="162"/>
      <c r="E6" s="162"/>
      <c r="F6" s="162"/>
      <c r="G6" s="164"/>
      <c r="H6" s="164"/>
    </row>
    <row r="7" spans="1:8">
      <c r="A7" s="70">
        <v>0</v>
      </c>
      <c r="B7" s="66">
        <v>0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71">
        <v>0</v>
      </c>
      <c r="B8" s="69">
        <v>0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71">
        <v>1</v>
      </c>
      <c r="B9" s="69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71">
        <v>2</v>
      </c>
      <c r="B10" s="69">
        <v>3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71">
        <v>3</v>
      </c>
      <c r="B11" s="69">
        <v>5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71">
        <v>4</v>
      </c>
      <c r="B12" s="69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71">
        <v>5</v>
      </c>
      <c r="B13" s="69">
        <v>7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71">
        <v>6</v>
      </c>
      <c r="B14" s="69">
        <v>9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71">
        <v>7</v>
      </c>
      <c r="B15" s="69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71">
        <v>8</v>
      </c>
      <c r="B16" s="69">
        <v>11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71">
        <v>9</v>
      </c>
      <c r="B17" s="69">
        <v>13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71">
        <v>10</v>
      </c>
      <c r="B18" s="69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71">
        <v>11</v>
      </c>
      <c r="B19" s="69">
        <v>15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71">
        <v>12</v>
      </c>
      <c r="B20" s="69">
        <v>17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71">
        <v>13</v>
      </c>
      <c r="B21" s="69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71">
        <v>14</v>
      </c>
      <c r="B22" s="69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71">
        <v>15</v>
      </c>
      <c r="B23" s="69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71">
        <v>16</v>
      </c>
      <c r="B24" s="69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8"/>
  <sheetViews>
    <sheetView workbookViewId="0">
      <selection activeCell="B13" sqref="B13"/>
    </sheetView>
  </sheetViews>
  <sheetFormatPr baseColWidth="10" defaultColWidth="8.83203125" defaultRowHeight="14" x14ac:dyDescent="0"/>
  <cols>
    <col min="1" max="1" width="23.6640625" bestFit="1" customWidth="1"/>
  </cols>
  <sheetData>
    <row r="1" spans="1:5">
      <c r="B1" s="30" t="s">
        <v>78</v>
      </c>
      <c r="C1" s="30" t="s">
        <v>79</v>
      </c>
    </row>
    <row r="2" spans="1:5">
      <c r="A2" s="30" t="s">
        <v>141</v>
      </c>
      <c r="B2" s="80">
        <f>Metabolites!H4-Metabolites!H20</f>
        <v>47.012289845475053</v>
      </c>
      <c r="C2" s="80">
        <f>Metabolites!I4+Metabolites!I20</f>
        <v>1.069708546310125</v>
      </c>
    </row>
    <row r="3" spans="1:5">
      <c r="A3" s="30" t="s">
        <v>180</v>
      </c>
      <c r="B3" s="80">
        <f>Metabolites!P20-Metabolites!P4</f>
        <v>62.540245359319314</v>
      </c>
      <c r="C3" s="80">
        <f>Metabolites!Q4+Metabolites!Q20</f>
        <v>2.1502310570163328</v>
      </c>
    </row>
    <row r="4" spans="1:5">
      <c r="A4" s="30" t="s">
        <v>181</v>
      </c>
      <c r="B4" s="80">
        <f>Metabolites!T4-Metabolites!T20</f>
        <v>1.102084763461185</v>
      </c>
      <c r="C4" s="80">
        <f>Metabolites!U4+Metabolites!U20</f>
        <v>6.6452458563399736E-2</v>
      </c>
    </row>
    <row r="5" spans="1:5">
      <c r="A5" s="30" t="s">
        <v>123</v>
      </c>
      <c r="B5" s="80">
        <f>Metabolites!L20-Metabolites!L4</f>
        <v>4.4511882383236356</v>
      </c>
      <c r="C5" s="80">
        <f>Metabolites!M20+Metabolites!M4</f>
        <v>0.1568831442062372</v>
      </c>
    </row>
    <row r="6" spans="1:5">
      <c r="A6" s="30" t="s">
        <v>124</v>
      </c>
      <c r="B6" s="80">
        <f>Metabolites!L41-Metabolites!L25</f>
        <v>25.483000131834427</v>
      </c>
      <c r="C6" s="80">
        <f>Metabolites!M41+Metabolites!M25</f>
        <v>0.77962687898870575</v>
      </c>
    </row>
    <row r="7" spans="1:5">
      <c r="A7" s="30" t="s">
        <v>80</v>
      </c>
      <c r="B7" s="80">
        <f>'H2'!G101</f>
        <v>62.93344930701624</v>
      </c>
      <c r="C7" s="80"/>
    </row>
    <row r="8" spans="1:5">
      <c r="A8" s="30" t="s">
        <v>81</v>
      </c>
      <c r="B8" s="80">
        <f>'CO2'!G101</f>
        <v>63.649394751404195</v>
      </c>
      <c r="C8" s="80"/>
    </row>
    <row r="9" spans="1:5">
      <c r="A9" s="30" t="s">
        <v>125</v>
      </c>
      <c r="B9" s="80">
        <f>Calculation!G20*1.5/1000</f>
        <v>0.13350000000000001</v>
      </c>
      <c r="C9" s="80"/>
    </row>
    <row r="10" spans="1:5" ht="16">
      <c r="A10" s="30" t="s">
        <v>126</v>
      </c>
      <c r="B10" s="80">
        <f>Calculation!H20*1.5/1000</f>
        <v>6.0000000000000001E-3</v>
      </c>
      <c r="C10" s="80"/>
    </row>
    <row r="12" spans="1:5">
      <c r="A12" s="30" t="s">
        <v>82</v>
      </c>
      <c r="B12" s="73">
        <f>((4*$B$6)+(3*$B$5)+(2*$B$3)+(B8))/((6*$B$2)+($B$4))</f>
        <v>1.0735925355269247</v>
      </c>
    </row>
    <row r="14" spans="1:5">
      <c r="A14" s="62"/>
      <c r="B14" s="62"/>
      <c r="C14" s="62" t="s">
        <v>127</v>
      </c>
      <c r="D14" s="62" t="s">
        <v>128</v>
      </c>
    </row>
    <row r="15" spans="1:5">
      <c r="A15" s="62" t="s">
        <v>153</v>
      </c>
      <c r="B15" s="62" t="s">
        <v>129</v>
      </c>
      <c r="C15" s="81">
        <f>B2</f>
        <v>47.012289845475053</v>
      </c>
      <c r="D15" s="81">
        <f>B2</f>
        <v>47.012289845475053</v>
      </c>
      <c r="E15" s="62"/>
    </row>
    <row r="16" spans="1:5">
      <c r="A16" s="62" t="s">
        <v>154</v>
      </c>
      <c r="B16" s="62" t="s">
        <v>130</v>
      </c>
      <c r="C16" s="81">
        <f>2*C15</f>
        <v>94.024579690950105</v>
      </c>
      <c r="D16" s="81">
        <f>2*B2</f>
        <v>94.024579690950105</v>
      </c>
      <c r="E16" s="62"/>
    </row>
    <row r="17" spans="1:5">
      <c r="A17" s="62" t="s">
        <v>155</v>
      </c>
      <c r="B17" s="62" t="s">
        <v>131</v>
      </c>
      <c r="C17" s="81">
        <f>B5</f>
        <v>4.4511882383236356</v>
      </c>
      <c r="D17" s="81">
        <f>B5</f>
        <v>4.4511882383236356</v>
      </c>
      <c r="E17" s="62"/>
    </row>
    <row r="18" spans="1:5">
      <c r="A18" s="62" t="s">
        <v>156</v>
      </c>
      <c r="B18" s="62" t="s">
        <v>132</v>
      </c>
      <c r="C18" s="81">
        <f>B4</f>
        <v>1.102084763461185</v>
      </c>
      <c r="D18" s="81">
        <f>B4</f>
        <v>1.102084763461185</v>
      </c>
      <c r="E18" s="62"/>
    </row>
    <row r="19" spans="1:5">
      <c r="A19" s="62" t="s">
        <v>157</v>
      </c>
      <c r="B19" s="62" t="s">
        <v>133</v>
      </c>
      <c r="C19" s="82">
        <f>C16-C17-C18</f>
        <v>88.471306689165289</v>
      </c>
      <c r="D19" s="82">
        <f>B8</f>
        <v>63.649394751404195</v>
      </c>
      <c r="E19" s="62"/>
    </row>
    <row r="20" spans="1:5">
      <c r="A20" s="62" t="s">
        <v>158</v>
      </c>
      <c r="B20" s="62" t="s">
        <v>134</v>
      </c>
      <c r="C20" s="81">
        <f>B3</f>
        <v>62.540245359319314</v>
      </c>
      <c r="D20" s="81">
        <f>B3</f>
        <v>62.540245359319314</v>
      </c>
      <c r="E20" s="62"/>
    </row>
    <row r="21" spans="1:5">
      <c r="A21" s="62" t="s">
        <v>159</v>
      </c>
      <c r="B21" s="62" t="s">
        <v>136</v>
      </c>
      <c r="C21" s="81">
        <f>C16-C17+C20</f>
        <v>152.11363681194578</v>
      </c>
      <c r="D21" s="81">
        <f>B6</f>
        <v>25.483000131834427</v>
      </c>
      <c r="E21" s="62"/>
    </row>
    <row r="22" spans="1:5">
      <c r="A22" s="62" t="s">
        <v>179</v>
      </c>
      <c r="B22" s="62" t="s">
        <v>137</v>
      </c>
      <c r="C22" s="82">
        <f>C21/2</f>
        <v>76.056818405972891</v>
      </c>
      <c r="D22" s="82">
        <f>B6</f>
        <v>25.483000131834427</v>
      </c>
      <c r="E22" s="62"/>
    </row>
    <row r="23" spans="1:5">
      <c r="A23" s="62" t="s">
        <v>160</v>
      </c>
      <c r="B23" s="62"/>
      <c r="E23" s="62"/>
    </row>
    <row r="24" spans="1:5">
      <c r="A24" s="62"/>
      <c r="B24" s="62"/>
      <c r="C24" s="63"/>
      <c r="D24" s="63"/>
      <c r="E24" s="62"/>
    </row>
    <row r="25" spans="1:5">
      <c r="A25" s="62"/>
      <c r="B25" s="62"/>
      <c r="C25" s="62"/>
      <c r="D25" s="62"/>
      <c r="E25" s="62"/>
    </row>
    <row r="26" spans="1:5">
      <c r="A26" s="62"/>
      <c r="B26" s="62"/>
      <c r="C26" s="62"/>
      <c r="D26" s="62"/>
      <c r="E26" s="62"/>
    </row>
    <row r="27" spans="1:5">
      <c r="A27" s="62"/>
      <c r="B27" s="62"/>
      <c r="C27" s="62"/>
      <c r="D27" s="62"/>
      <c r="E27" s="62"/>
    </row>
    <row r="28" spans="1:5">
      <c r="C28" s="62"/>
      <c r="D28" s="62"/>
      <c r="E28" s="6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D19" sqref="D19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31" t="s">
        <v>4</v>
      </c>
      <c r="B1" s="131" t="s">
        <v>117</v>
      </c>
      <c r="C1" s="131" t="s">
        <v>117</v>
      </c>
      <c r="D1" s="131" t="s">
        <v>5</v>
      </c>
      <c r="E1" s="136" t="s">
        <v>18</v>
      </c>
      <c r="F1" s="136"/>
      <c r="G1" s="136"/>
      <c r="H1" s="136"/>
      <c r="I1" s="136" t="s">
        <v>20</v>
      </c>
      <c r="J1" s="136"/>
      <c r="K1" s="136"/>
      <c r="L1" s="136"/>
      <c r="M1" s="136" t="s">
        <v>21</v>
      </c>
      <c r="N1" s="136"/>
      <c r="O1" s="136"/>
      <c r="P1" s="136"/>
      <c r="Q1" s="37" t="s">
        <v>22</v>
      </c>
      <c r="R1" s="37" t="s">
        <v>22</v>
      </c>
      <c r="S1" s="37" t="s">
        <v>22</v>
      </c>
    </row>
    <row r="2" spans="1:19">
      <c r="A2" s="132"/>
      <c r="B2" s="132"/>
      <c r="C2" s="132"/>
      <c r="D2" s="132"/>
      <c r="E2" s="40" t="s">
        <v>19</v>
      </c>
      <c r="F2" s="40" t="s">
        <v>68</v>
      </c>
      <c r="G2" s="40" t="s">
        <v>118</v>
      </c>
      <c r="H2" s="40" t="s">
        <v>70</v>
      </c>
      <c r="I2" s="40" t="s">
        <v>19</v>
      </c>
      <c r="J2" s="40" t="s">
        <v>68</v>
      </c>
      <c r="K2" s="40" t="s">
        <v>69</v>
      </c>
      <c r="L2" s="40" t="s">
        <v>70</v>
      </c>
      <c r="M2" s="40" t="s">
        <v>19</v>
      </c>
      <c r="N2" s="40" t="s">
        <v>68</v>
      </c>
      <c r="O2" s="40" t="s">
        <v>69</v>
      </c>
      <c r="P2" s="40" t="s">
        <v>71</v>
      </c>
      <c r="Q2" s="38" t="s">
        <v>70</v>
      </c>
      <c r="R2" s="38" t="s">
        <v>23</v>
      </c>
      <c r="S2" s="38" t="s">
        <v>72</v>
      </c>
    </row>
    <row r="3" spans="1:19" s="6" customFormat="1">
      <c r="A3" s="64" t="s">
        <v>6</v>
      </c>
      <c r="B3" s="65">
        <v>-10</v>
      </c>
      <c r="C3" s="65">
        <v>-10</v>
      </c>
      <c r="D3" s="13">
        <f>C3/60</f>
        <v>-0.16666666666666666</v>
      </c>
      <c r="Q3" s="133"/>
      <c r="R3" s="134"/>
      <c r="S3" s="135"/>
    </row>
    <row r="4" spans="1:19">
      <c r="A4" s="67">
        <v>0</v>
      </c>
      <c r="B4" s="68">
        <v>10</v>
      </c>
      <c r="C4" s="68">
        <v>10</v>
      </c>
      <c r="D4" s="13">
        <f t="shared" ref="D4:D18" si="0">C4/60</f>
        <v>0.16666666666666666</v>
      </c>
      <c r="Q4" s="44" t="e">
        <f>AVERAGE('Flow cytometer'!P4,'Flow cytometer'!L4,'Flow cytometer'!H4)*Calculation!K4/Calculation!M3</f>
        <v>#DIV/0!</v>
      </c>
      <c r="R4" s="44" t="e">
        <f>STDEV('Flow cytometer'!P4,'Flow cytometer'!L4,'Flow cytometer'!H4)*Calculation!K4/Calculation!M3</f>
        <v>#DIV/0!</v>
      </c>
      <c r="S4" s="45" t="e">
        <f t="shared" ref="S4:S19" si="1">LOG(Q4)</f>
        <v>#DIV/0!</v>
      </c>
    </row>
    <row r="5" spans="1:19">
      <c r="A5" s="67">
        <v>1</v>
      </c>
      <c r="B5" s="68">
        <v>110</v>
      </c>
      <c r="C5" s="68">
        <v>120</v>
      </c>
      <c r="D5" s="13">
        <f t="shared" si="0"/>
        <v>2</v>
      </c>
      <c r="Q5" s="44" t="e">
        <f>AVERAGE('Flow cytometer'!P5,'Flow cytometer'!L5,'Flow cytometer'!H5)*Calculation!K5/Calculation!M4</f>
        <v>#DIV/0!</v>
      </c>
      <c r="R5" s="44" t="e">
        <f>STDEV('Flow cytometer'!P5,'Flow cytometer'!L5,'Flow cytometer'!H5)*Calculation!K5/Calculation!M4</f>
        <v>#DIV/0!</v>
      </c>
      <c r="S5" s="45" t="e">
        <f t="shared" si="1"/>
        <v>#DIV/0!</v>
      </c>
    </row>
    <row r="6" spans="1:19">
      <c r="A6" s="67">
        <v>2</v>
      </c>
      <c r="B6" s="68">
        <v>80</v>
      </c>
      <c r="C6" s="68">
        <v>200</v>
      </c>
      <c r="D6" s="13">
        <f t="shared" si="0"/>
        <v>3.3333333333333335</v>
      </c>
      <c r="Q6" s="44" t="e">
        <f>AVERAGE('Flow cytometer'!P6,'Flow cytometer'!L6,'Flow cytometer'!H6)*Calculation!K6/Calculation!M5</f>
        <v>#DIV/0!</v>
      </c>
      <c r="R6" s="44" t="e">
        <f>STDEV('Flow cytometer'!P6,'Flow cytometer'!L6,'Flow cytometer'!H6)*Calculation!K6/Calculation!M5</f>
        <v>#DIV/0!</v>
      </c>
      <c r="S6" s="45" t="e">
        <f t="shared" si="1"/>
        <v>#DIV/0!</v>
      </c>
    </row>
    <row r="7" spans="1:19">
      <c r="A7" s="67">
        <v>3</v>
      </c>
      <c r="B7" s="68">
        <v>80</v>
      </c>
      <c r="C7" s="68">
        <v>280</v>
      </c>
      <c r="D7" s="13">
        <f t="shared" si="0"/>
        <v>4.666666666666667</v>
      </c>
      <c r="Q7" s="44" t="e">
        <f>AVERAGE('Flow cytometer'!P7,'Flow cytometer'!L7,'Flow cytometer'!H7)*Calculation!K7/Calculation!M6</f>
        <v>#DIV/0!</v>
      </c>
      <c r="R7" s="44" t="e">
        <f>STDEV('Flow cytometer'!P7,'Flow cytometer'!L7,'Flow cytometer'!H7)*Calculation!K7/Calculation!M6</f>
        <v>#DIV/0!</v>
      </c>
      <c r="S7" s="45" t="e">
        <f t="shared" si="1"/>
        <v>#DIV/0!</v>
      </c>
    </row>
    <row r="8" spans="1:19">
      <c r="A8" s="67">
        <v>4</v>
      </c>
      <c r="B8" s="68">
        <v>80</v>
      </c>
      <c r="C8" s="68">
        <v>360</v>
      </c>
      <c r="D8" s="13">
        <f t="shared" si="0"/>
        <v>6</v>
      </c>
      <c r="Q8" s="44" t="e">
        <f>AVERAGE('Flow cytometer'!P8,'Flow cytometer'!L8,'Flow cytometer'!H8)*Calculation!K8/Calculation!M7</f>
        <v>#DIV/0!</v>
      </c>
      <c r="R8" s="44" t="e">
        <f>STDEV('Flow cytometer'!P8,'Flow cytometer'!L8,'Flow cytometer'!H8)*Calculation!K8/Calculation!M7</f>
        <v>#DIV/0!</v>
      </c>
      <c r="S8" s="45" t="e">
        <f t="shared" si="1"/>
        <v>#DIV/0!</v>
      </c>
    </row>
    <row r="9" spans="1:19">
      <c r="A9" s="67">
        <v>5</v>
      </c>
      <c r="B9" s="68">
        <v>80</v>
      </c>
      <c r="C9" s="68">
        <v>440</v>
      </c>
      <c r="D9" s="13">
        <f t="shared" si="0"/>
        <v>7.333333333333333</v>
      </c>
      <c r="Q9" s="44" t="e">
        <f>AVERAGE('Flow cytometer'!P9,'Flow cytometer'!L9,'Flow cytometer'!H9)*Calculation!K9/Calculation!M8</f>
        <v>#DIV/0!</v>
      </c>
      <c r="R9" s="44" t="e">
        <f>STDEV('Flow cytometer'!P9,'Flow cytometer'!L9,'Flow cytometer'!H9)*Calculation!K9/Calculation!M8</f>
        <v>#DIV/0!</v>
      </c>
      <c r="S9" s="45" t="e">
        <f t="shared" si="1"/>
        <v>#DIV/0!</v>
      </c>
    </row>
    <row r="10" spans="1:19">
      <c r="A10" s="67">
        <v>6</v>
      </c>
      <c r="B10" s="68">
        <v>80</v>
      </c>
      <c r="C10" s="68">
        <v>520</v>
      </c>
      <c r="D10" s="13">
        <f t="shared" si="0"/>
        <v>8.6666666666666661</v>
      </c>
      <c r="Q10" s="44" t="e">
        <f>AVERAGE('Flow cytometer'!P10,'Flow cytometer'!L10,'Flow cytometer'!H10)*Calculation!K10/Calculation!M9</f>
        <v>#DIV/0!</v>
      </c>
      <c r="R10" s="44" t="e">
        <f>STDEV('Flow cytometer'!P10,'Flow cytometer'!L10,'Flow cytometer'!H10)*Calculation!K10/Calculation!M9</f>
        <v>#DIV/0!</v>
      </c>
      <c r="S10" s="45" t="e">
        <f t="shared" si="1"/>
        <v>#DIV/0!</v>
      </c>
    </row>
    <row r="11" spans="1:19">
      <c r="A11" s="67">
        <v>7</v>
      </c>
      <c r="B11" s="68">
        <v>80</v>
      </c>
      <c r="C11" s="68">
        <v>600</v>
      </c>
      <c r="D11" s="13">
        <f t="shared" si="0"/>
        <v>10</v>
      </c>
      <c r="Q11" s="44" t="e">
        <f>AVERAGE('Flow cytometer'!P11,'Flow cytometer'!L11,'Flow cytometer'!H11)*Calculation!K11/Calculation!M10</f>
        <v>#DIV/0!</v>
      </c>
      <c r="R11" s="44" t="e">
        <f>STDEV('Flow cytometer'!P11,'Flow cytometer'!L11,'Flow cytometer'!H11)*Calculation!K11/Calculation!M10</f>
        <v>#DIV/0!</v>
      </c>
      <c r="S11" s="45" t="e">
        <f t="shared" si="1"/>
        <v>#DIV/0!</v>
      </c>
    </row>
    <row r="12" spans="1:19">
      <c r="A12" s="67">
        <v>8</v>
      </c>
      <c r="B12" s="68">
        <v>80</v>
      </c>
      <c r="C12" s="68">
        <v>680</v>
      </c>
      <c r="D12" s="13">
        <f t="shared" si="0"/>
        <v>11.333333333333334</v>
      </c>
      <c r="Q12" s="44" t="e">
        <f>AVERAGE('Flow cytometer'!P12,'Flow cytometer'!L12,'Flow cytometer'!H12)*Calculation!K12/Calculation!M11</f>
        <v>#DIV/0!</v>
      </c>
      <c r="R12" s="44" t="e">
        <f>STDEV('Flow cytometer'!P12,'Flow cytometer'!L12,'Flow cytometer'!H12)*Calculation!K12/Calculation!M11</f>
        <v>#DIV/0!</v>
      </c>
      <c r="S12" s="45" t="e">
        <f t="shared" si="1"/>
        <v>#DIV/0!</v>
      </c>
    </row>
    <row r="13" spans="1:19">
      <c r="A13" s="67">
        <v>9</v>
      </c>
      <c r="B13" s="68">
        <v>80</v>
      </c>
      <c r="C13" s="68">
        <v>760</v>
      </c>
      <c r="D13" s="13">
        <f>C13/60</f>
        <v>12.666666666666666</v>
      </c>
      <c r="Q13" s="44" t="e">
        <f>AVERAGE('Flow cytometer'!P13,'Flow cytometer'!L13,'Flow cytometer'!H13)*Calculation!K13/Calculation!M12</f>
        <v>#DIV/0!</v>
      </c>
      <c r="R13" s="44" t="e">
        <f>STDEV('Flow cytometer'!P13,'Flow cytometer'!L13,'Flow cytometer'!H13)*Calculation!K13/Calculation!M12</f>
        <v>#DIV/0!</v>
      </c>
      <c r="S13" s="45" t="e">
        <f t="shared" si="1"/>
        <v>#DIV/0!</v>
      </c>
    </row>
    <row r="14" spans="1:19">
      <c r="A14" s="67">
        <v>10</v>
      </c>
      <c r="B14" s="68">
        <v>80</v>
      </c>
      <c r="C14" s="68">
        <v>840</v>
      </c>
      <c r="D14" s="13">
        <f t="shared" si="0"/>
        <v>14</v>
      </c>
      <c r="Q14" s="44" t="e">
        <f>AVERAGE('Flow cytometer'!P14,'Flow cytometer'!L14,'Flow cytometer'!H14)*Calculation!K14/Calculation!M13</f>
        <v>#DIV/0!</v>
      </c>
      <c r="R14" s="44" t="e">
        <f>STDEV('Flow cytometer'!P14,'Flow cytometer'!L14,'Flow cytometer'!H14)*Calculation!K14/Calculation!M13</f>
        <v>#DIV/0!</v>
      </c>
      <c r="S14" s="45" t="e">
        <f t="shared" si="1"/>
        <v>#DIV/0!</v>
      </c>
    </row>
    <row r="15" spans="1:19">
      <c r="A15" s="67">
        <v>11</v>
      </c>
      <c r="B15" s="68">
        <v>80</v>
      </c>
      <c r="C15" s="68">
        <v>920</v>
      </c>
      <c r="D15" s="13">
        <f t="shared" si="0"/>
        <v>15.333333333333334</v>
      </c>
      <c r="Q15" s="44" t="e">
        <f>AVERAGE('Flow cytometer'!P15,'Flow cytometer'!L15,'Flow cytometer'!H15)*Calculation!K15/Calculation!M14</f>
        <v>#DIV/0!</v>
      </c>
      <c r="R15" s="44" t="e">
        <f>STDEV('Flow cytometer'!P15,'Flow cytometer'!L15,'Flow cytometer'!H15)*Calculation!K15/Calculation!M14</f>
        <v>#DIV/0!</v>
      </c>
      <c r="S15" s="45" t="e">
        <f t="shared" si="1"/>
        <v>#DIV/0!</v>
      </c>
    </row>
    <row r="16" spans="1:19">
      <c r="A16" s="67">
        <v>12</v>
      </c>
      <c r="B16" s="68">
        <v>80</v>
      </c>
      <c r="C16" s="68">
        <v>1000</v>
      </c>
      <c r="D16" s="13">
        <f t="shared" si="0"/>
        <v>16.666666666666668</v>
      </c>
      <c r="Q16" s="44" t="e">
        <f>AVERAGE('Flow cytometer'!P16,'Flow cytometer'!L16,'Flow cytometer'!H16)*Calculation!K16/Calculation!M15</f>
        <v>#DIV/0!</v>
      </c>
      <c r="R16" s="44" t="e">
        <f>STDEV('Flow cytometer'!P16,'Flow cytometer'!L16,'Flow cytometer'!H16)*Calculation!K16/Calculation!M15</f>
        <v>#DIV/0!</v>
      </c>
      <c r="S16" s="45" t="e">
        <f t="shared" si="1"/>
        <v>#DIV/0!</v>
      </c>
    </row>
    <row r="17" spans="1:19">
      <c r="A17" s="67">
        <v>13</v>
      </c>
      <c r="B17" s="68">
        <v>80</v>
      </c>
      <c r="C17" s="68">
        <v>1080</v>
      </c>
      <c r="D17" s="13">
        <f t="shared" si="0"/>
        <v>18</v>
      </c>
      <c r="Q17" s="44" t="e">
        <f>AVERAGE('Flow cytometer'!P17,'Flow cytometer'!L17,'Flow cytometer'!H17)*Calculation!K17/Calculation!M16</f>
        <v>#DIV/0!</v>
      </c>
      <c r="R17" s="44" t="e">
        <f>STDEV('Flow cytometer'!P17,'Flow cytometer'!L17,'Flow cytometer'!H17)*Calculation!K17/Calculation!M16</f>
        <v>#DIV/0!</v>
      </c>
      <c r="S17" s="45" t="e">
        <f t="shared" si="1"/>
        <v>#DIV/0!</v>
      </c>
    </row>
    <row r="18" spans="1:19">
      <c r="A18" s="67">
        <v>14</v>
      </c>
      <c r="B18" s="68">
        <v>360</v>
      </c>
      <c r="C18" s="68">
        <v>1440</v>
      </c>
      <c r="D18" s="13">
        <f t="shared" si="0"/>
        <v>24</v>
      </c>
      <c r="Q18" s="44" t="e">
        <f>AVERAGE('Flow cytometer'!P18,'Flow cytometer'!L18,'Flow cytometer'!H18)*Calculation!K18/Calculation!M17</f>
        <v>#DIV/0!</v>
      </c>
      <c r="R18" s="44" t="e">
        <f>STDEV('Flow cytometer'!P18,'Flow cytometer'!L18,'Flow cytometer'!H18)*Calculation!K18/Calculation!M17</f>
        <v>#DIV/0!</v>
      </c>
      <c r="S18" s="45" t="e">
        <f t="shared" si="1"/>
        <v>#DIV/0!</v>
      </c>
    </row>
    <row r="19" spans="1:19">
      <c r="A19" s="67">
        <v>15</v>
      </c>
      <c r="B19" s="68">
        <v>375</v>
      </c>
      <c r="C19" s="68">
        <v>1815</v>
      </c>
      <c r="D19" s="13">
        <f>C19/60</f>
        <v>30.25</v>
      </c>
      <c r="Q19" s="44" t="e">
        <f>AVERAGE('Flow cytometer'!P19,'Flow cytometer'!L19,'Flow cytometer'!H19)*Calculation!K19/Calculation!M18</f>
        <v>#DIV/0!</v>
      </c>
      <c r="R19" s="44" t="e">
        <f>STDEV('Flow cytometer'!P19,'Flow cytometer'!L19,'Flow cytometer'!H19)*Calculation!K19/Calculation!M18</f>
        <v>#DIV/0!</v>
      </c>
      <c r="S19" s="45" t="e">
        <f t="shared" si="1"/>
        <v>#DIV/0!</v>
      </c>
    </row>
    <row r="20" spans="1:19">
      <c r="A20" s="67">
        <v>16</v>
      </c>
      <c r="B20" s="68">
        <v>1065</v>
      </c>
      <c r="C20" s="68">
        <v>2880</v>
      </c>
      <c r="D20" s="13">
        <f t="shared" ref="D20" si="2">C20/60</f>
        <v>48</v>
      </c>
      <c r="Q20" s="44" t="e">
        <f>AVERAGE('Flow cytometer'!P20,'Flow cytometer'!L20,'Flow cytometer'!H20)*Calculation!K20/Calculation!M19</f>
        <v>#DIV/0!</v>
      </c>
      <c r="R20" s="44" t="e">
        <f>STDEV('Flow cytometer'!P20,'Flow cytometer'!L20,'Flow cytometer'!H20)*Calculation!K20/Calculation!M19</f>
        <v>#DIV/0!</v>
      </c>
      <c r="S20" s="45" t="e">
        <f t="shared" ref="S20" si="3">LOG(Q20)</f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0"/>
  <sheetViews>
    <sheetView topLeftCell="L1" workbookViewId="0">
      <selection activeCell="Y9" sqref="Y9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</cols>
  <sheetData>
    <row r="1" spans="1:24">
      <c r="A1" s="131" t="s">
        <v>4</v>
      </c>
      <c r="B1" s="131" t="s">
        <v>117</v>
      </c>
      <c r="C1" s="131" t="s">
        <v>117</v>
      </c>
      <c r="D1" s="131" t="s">
        <v>5</v>
      </c>
      <c r="E1" s="130" t="s">
        <v>119</v>
      </c>
      <c r="F1" s="130"/>
      <c r="G1" s="130"/>
      <c r="H1" s="130"/>
      <c r="I1" s="130" t="s">
        <v>120</v>
      </c>
      <c r="J1" s="130"/>
      <c r="K1" s="130"/>
      <c r="L1" s="130"/>
      <c r="M1" s="130" t="s">
        <v>121</v>
      </c>
      <c r="N1" s="130"/>
      <c r="O1" s="130"/>
      <c r="P1" s="130"/>
      <c r="Q1" s="24" t="s">
        <v>122</v>
      </c>
      <c r="R1" s="24" t="s">
        <v>122</v>
      </c>
      <c r="S1" s="24" t="s">
        <v>122</v>
      </c>
      <c r="T1" s="60" t="s">
        <v>122</v>
      </c>
      <c r="U1" s="77" t="s">
        <v>119</v>
      </c>
      <c r="V1" s="77" t="s">
        <v>120</v>
      </c>
      <c r="W1" s="77" t="s">
        <v>121</v>
      </c>
      <c r="X1" s="77" t="s">
        <v>122</v>
      </c>
    </row>
    <row r="2" spans="1:24">
      <c r="A2" s="132"/>
      <c r="B2" s="132"/>
      <c r="C2" s="132"/>
      <c r="D2" s="132"/>
      <c r="E2" s="23" t="s">
        <v>19</v>
      </c>
      <c r="F2" s="23" t="s">
        <v>68</v>
      </c>
      <c r="G2" s="23" t="s">
        <v>69</v>
      </c>
      <c r="H2" s="23" t="s">
        <v>70</v>
      </c>
      <c r="I2" s="23" t="s">
        <v>19</v>
      </c>
      <c r="J2" s="23" t="s">
        <v>68</v>
      </c>
      <c r="K2" s="23" t="s">
        <v>69</v>
      </c>
      <c r="L2" s="23" t="s">
        <v>70</v>
      </c>
      <c r="M2" s="23" t="s">
        <v>19</v>
      </c>
      <c r="N2" s="23" t="s">
        <v>68</v>
      </c>
      <c r="O2" s="23" t="s">
        <v>69</v>
      </c>
      <c r="P2" s="23" t="s">
        <v>71</v>
      </c>
      <c r="Q2" s="25" t="s">
        <v>70</v>
      </c>
      <c r="R2" s="25" t="s">
        <v>23</v>
      </c>
      <c r="S2" s="25" t="s">
        <v>72</v>
      </c>
      <c r="T2" s="61" t="s">
        <v>135</v>
      </c>
      <c r="U2" s="78" t="s">
        <v>146</v>
      </c>
      <c r="V2" s="78" t="s">
        <v>146</v>
      </c>
      <c r="W2" s="78" t="s">
        <v>146</v>
      </c>
      <c r="X2" s="78" t="s">
        <v>147</v>
      </c>
    </row>
    <row r="3" spans="1:24">
      <c r="A3" s="64" t="s">
        <v>6</v>
      </c>
      <c r="B3" s="65">
        <v>-10</v>
      </c>
      <c r="C3" s="65">
        <v>-10</v>
      </c>
      <c r="D3" s="13">
        <f>C3/60</f>
        <v>-0.16666666666666666</v>
      </c>
      <c r="E3" s="42" t="s">
        <v>101</v>
      </c>
      <c r="F3" s="42" t="s">
        <v>101</v>
      </c>
      <c r="G3" s="42" t="s">
        <v>101</v>
      </c>
      <c r="H3" s="43" t="s">
        <v>101</v>
      </c>
      <c r="I3" s="42" t="s">
        <v>101</v>
      </c>
      <c r="J3" s="42" t="s">
        <v>101</v>
      </c>
      <c r="K3" s="42" t="s">
        <v>101</v>
      </c>
      <c r="L3" s="43" t="s">
        <v>101</v>
      </c>
      <c r="M3" s="42" t="s">
        <v>101</v>
      </c>
      <c r="N3" s="42" t="s">
        <v>101</v>
      </c>
      <c r="O3" s="42" t="s">
        <v>101</v>
      </c>
      <c r="P3" s="43" t="s">
        <v>101</v>
      </c>
      <c r="Q3" s="137" t="s">
        <v>101</v>
      </c>
      <c r="R3" s="138"/>
      <c r="S3" s="139"/>
      <c r="T3" s="76"/>
      <c r="U3" s="43" t="s">
        <v>101</v>
      </c>
      <c r="V3" s="43" t="s">
        <v>101</v>
      </c>
      <c r="W3" s="43" t="s">
        <v>101</v>
      </c>
      <c r="X3" s="43" t="s">
        <v>101</v>
      </c>
    </row>
    <row r="4" spans="1:24">
      <c r="A4" s="67">
        <v>0</v>
      </c>
      <c r="B4" s="68">
        <v>10</v>
      </c>
      <c r="C4" s="68">
        <v>10</v>
      </c>
      <c r="D4" s="13">
        <f t="shared" ref="D4:D18" si="0">C4/60</f>
        <v>0.16666666666666666</v>
      </c>
      <c r="E4" s="31">
        <v>2</v>
      </c>
      <c r="F4" s="31">
        <v>2989</v>
      </c>
      <c r="G4" s="31">
        <v>7</v>
      </c>
      <c r="H4" s="43">
        <f>('Flow cytometer'!F4/'Flow cytometer'!G4)*POWER(10,'Flow cytometer'!E4+2)*10.2</f>
        <v>43554000</v>
      </c>
      <c r="I4" s="31">
        <v>2</v>
      </c>
      <c r="J4" s="31">
        <v>3414</v>
      </c>
      <c r="K4" s="31">
        <v>7</v>
      </c>
      <c r="L4" s="43">
        <f>('Flow cytometer'!J4/'Flow cytometer'!K4)*POWER(10,'Flow cytometer'!I4+2)*10.2</f>
        <v>49746857.142857142</v>
      </c>
      <c r="M4" s="31">
        <v>2</v>
      </c>
      <c r="N4" s="31">
        <v>3458</v>
      </c>
      <c r="O4" s="31">
        <v>7</v>
      </c>
      <c r="P4" s="43">
        <f>('Flow cytometer'!N4/'Flow cytometer'!O4)*POWER(10,'Flow cytometer'!M4+2)*10.2</f>
        <v>50388000</v>
      </c>
      <c r="Q4" s="46">
        <f>AVERAGE(H4,L4,P4)*Calculation!I4/Calculation!K3</f>
        <v>47955174.508378945</v>
      </c>
      <c r="R4" s="47">
        <f>STDEV(H4,L4,P4)*Calculation!I4/Calculation!K3</f>
        <v>3778809.1422548592</v>
      </c>
      <c r="S4" s="48">
        <f>LOG(Q4)</f>
        <v>7.6808354757233266</v>
      </c>
      <c r="T4" s="75">
        <f>LN(Q4)</f>
        <v>17.68577726814036</v>
      </c>
      <c r="U4" s="48">
        <f>LOG(H4)</f>
        <v>7.6390280467869411</v>
      </c>
      <c r="V4" s="48">
        <f>LOG(L4)</f>
        <v>7.6967656485263758</v>
      </c>
      <c r="W4" s="48">
        <f>LOG(P4)</f>
        <v>7.7023271206855641</v>
      </c>
      <c r="X4" s="48">
        <f>STDEV(U4:W4)*Calculation!I4/Calculation!K3</f>
        <v>3.5093852099818107E-2</v>
      </c>
    </row>
    <row r="5" spans="1:24">
      <c r="A5" s="67">
        <v>1</v>
      </c>
      <c r="B5" s="68">
        <v>110</v>
      </c>
      <c r="C5" s="68">
        <v>120</v>
      </c>
      <c r="D5" s="13">
        <f t="shared" si="0"/>
        <v>2</v>
      </c>
      <c r="E5" s="31">
        <v>2</v>
      </c>
      <c r="F5" s="31">
        <v>5847</v>
      </c>
      <c r="G5" s="31">
        <v>7</v>
      </c>
      <c r="H5" s="43">
        <f>('Flow cytometer'!F5/'Flow cytometer'!G5)*POWER(10,'Flow cytometer'!E5+2)*10.2</f>
        <v>85199142.857142866</v>
      </c>
      <c r="I5" s="31">
        <v>2</v>
      </c>
      <c r="J5" s="31">
        <v>6303</v>
      </c>
      <c r="K5" s="31">
        <v>7</v>
      </c>
      <c r="L5" s="43">
        <f>('Flow cytometer'!J5/'Flow cytometer'!K5)*POWER(10,'Flow cytometer'!I5+2)*10.2</f>
        <v>91843714.285714284</v>
      </c>
      <c r="M5" s="31">
        <v>2</v>
      </c>
      <c r="N5" s="31">
        <v>6313</v>
      </c>
      <c r="O5" s="31">
        <v>7</v>
      </c>
      <c r="P5" s="43">
        <f>('Flow cytometer'!N5/'Flow cytometer'!O5)*POWER(10,'Flow cytometer'!M5+2)*10.2</f>
        <v>91989428.571428567</v>
      </c>
      <c r="Q5" s="46">
        <f>AVERAGE(H5,L5,P5)*Calculation!I5/Calculation!K4</f>
        <v>89845764.969352543</v>
      </c>
      <c r="R5" s="47">
        <f>STDEV(H5,L5,P5)*Calculation!I5/Calculation!K4</f>
        <v>3886274.8574339789</v>
      </c>
      <c r="S5" s="48">
        <f t="shared" ref="S5:S19" si="1">LOG(Q5)</f>
        <v>7.9534976107294861</v>
      </c>
      <c r="T5" s="48">
        <f t="shared" ref="T5:T19" si="2">LN(Q5)</f>
        <v>18.313605035629475</v>
      </c>
      <c r="U5" s="48">
        <f t="shared" ref="U5:U20" si="3">LOG(H5)</f>
        <v>7.9304352255849446</v>
      </c>
      <c r="V5" s="48">
        <f t="shared" ref="V5:V20" si="4">LOG(L5)</f>
        <v>7.9630494388732753</v>
      </c>
      <c r="W5" s="48">
        <f t="shared" ref="W5:W20" si="5">LOG(P5)</f>
        <v>7.9637379210750145</v>
      </c>
      <c r="X5" s="48">
        <f>STDEV(U5:W5)*Calculation!I5/Calculation!K4</f>
        <v>1.9067411041014927E-2</v>
      </c>
    </row>
    <row r="6" spans="1:24">
      <c r="A6" s="67">
        <v>2</v>
      </c>
      <c r="B6" s="68">
        <v>80</v>
      </c>
      <c r="C6" s="68">
        <v>200</v>
      </c>
      <c r="D6" s="13">
        <f t="shared" si="0"/>
        <v>3.3333333333333335</v>
      </c>
      <c r="E6" s="31">
        <v>2</v>
      </c>
      <c r="F6" s="31">
        <v>10260</v>
      </c>
      <c r="G6" s="31">
        <v>7</v>
      </c>
      <c r="H6" s="43">
        <f>('Flow cytometer'!F6/'Flow cytometer'!G6)*POWER(10,'Flow cytometer'!E6+2)*10.2</f>
        <v>149502857.14285713</v>
      </c>
      <c r="I6" s="31">
        <v>2</v>
      </c>
      <c r="J6" s="31">
        <v>10934</v>
      </c>
      <c r="K6" s="31">
        <v>7</v>
      </c>
      <c r="L6" s="43">
        <f>('Flow cytometer'!J6/'Flow cytometer'!K6)*POWER(10,'Flow cytometer'!I6+2)*10.2</f>
        <v>159324000</v>
      </c>
      <c r="M6" s="31">
        <v>2</v>
      </c>
      <c r="N6" s="31">
        <v>10495</v>
      </c>
      <c r="O6" s="31">
        <v>7</v>
      </c>
      <c r="P6" s="43">
        <f>('Flow cytometer'!N6/'Flow cytometer'!O6)*POWER(10,'Flow cytometer'!M6+2)*10.2</f>
        <v>152927142.85714284</v>
      </c>
      <c r="Q6" s="46">
        <f>AVERAGE(H6,L6,P6)*Calculation!I6/Calculation!K5</f>
        <v>154309251.53952622</v>
      </c>
      <c r="R6" s="47">
        <f>STDEV(H6,L6,P6)*Calculation!I6/Calculation!K5</f>
        <v>4997655.0350399669</v>
      </c>
      <c r="S6" s="48">
        <f t="shared" si="1"/>
        <v>8.1883919647677335</v>
      </c>
      <c r="T6" s="48">
        <f t="shared" si="2"/>
        <v>18.854469273666407</v>
      </c>
      <c r="U6" s="48">
        <f t="shared" si="3"/>
        <v>8.174649492523459</v>
      </c>
      <c r="V6" s="48">
        <f t="shared" si="4"/>
        <v>8.2022812013031992</v>
      </c>
      <c r="W6" s="48">
        <f t="shared" si="5"/>
        <v>8.1844845746660795</v>
      </c>
      <c r="X6" s="48">
        <f>STDEV(U6:W6)*Calculation!I6/Calculation!K5</f>
        <v>1.4041315453152639E-2</v>
      </c>
    </row>
    <row r="7" spans="1:24">
      <c r="A7" s="67">
        <v>3</v>
      </c>
      <c r="B7" s="68">
        <v>80</v>
      </c>
      <c r="C7" s="68">
        <v>280</v>
      </c>
      <c r="D7" s="13">
        <f t="shared" si="0"/>
        <v>4.666666666666667</v>
      </c>
      <c r="E7" s="31">
        <v>2</v>
      </c>
      <c r="F7" s="31">
        <v>25699</v>
      </c>
      <c r="G7" s="31">
        <v>7</v>
      </c>
      <c r="H7" s="43">
        <f>('Flow cytometer'!F7/'Flow cytometer'!G7)*POWER(10,'Flow cytometer'!E7+2)*10.2</f>
        <v>374471142.85714281</v>
      </c>
      <c r="I7" s="31">
        <v>2</v>
      </c>
      <c r="J7" s="31">
        <v>21673</v>
      </c>
      <c r="K7" s="31">
        <v>7</v>
      </c>
      <c r="L7" s="43">
        <f>('Flow cytometer'!J7/'Flow cytometer'!K7)*POWER(10,'Flow cytometer'!I7+2)*10.2</f>
        <v>315806571.42857146</v>
      </c>
      <c r="M7" s="31">
        <v>2</v>
      </c>
      <c r="N7" s="31">
        <v>26767</v>
      </c>
      <c r="O7" s="31">
        <v>7</v>
      </c>
      <c r="P7" s="43">
        <f>('Flow cytometer'!N7/'Flow cytometer'!O7)*POWER(10,'Flow cytometer'!M7+2)*10.2</f>
        <v>390033428.57142854</v>
      </c>
      <c r="Q7" s="46">
        <f>AVERAGE(H7,L7,P7)*Calculation!I7/Calculation!K6</f>
        <v>362003452.9395752</v>
      </c>
      <c r="R7" s="47">
        <f>STDEV(H7,L7,P7)*Calculation!I7/Calculation!K6</f>
        <v>39350134.28736195</v>
      </c>
      <c r="S7" s="48">
        <f t="shared" si="1"/>
        <v>8.5587127130344136</v>
      </c>
      <c r="T7" s="48">
        <f t="shared" si="2"/>
        <v>19.707164308251667</v>
      </c>
      <c r="U7" s="48">
        <f t="shared" si="3"/>
        <v>8.5734183561322066</v>
      </c>
      <c r="V7" s="48">
        <f t="shared" si="4"/>
        <v>8.4994211627383738</v>
      </c>
      <c r="W7" s="48">
        <f t="shared" si="5"/>
        <v>8.5911018306725282</v>
      </c>
      <c r="X7" s="48">
        <f>STDEV(U7:W7)*Calculation!I7/Calculation!K6</f>
        <v>4.8894082377181798E-2</v>
      </c>
    </row>
    <row r="8" spans="1:24">
      <c r="A8" s="67">
        <v>4</v>
      </c>
      <c r="B8" s="68">
        <v>80</v>
      </c>
      <c r="C8" s="68">
        <v>360</v>
      </c>
      <c r="D8" s="13">
        <f t="shared" si="0"/>
        <v>6</v>
      </c>
      <c r="E8" s="31">
        <v>3</v>
      </c>
      <c r="F8" s="31">
        <v>6009</v>
      </c>
      <c r="G8" s="31">
        <v>7</v>
      </c>
      <c r="H8" s="43">
        <f>('Flow cytometer'!F8/'Flow cytometer'!G8)*POWER(10,'Flow cytometer'!E8+2)*10.2</f>
        <v>875597142.85714281</v>
      </c>
      <c r="I8" s="31">
        <v>3</v>
      </c>
      <c r="J8" s="31">
        <v>6624</v>
      </c>
      <c r="K8" s="31">
        <v>7</v>
      </c>
      <c r="L8" s="43">
        <f>('Flow cytometer'!J8/'Flow cytometer'!K8)*POWER(10,'Flow cytometer'!I8+2)*10.2</f>
        <v>965211428.57142854</v>
      </c>
      <c r="M8" s="31">
        <v>3</v>
      </c>
      <c r="N8" s="31">
        <v>6340</v>
      </c>
      <c r="O8" s="31">
        <v>7</v>
      </c>
      <c r="P8" s="43">
        <f>('Flow cytometer'!N8/'Flow cytometer'!O8)*POWER(10,'Flow cytometer'!M8+2)*10.2</f>
        <v>923828571.42857134</v>
      </c>
      <c r="Q8" s="46">
        <f>AVERAGE(H8,L8,P8)*Calculation!I8/Calculation!K7</f>
        <v>930974154.99059641</v>
      </c>
      <c r="R8" s="47">
        <f>STDEV(H8,L8,P8)*Calculation!I8/Calculation!K7</f>
        <v>45309610.289022632</v>
      </c>
      <c r="S8" s="48">
        <f t="shared" si="1"/>
        <v>8.9689376245895396</v>
      </c>
      <c r="T8" s="48">
        <f t="shared" si="2"/>
        <v>20.651742074373303</v>
      </c>
      <c r="U8" s="48">
        <f t="shared" si="3"/>
        <v>8.9423043357609</v>
      </c>
      <c r="V8" s="48">
        <f t="shared" si="4"/>
        <v>8.9846224555244838</v>
      </c>
      <c r="W8" s="48">
        <f t="shared" si="5"/>
        <v>8.9655913896293935</v>
      </c>
      <c r="X8" s="48">
        <f>STDEV(U8:W8)*Calculation!I8/Calculation!K7</f>
        <v>2.1411544466945868E-2</v>
      </c>
    </row>
    <row r="9" spans="1:24">
      <c r="A9" s="67">
        <v>5</v>
      </c>
      <c r="B9" s="68">
        <v>80</v>
      </c>
      <c r="C9" s="68">
        <v>440</v>
      </c>
      <c r="D9" s="13">
        <f t="shared" si="0"/>
        <v>7.333333333333333</v>
      </c>
      <c r="E9" s="31">
        <v>3</v>
      </c>
      <c r="F9" s="31">
        <v>13416</v>
      </c>
      <c r="G9" s="31">
        <v>7</v>
      </c>
      <c r="H9" s="43">
        <f>('Flow cytometer'!F9/'Flow cytometer'!G9)*POWER(10,'Flow cytometer'!E9+2)*10.2</f>
        <v>1954902857.1428571</v>
      </c>
      <c r="I9" s="31">
        <v>3</v>
      </c>
      <c r="J9" s="31">
        <v>13738</v>
      </c>
      <c r="K9" s="31">
        <v>7</v>
      </c>
      <c r="L9" s="43">
        <f>('Flow cytometer'!J9/'Flow cytometer'!K9)*POWER(10,'Flow cytometer'!I9+2)*10.2</f>
        <v>2001822857.1428571</v>
      </c>
      <c r="M9" s="31">
        <v>3</v>
      </c>
      <c r="N9" s="31">
        <v>13915</v>
      </c>
      <c r="O9" s="31">
        <v>7</v>
      </c>
      <c r="P9" s="43">
        <f>('Flow cytometer'!N9/'Flow cytometer'!O9)*POWER(10,'Flow cytometer'!M9+2)*10.2</f>
        <v>2027614285.7142856</v>
      </c>
      <c r="Q9" s="46">
        <f>AVERAGE(H9,L9,P9)*Calculation!I9/Calculation!K8</f>
        <v>2034200040.0420272</v>
      </c>
      <c r="R9" s="47">
        <f>STDEV(H9,L9,P9)*Calculation!I9/Calculation!K8</f>
        <v>37592281.894728698</v>
      </c>
      <c r="S9" s="48">
        <f t="shared" si="1"/>
        <v>9.308393658525091</v>
      </c>
      <c r="T9" s="48">
        <f t="shared" si="2"/>
        <v>21.43336847784018</v>
      </c>
      <c r="U9" s="48">
        <f t="shared" si="3"/>
        <v>9.2911251813456897</v>
      </c>
      <c r="V9" s="48">
        <f t="shared" si="4"/>
        <v>9.3014256437880753</v>
      </c>
      <c r="W9" s="48">
        <f t="shared" si="5"/>
        <v>9.3069853424177218</v>
      </c>
      <c r="X9" s="48">
        <f>STDEV(U9:W9)*Calculation!I9/Calculation!K8</f>
        <v>8.2063302607162797E-3</v>
      </c>
    </row>
    <row r="10" spans="1:24">
      <c r="A10" s="67">
        <v>6</v>
      </c>
      <c r="B10" s="68">
        <v>80</v>
      </c>
      <c r="C10" s="68">
        <v>520</v>
      </c>
      <c r="D10" s="13">
        <f t="shared" si="0"/>
        <v>8.6666666666666661</v>
      </c>
      <c r="E10" s="31">
        <v>3</v>
      </c>
      <c r="F10" s="31">
        <v>17373</v>
      </c>
      <c r="G10" s="31">
        <v>7</v>
      </c>
      <c r="H10" s="43">
        <f>('Flow cytometer'!F10/'Flow cytometer'!G10)*POWER(10,'Flow cytometer'!E10+2)*10.2</f>
        <v>2531494285.7142854</v>
      </c>
      <c r="I10" s="31">
        <v>3</v>
      </c>
      <c r="J10" s="31">
        <v>18021</v>
      </c>
      <c r="K10" s="31">
        <v>7</v>
      </c>
      <c r="L10" s="43">
        <f>('Flow cytometer'!J10/'Flow cytometer'!K10)*POWER(10,'Flow cytometer'!I10+2)*10.2</f>
        <v>2625917142.8571429</v>
      </c>
      <c r="M10" s="31">
        <v>3</v>
      </c>
      <c r="N10" s="31">
        <v>16883</v>
      </c>
      <c r="O10" s="31">
        <v>7</v>
      </c>
      <c r="P10" s="43">
        <f>('Flow cytometer'!N10/'Flow cytometer'!O10)*POWER(10,'Flow cytometer'!M10+2)*10.2</f>
        <v>2460094285.7142854</v>
      </c>
      <c r="Q10" s="46">
        <f>AVERAGE(H10,L10,P10)*Calculation!I10/Calculation!K9</f>
        <v>2618310207.9564152</v>
      </c>
      <c r="R10" s="47">
        <f>STDEV(H10,L10,P10)*Calculation!I10/Calculation!K9</f>
        <v>85769876.313752308</v>
      </c>
      <c r="S10" s="48">
        <f t="shared" si="1"/>
        <v>9.4180210989079125</v>
      </c>
      <c r="T10" s="48">
        <f t="shared" si="2"/>
        <v>21.685794987848759</v>
      </c>
      <c r="U10" s="48">
        <f t="shared" si="3"/>
        <v>9.4033769514006966</v>
      </c>
      <c r="V10" s="48">
        <f t="shared" si="4"/>
        <v>9.4192810184146776</v>
      </c>
      <c r="W10" s="48">
        <f t="shared" si="5"/>
        <v>9.3909517522175019</v>
      </c>
      <c r="X10" s="48">
        <f>STDEV(U10:W10)*Calculation!I10/Calculation!K9</f>
        <v>1.464278537599503E-2</v>
      </c>
    </row>
    <row r="11" spans="1:24">
      <c r="A11" s="67">
        <v>7</v>
      </c>
      <c r="B11" s="68">
        <v>80</v>
      </c>
      <c r="C11" s="68">
        <v>600</v>
      </c>
      <c r="D11" s="13">
        <f t="shared" si="0"/>
        <v>10</v>
      </c>
      <c r="E11" s="31">
        <v>3</v>
      </c>
      <c r="F11" s="31">
        <v>24712</v>
      </c>
      <c r="G11" s="31">
        <v>7</v>
      </c>
      <c r="H11" s="43">
        <f>('Flow cytometer'!F11/'Flow cytometer'!G11)*POWER(10,'Flow cytometer'!E11+2)*10.2</f>
        <v>3600891428.5714278</v>
      </c>
      <c r="I11" s="31">
        <v>3</v>
      </c>
      <c r="J11" s="31">
        <v>24054</v>
      </c>
      <c r="K11" s="31">
        <v>7</v>
      </c>
      <c r="L11" s="43">
        <f>('Flow cytometer'!J11/'Flow cytometer'!K11)*POWER(10,'Flow cytometer'!I11+2)*10.2</f>
        <v>3505011428.5714283</v>
      </c>
      <c r="M11" s="31">
        <v>3</v>
      </c>
      <c r="N11" s="31">
        <v>25646</v>
      </c>
      <c r="O11" s="31">
        <v>7</v>
      </c>
      <c r="P11" s="43">
        <f>('Flow cytometer'!N11/'Flow cytometer'!O11)*POWER(10,'Flow cytometer'!M11+2)*10.2</f>
        <v>3736988571.4285712</v>
      </c>
      <c r="Q11" s="46">
        <f>AVERAGE(H11,L11,P11)*Calculation!I11/Calculation!K10</f>
        <v>3775276830.2989607</v>
      </c>
      <c r="R11" s="47">
        <f>STDEV(H11,L11,P11)*Calculation!I11/Calculation!K10</f>
        <v>121760059.64021662</v>
      </c>
      <c r="S11" s="48">
        <f t="shared" si="1"/>
        <v>9.5769488027104366</v>
      </c>
      <c r="T11" s="48">
        <f t="shared" si="2"/>
        <v>22.051739549488225</v>
      </c>
      <c r="U11" s="48">
        <f t="shared" si="3"/>
        <v>9.5564100270410552</v>
      </c>
      <c r="V11" s="48">
        <f t="shared" si="4"/>
        <v>9.5446894383818268</v>
      </c>
      <c r="W11" s="48">
        <f t="shared" si="5"/>
        <v>9.5725217696791542</v>
      </c>
      <c r="X11" s="48">
        <f>STDEV(U11:W11)*Calculation!I11/Calculation!K10</f>
        <v>1.4596167567821752E-2</v>
      </c>
    </row>
    <row r="12" spans="1:24">
      <c r="A12" s="67">
        <v>8</v>
      </c>
      <c r="B12" s="68">
        <v>80</v>
      </c>
      <c r="C12" s="68">
        <v>680</v>
      </c>
      <c r="D12" s="13">
        <f t="shared" si="0"/>
        <v>11.333333333333334</v>
      </c>
      <c r="E12" s="31">
        <v>3</v>
      </c>
      <c r="F12" s="31">
        <v>24328</v>
      </c>
      <c r="G12" s="31">
        <v>7</v>
      </c>
      <c r="H12" s="43">
        <f>('Flow cytometer'!F12/'Flow cytometer'!G12)*POWER(10,'Flow cytometer'!E12+2)*10.2</f>
        <v>3544937142.8571424</v>
      </c>
      <c r="I12" s="31">
        <v>3</v>
      </c>
      <c r="J12" s="31">
        <v>25523</v>
      </c>
      <c r="K12" s="31">
        <v>7</v>
      </c>
      <c r="L12" s="43">
        <f>('Flow cytometer'!J12/'Flow cytometer'!K12)*POWER(10,'Flow cytometer'!I12+2)*10.2</f>
        <v>3719065714.2857141</v>
      </c>
      <c r="M12" s="31">
        <v>3</v>
      </c>
      <c r="N12" s="31">
        <v>24956</v>
      </c>
      <c r="O12" s="31">
        <v>7</v>
      </c>
      <c r="P12" s="43">
        <f>('Flow cytometer'!N12/'Flow cytometer'!O12)*POWER(10,'Flow cytometer'!M12+2)*10.2</f>
        <v>3636445714.2857141</v>
      </c>
      <c r="Q12" s="46">
        <f>AVERAGE(H12,L12,P12)*Calculation!I12/Calculation!K11</f>
        <v>3827856811.476923</v>
      </c>
      <c r="R12" s="47">
        <f>STDEV(H12,L12,P12)*Calculation!I12/Calculation!K11</f>
        <v>91761633.13803488</v>
      </c>
      <c r="S12" s="48">
        <f t="shared" si="1"/>
        <v>9.5829556837682013</v>
      </c>
      <c r="T12" s="48">
        <f t="shared" si="2"/>
        <v>22.065570904267222</v>
      </c>
      <c r="U12" s="48">
        <f t="shared" si="3"/>
        <v>9.5496085388837368</v>
      </c>
      <c r="V12" s="48">
        <f t="shared" si="4"/>
        <v>9.5704338522227879</v>
      </c>
      <c r="W12" s="48">
        <f t="shared" si="5"/>
        <v>9.5606771087059865</v>
      </c>
      <c r="X12" s="48">
        <f>STDEV(U12:W12)*Calculation!I12/Calculation!K11</f>
        <v>1.0976936184483709E-2</v>
      </c>
    </row>
    <row r="13" spans="1:24">
      <c r="A13" s="67">
        <v>9</v>
      </c>
      <c r="B13" s="68">
        <v>80</v>
      </c>
      <c r="C13" s="68">
        <v>760</v>
      </c>
      <c r="D13" s="13">
        <f>C13/60</f>
        <v>12.666666666666666</v>
      </c>
      <c r="E13" s="31">
        <v>3</v>
      </c>
      <c r="F13" s="31">
        <v>25862</v>
      </c>
      <c r="G13" s="31">
        <v>7</v>
      </c>
      <c r="H13" s="43">
        <f>('Flow cytometer'!F13/'Flow cytometer'!G13)*POWER(10,'Flow cytometer'!E13+2)*10.2</f>
        <v>3768462857.1428571</v>
      </c>
      <c r="I13" s="31">
        <v>3</v>
      </c>
      <c r="J13" s="31">
        <v>25534</v>
      </c>
      <c r="K13" s="31">
        <v>7</v>
      </c>
      <c r="L13" s="43">
        <f>('Flow cytometer'!J13/'Flow cytometer'!K13)*POWER(10,'Flow cytometer'!I13+2)*10.2</f>
        <v>3720668571.4285712</v>
      </c>
      <c r="M13" s="31">
        <v>3</v>
      </c>
      <c r="N13" s="31">
        <v>25049</v>
      </c>
      <c r="O13" s="31">
        <v>7</v>
      </c>
      <c r="P13" s="43">
        <f>('Flow cytometer'!N13/'Flow cytometer'!O13)*POWER(10,'Flow cytometer'!M13+2)*10.2</f>
        <v>3649997142.8571424</v>
      </c>
      <c r="Q13" s="46">
        <f>AVERAGE(H13,L13,P13)*Calculation!I13/Calculation!K12</f>
        <v>3946068096.2269044</v>
      </c>
      <c r="R13" s="47">
        <f>STDEV(H13,L13,P13)*Calculation!I13/Calculation!K12</f>
        <v>63340276.735109232</v>
      </c>
      <c r="S13" s="48">
        <f t="shared" si="1"/>
        <v>9.5961645754829252</v>
      </c>
      <c r="T13" s="48">
        <f t="shared" si="2"/>
        <v>22.095985501424519</v>
      </c>
      <c r="U13" s="48">
        <f t="shared" si="3"/>
        <v>9.5761642391202422</v>
      </c>
      <c r="V13" s="48">
        <f t="shared" si="4"/>
        <v>9.5706209857940845</v>
      </c>
      <c r="W13" s="48">
        <f t="shared" si="5"/>
        <v>9.5622925244997994</v>
      </c>
      <c r="X13" s="48">
        <f>STDEV(U13:W13)*Calculation!I13/Calculation!K12</f>
        <v>7.4205030779491464E-3</v>
      </c>
    </row>
    <row r="14" spans="1:24">
      <c r="A14" s="67">
        <v>10</v>
      </c>
      <c r="B14" s="68">
        <v>80</v>
      </c>
      <c r="C14" s="68">
        <v>840</v>
      </c>
      <c r="D14" s="13">
        <f t="shared" si="0"/>
        <v>14</v>
      </c>
      <c r="E14" s="31">
        <v>3</v>
      </c>
      <c r="F14" s="31">
        <v>25496</v>
      </c>
      <c r="G14" s="31">
        <v>7</v>
      </c>
      <c r="H14" s="43">
        <f>('Flow cytometer'!F14/'Flow cytometer'!G14)*POWER(10,'Flow cytometer'!E14+2)*10.2</f>
        <v>3715131428.5714278</v>
      </c>
      <c r="I14" s="31">
        <v>3</v>
      </c>
      <c r="J14" s="31">
        <v>25580</v>
      </c>
      <c r="K14" s="31">
        <v>7</v>
      </c>
      <c r="L14" s="43">
        <f>('Flow cytometer'!J14/'Flow cytometer'!K14)*POWER(10,'Flow cytometer'!I14+2)*10.2</f>
        <v>3727371428.5714278</v>
      </c>
      <c r="M14" s="31">
        <v>3</v>
      </c>
      <c r="N14" s="31">
        <v>26133</v>
      </c>
      <c r="O14" s="31">
        <v>7</v>
      </c>
      <c r="P14" s="43">
        <f>('Flow cytometer'!N14/'Flow cytometer'!O14)*POWER(10,'Flow cytometer'!M14+2)*10.2</f>
        <v>3807951428.5714278</v>
      </c>
      <c r="Q14" s="46">
        <f>AVERAGE(H14,L14,P14)*Calculation!I14/Calculation!K13</f>
        <v>4008410752.6241183</v>
      </c>
      <c r="R14" s="47">
        <f>STDEV(H14,L14,P14)*Calculation!I14/Calculation!K13</f>
        <v>53901866.087807804</v>
      </c>
      <c r="S14" s="48">
        <f t="shared" si="1"/>
        <v>9.602972218462444</v>
      </c>
      <c r="T14" s="48">
        <f t="shared" si="2"/>
        <v>22.111660678667583</v>
      </c>
      <c r="U14" s="48">
        <f t="shared" si="3"/>
        <v>9.5699741822133362</v>
      </c>
      <c r="V14" s="48">
        <f t="shared" si="4"/>
        <v>9.5714026718902954</v>
      </c>
      <c r="W14" s="48">
        <f t="shared" si="5"/>
        <v>9.5806914002066765</v>
      </c>
      <c r="X14" s="48">
        <f>STDEV(U14:W14)*Calculation!I14/Calculation!K13</f>
        <v>6.2199668799117255E-3</v>
      </c>
    </row>
    <row r="15" spans="1:24">
      <c r="A15" s="67">
        <v>11</v>
      </c>
      <c r="B15" s="68">
        <v>80</v>
      </c>
      <c r="C15" s="68">
        <v>920</v>
      </c>
      <c r="D15" s="13">
        <f t="shared" si="0"/>
        <v>15.333333333333334</v>
      </c>
      <c r="E15" s="31">
        <v>3</v>
      </c>
      <c r="F15" s="31">
        <v>21170</v>
      </c>
      <c r="G15" s="31">
        <v>7</v>
      </c>
      <c r="H15" s="43">
        <f>('Flow cytometer'!F15/'Flow cytometer'!G15)*POWER(10,'Flow cytometer'!E15+2)*10.2</f>
        <v>3084771428.5714283</v>
      </c>
      <c r="I15" s="31">
        <v>3</v>
      </c>
      <c r="J15" s="31">
        <v>22673</v>
      </c>
      <c r="K15" s="31">
        <v>7</v>
      </c>
      <c r="L15" s="43">
        <f>('Flow cytometer'!J15/'Flow cytometer'!K15)*POWER(10,'Flow cytometer'!I15+2)*10.2</f>
        <v>3303780000</v>
      </c>
      <c r="M15" s="31">
        <v>3</v>
      </c>
      <c r="N15" s="31">
        <v>21981</v>
      </c>
      <c r="O15" s="31">
        <v>7</v>
      </c>
      <c r="P15" s="43">
        <f>('Flow cytometer'!N15/'Flow cytometer'!O15)*POWER(10,'Flow cytometer'!M15+2)*10.2</f>
        <v>3202945714.2857141</v>
      </c>
      <c r="Q15" s="46">
        <f>AVERAGE(H15,L15,P15)*Calculation!I15/Calculation!K14</f>
        <v>3417342918.3220873</v>
      </c>
      <c r="R15" s="47">
        <f>STDEV(H15,L15,P15)*Calculation!I15/Calculation!K14</f>
        <v>117167671.50073239</v>
      </c>
      <c r="S15" s="48">
        <f t="shared" si="1"/>
        <v>9.5336885609066346</v>
      </c>
      <c r="T15" s="48">
        <f t="shared" si="2"/>
        <v>21.952129161591472</v>
      </c>
      <c r="U15" s="48">
        <f t="shared" si="3"/>
        <v>9.4892229897670735</v>
      </c>
      <c r="V15" s="48">
        <f t="shared" si="4"/>
        <v>9.5190111197720952</v>
      </c>
      <c r="W15" s="48">
        <f t="shared" si="5"/>
        <v>9.5055495780063293</v>
      </c>
      <c r="X15" s="48">
        <f>STDEV(U15:W15)*Calculation!I15/Calculation!K14</f>
        <v>1.5944291290565859E-2</v>
      </c>
    </row>
    <row r="16" spans="1:24">
      <c r="A16" s="67">
        <v>12</v>
      </c>
      <c r="B16" s="68">
        <v>80</v>
      </c>
      <c r="C16" s="68">
        <v>1000</v>
      </c>
      <c r="D16" s="13">
        <f t="shared" si="0"/>
        <v>16.666666666666668</v>
      </c>
      <c r="E16" s="31">
        <v>3</v>
      </c>
      <c r="F16" s="31">
        <v>26671</v>
      </c>
      <c r="G16" s="31">
        <v>7</v>
      </c>
      <c r="H16" s="43">
        <f>('Flow cytometer'!F16/'Flow cytometer'!G16)*POWER(10,'Flow cytometer'!E16+2)*10.2</f>
        <v>3886345714.2857141</v>
      </c>
      <c r="I16" s="31">
        <v>3</v>
      </c>
      <c r="J16" s="31">
        <v>26310</v>
      </c>
      <c r="K16" s="31">
        <v>7</v>
      </c>
      <c r="L16" s="43">
        <f>('Flow cytometer'!J16/'Flow cytometer'!K16)*POWER(10,'Flow cytometer'!I16+2)*10.2</f>
        <v>3833742857.1428571</v>
      </c>
      <c r="M16" s="31">
        <v>3</v>
      </c>
      <c r="N16" s="31">
        <v>25727</v>
      </c>
      <c r="O16" s="31">
        <v>7</v>
      </c>
      <c r="P16" s="43">
        <f>('Flow cytometer'!N16/'Flow cytometer'!O16)*POWER(10,'Flow cytometer'!M16+2)*10.2</f>
        <v>3748791428.5714278</v>
      </c>
      <c r="Q16" s="46">
        <f>AVERAGE(H16,L16,P16)*Calculation!I16/Calculation!K15</f>
        <v>4089839947.0312376</v>
      </c>
      <c r="R16" s="47">
        <f>STDEV(H16,L16,P16)*Calculation!I16/Calculation!K15</f>
        <v>74253567.641154364</v>
      </c>
      <c r="S16" s="48">
        <f t="shared" si="1"/>
        <v>9.611706312535155</v>
      </c>
      <c r="T16" s="48">
        <f t="shared" si="2"/>
        <v>22.131771673480216</v>
      </c>
      <c r="U16" s="48">
        <f t="shared" si="3"/>
        <v>9.5895414311398284</v>
      </c>
      <c r="V16" s="48">
        <f t="shared" si="4"/>
        <v>9.583622979833363</v>
      </c>
      <c r="W16" s="48">
        <f t="shared" si="5"/>
        <v>9.5738912782608931</v>
      </c>
      <c r="X16" s="48">
        <f>STDEV(U16:W16)*Calculation!I16/Calculation!K15</f>
        <v>8.4537692576857962E-3</v>
      </c>
    </row>
    <row r="17" spans="1:24">
      <c r="A17" s="67">
        <v>13</v>
      </c>
      <c r="B17" s="68">
        <v>80</v>
      </c>
      <c r="C17" s="68">
        <v>1080</v>
      </c>
      <c r="D17" s="13">
        <f t="shared" si="0"/>
        <v>18</v>
      </c>
      <c r="E17" s="31">
        <v>3</v>
      </c>
      <c r="F17" s="31">
        <v>25443</v>
      </c>
      <c r="G17" s="31">
        <v>7</v>
      </c>
      <c r="H17" s="43">
        <f>('Flow cytometer'!F17/'Flow cytometer'!G17)*POWER(10,'Flow cytometer'!E17+2)*10.2</f>
        <v>3707408571.4285712</v>
      </c>
      <c r="I17" s="31">
        <v>3</v>
      </c>
      <c r="J17" s="31">
        <v>25845</v>
      </c>
      <c r="K17" s="31">
        <v>7</v>
      </c>
      <c r="L17" s="43">
        <f>('Flow cytometer'!J17/'Flow cytometer'!K17)*POWER(10,'Flow cytometer'!I17+2)*10.2</f>
        <v>3765985714.2857141</v>
      </c>
      <c r="M17" s="31">
        <v>3</v>
      </c>
      <c r="N17" s="31">
        <v>25150</v>
      </c>
      <c r="O17" s="31">
        <v>7</v>
      </c>
      <c r="P17" s="43">
        <f>('Flow cytometer'!N17/'Flow cytometer'!O17)*POWER(10,'Flow cytometer'!M17+2)*10.2</f>
        <v>3664714285.7142854</v>
      </c>
      <c r="Q17" s="46">
        <f>AVERAGE(H17,L17,P17)*Calculation!I17/Calculation!K16</f>
        <v>3971885778.7159338</v>
      </c>
      <c r="R17" s="47">
        <f>STDEV(H17,L17,P17)*Calculation!I17/Calculation!K16</f>
        <v>54392201.302145496</v>
      </c>
      <c r="S17" s="48">
        <f t="shared" si="1"/>
        <v>9.5989967508035434</v>
      </c>
      <c r="T17" s="48">
        <f t="shared" si="2"/>
        <v>22.102506826098519</v>
      </c>
      <c r="U17" s="48">
        <f t="shared" si="3"/>
        <v>9.5690704496765058</v>
      </c>
      <c r="V17" s="48">
        <f t="shared" si="4"/>
        <v>9.5758786682513701</v>
      </c>
      <c r="W17" s="48">
        <f t="shared" si="5"/>
        <v>9.5640401211396071</v>
      </c>
      <c r="X17" s="48">
        <f>STDEV(U17:W17)*Calculation!I17/Calculation!K16</f>
        <v>6.3562553682781683E-3</v>
      </c>
    </row>
    <row r="18" spans="1:24">
      <c r="A18" s="67">
        <v>14</v>
      </c>
      <c r="B18" s="68">
        <v>360</v>
      </c>
      <c r="C18" s="68">
        <v>1440</v>
      </c>
      <c r="D18" s="13">
        <f t="shared" si="0"/>
        <v>24</v>
      </c>
      <c r="E18" s="31">
        <v>3</v>
      </c>
      <c r="F18" s="31">
        <v>16375</v>
      </c>
      <c r="G18" s="31">
        <v>7</v>
      </c>
      <c r="H18" s="43">
        <f>('Flow cytometer'!F18/'Flow cytometer'!G18)*POWER(10,'Flow cytometer'!E18+2)*10.2</f>
        <v>2386071428.5714283</v>
      </c>
      <c r="I18" s="31">
        <v>3</v>
      </c>
      <c r="J18" s="31">
        <v>19301</v>
      </c>
      <c r="K18" s="31">
        <v>7</v>
      </c>
      <c r="L18" s="43">
        <f>('Flow cytometer'!J18/'Flow cytometer'!K18)*POWER(10,'Flow cytometer'!I18+2)*10.2</f>
        <v>2812431428.5714283</v>
      </c>
      <c r="M18" s="31">
        <v>3</v>
      </c>
      <c r="N18" s="31">
        <v>19440</v>
      </c>
      <c r="O18" s="31">
        <v>7</v>
      </c>
      <c r="P18" s="43">
        <f>('Flow cytometer'!N18/'Flow cytometer'!O18)*POWER(10,'Flow cytometer'!M18+2)*10.2</f>
        <v>2832685714.2857141</v>
      </c>
      <c r="Q18" s="46">
        <f>AVERAGE(H18,L18,P18)*Calculation!I18/Calculation!K17</f>
        <v>2869509055.6323466</v>
      </c>
      <c r="R18" s="47">
        <f>STDEV(H18,L18,P18)*Calculation!I18/Calculation!K17</f>
        <v>270339964.85493958</v>
      </c>
      <c r="S18" s="48">
        <f t="shared" si="1"/>
        <v>9.4578075996370643</v>
      </c>
      <c r="T18" s="48">
        <f t="shared" si="2"/>
        <v>21.777406791330101</v>
      </c>
      <c r="U18" s="48">
        <f t="shared" si="3"/>
        <v>9.3776834404114808</v>
      </c>
      <c r="V18" s="48">
        <f t="shared" si="4"/>
        <v>9.449081942477255</v>
      </c>
      <c r="W18" s="48">
        <f t="shared" si="5"/>
        <v>9.452198392337916</v>
      </c>
      <c r="X18" s="48">
        <f>STDEV(U18:W18)*Calculation!I18/Calculation!K17</f>
        <v>4.5180466738288384E-2</v>
      </c>
    </row>
    <row r="19" spans="1:24">
      <c r="A19" s="67">
        <v>15</v>
      </c>
      <c r="B19" s="68">
        <v>375</v>
      </c>
      <c r="C19" s="68">
        <v>1815</v>
      </c>
      <c r="D19" s="13">
        <f>C19/60</f>
        <v>30.25</v>
      </c>
      <c r="E19" s="31">
        <v>3</v>
      </c>
      <c r="F19" s="31">
        <v>15884</v>
      </c>
      <c r="G19" s="31">
        <v>7</v>
      </c>
      <c r="H19" s="43">
        <f>('Flow cytometer'!F19/'Flow cytometer'!G19)*POWER(10,'Flow cytometer'!E19+2)*10.2</f>
        <v>2314525714.2857141</v>
      </c>
      <c r="I19" s="31">
        <v>3</v>
      </c>
      <c r="J19" s="31">
        <v>12402</v>
      </c>
      <c r="K19" s="31">
        <v>7</v>
      </c>
      <c r="L19" s="43">
        <f>('Flow cytometer'!J19/'Flow cytometer'!K19)*POWER(10,'Flow cytometer'!I19+2)*10.2</f>
        <v>1807148571.4285712</v>
      </c>
      <c r="M19" s="31">
        <v>3</v>
      </c>
      <c r="N19" s="31">
        <v>14793</v>
      </c>
      <c r="O19" s="31">
        <v>7</v>
      </c>
      <c r="P19" s="43">
        <f>('Flow cytometer'!N19/'Flow cytometer'!O19)*POWER(10,'Flow cytometer'!M19+2)*10.2</f>
        <v>2155551428.5714283</v>
      </c>
      <c r="Q19" s="46">
        <f>AVERAGE(H19,L19,P19)*Calculation!I19/Calculation!K18</f>
        <v>2242825687.7782464</v>
      </c>
      <c r="R19" s="47">
        <f>STDEV(H19,L19,P19)*Calculation!I19/Calculation!K18</f>
        <v>278171022.95754945</v>
      </c>
      <c r="S19" s="48">
        <f t="shared" si="1"/>
        <v>9.3507955215643452</v>
      </c>
      <c r="T19" s="48">
        <f t="shared" si="2"/>
        <v>21.531002375589544</v>
      </c>
      <c r="U19" s="48">
        <f t="shared" si="3"/>
        <v>9.3644620101395066</v>
      </c>
      <c r="V19" s="48">
        <f t="shared" si="4"/>
        <v>9.2569938587585927</v>
      </c>
      <c r="W19" s="48">
        <f t="shared" si="5"/>
        <v>9.3335583889984601</v>
      </c>
      <c r="X19" s="48">
        <f>STDEV(U19:W19)*Calculation!I19/Calculation!K18</f>
        <v>5.9304462203118545E-2</v>
      </c>
    </row>
    <row r="20" spans="1:24">
      <c r="A20" s="67">
        <v>16</v>
      </c>
      <c r="B20" s="68">
        <v>1065</v>
      </c>
      <c r="C20" s="68">
        <v>2880</v>
      </c>
      <c r="D20" s="13">
        <f t="shared" ref="D20" si="6">C20/60</f>
        <v>48</v>
      </c>
      <c r="E20" s="31">
        <v>3</v>
      </c>
      <c r="F20" s="31">
        <v>9777</v>
      </c>
      <c r="G20" s="31">
        <v>7</v>
      </c>
      <c r="H20" s="43">
        <f>('Flow cytometer'!F20/'Flow cytometer'!G20)*POWER(10,'Flow cytometer'!E20+2)*10.2</f>
        <v>1424648571.4285712</v>
      </c>
      <c r="I20" s="31">
        <v>3</v>
      </c>
      <c r="J20" s="31">
        <v>10262</v>
      </c>
      <c r="K20" s="31">
        <v>7</v>
      </c>
      <c r="L20" s="43">
        <f>('Flow cytometer'!J20/'Flow cytometer'!K20)*POWER(10,'Flow cytometer'!I20+2)*10.2</f>
        <v>1495320000</v>
      </c>
      <c r="M20" s="31">
        <v>3</v>
      </c>
      <c r="N20" s="31">
        <v>9430</v>
      </c>
      <c r="O20" s="31">
        <v>7</v>
      </c>
      <c r="P20" s="43">
        <f>('Flow cytometer'!N20/'Flow cytometer'!O20)*POWER(10,'Flow cytometer'!M20+2)*10.2</f>
        <v>1374085714.2857141</v>
      </c>
      <c r="Q20" s="46">
        <f>AVERAGE(H20,L20,P20)*Calculation!I20/Calculation!K19</f>
        <v>1535911127.8196404</v>
      </c>
      <c r="R20" s="47">
        <f>STDEV(H20,L20,P20)*Calculation!I20/Calculation!K19</f>
        <v>65342768.993360244</v>
      </c>
      <c r="S20" s="48">
        <f t="shared" ref="S20" si="7">LOG(Q20)</f>
        <v>9.1863660869102315</v>
      </c>
      <c r="T20" s="48">
        <f t="shared" ref="T20" si="8">LN(Q20)</f>
        <v>21.152389610505544</v>
      </c>
      <c r="U20" s="48">
        <f t="shared" si="3"/>
        <v>9.1537077469324668</v>
      </c>
      <c r="V20" s="48">
        <f t="shared" si="4"/>
        <v>9.1747341420670274</v>
      </c>
      <c r="W20" s="48">
        <f t="shared" si="5"/>
        <v>9.1380138244849896</v>
      </c>
      <c r="X20" s="48">
        <f>STDEV(U20:W20)*Calculation!I20/Calculation!K19</f>
        <v>1.9770485582436347E-2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A18" workbookViewId="0">
      <selection activeCell="G45" sqref="G45"/>
    </sheetView>
  </sheetViews>
  <sheetFormatPr baseColWidth="10" defaultRowHeight="14" x14ac:dyDescent="0"/>
  <sheetData>
    <row r="1" spans="1:21">
      <c r="A1" s="83"/>
      <c r="B1" s="145" t="s">
        <v>4</v>
      </c>
      <c r="C1" s="147" t="s">
        <v>182</v>
      </c>
      <c r="D1" s="148" t="s">
        <v>18</v>
      </c>
      <c r="E1" s="148"/>
      <c r="F1" s="148"/>
      <c r="G1" s="148"/>
      <c r="H1" s="148" t="s">
        <v>20</v>
      </c>
      <c r="I1" s="148"/>
      <c r="J1" s="148"/>
      <c r="K1" s="148"/>
      <c r="L1" s="148" t="s">
        <v>21</v>
      </c>
      <c r="M1" s="148"/>
      <c r="N1" s="148"/>
      <c r="O1" s="148"/>
      <c r="P1" s="84" t="s">
        <v>22</v>
      </c>
      <c r="Q1" s="84" t="s">
        <v>22</v>
      </c>
      <c r="R1" s="84" t="s">
        <v>22</v>
      </c>
      <c r="S1" s="140" t="s">
        <v>183</v>
      </c>
      <c r="T1" s="83"/>
      <c r="U1" s="83"/>
    </row>
    <row r="2" spans="1:21">
      <c r="A2" s="83"/>
      <c r="B2" s="146"/>
      <c r="C2" s="146"/>
      <c r="D2" s="85" t="s">
        <v>19</v>
      </c>
      <c r="E2" s="85" t="s">
        <v>68</v>
      </c>
      <c r="F2" s="85" t="s">
        <v>69</v>
      </c>
      <c r="G2" s="85" t="s">
        <v>70</v>
      </c>
      <c r="H2" s="85" t="s">
        <v>19</v>
      </c>
      <c r="I2" s="85" t="s">
        <v>68</v>
      </c>
      <c r="J2" s="85" t="s">
        <v>69</v>
      </c>
      <c r="K2" s="85" t="s">
        <v>70</v>
      </c>
      <c r="L2" s="85" t="s">
        <v>19</v>
      </c>
      <c r="M2" s="85" t="s">
        <v>68</v>
      </c>
      <c r="N2" s="85" t="s">
        <v>69</v>
      </c>
      <c r="O2" s="85" t="s">
        <v>71</v>
      </c>
      <c r="P2" s="86" t="s">
        <v>70</v>
      </c>
      <c r="Q2" s="86" t="s">
        <v>23</v>
      </c>
      <c r="R2" s="86" t="s">
        <v>72</v>
      </c>
      <c r="S2" s="141"/>
      <c r="T2" s="83"/>
      <c r="U2" s="83"/>
    </row>
    <row r="3" spans="1:21">
      <c r="A3" s="83"/>
      <c r="B3" s="87"/>
      <c r="C3" s="87"/>
      <c r="D3" s="88"/>
      <c r="E3" s="88"/>
      <c r="F3" s="88"/>
      <c r="G3" s="89"/>
      <c r="H3" s="88"/>
      <c r="I3" s="88"/>
      <c r="J3" s="88"/>
      <c r="K3" s="89"/>
      <c r="L3" s="88"/>
      <c r="M3" s="88"/>
      <c r="N3" s="88"/>
      <c r="O3" s="89"/>
      <c r="P3" s="142"/>
      <c r="Q3" s="143"/>
      <c r="R3" s="144"/>
      <c r="S3" s="83"/>
      <c r="T3" s="83"/>
      <c r="U3" s="83"/>
    </row>
    <row r="4" spans="1:21">
      <c r="A4" s="83"/>
      <c r="B4" s="90" t="s">
        <v>184</v>
      </c>
      <c r="C4" s="91">
        <v>500</v>
      </c>
      <c r="D4" s="91">
        <v>2</v>
      </c>
      <c r="E4" s="91">
        <v>26960</v>
      </c>
      <c r="F4" s="91">
        <v>7</v>
      </c>
      <c r="G4" s="89">
        <f t="shared" ref="G4:G19" si="0">(E4/F4)*(10.2)*POWER(10,D4+2)</f>
        <v>392845714.28571427</v>
      </c>
      <c r="H4" s="91">
        <v>2</v>
      </c>
      <c r="I4" s="91">
        <v>28998</v>
      </c>
      <c r="J4" s="91">
        <v>7</v>
      </c>
      <c r="K4" s="89">
        <f t="shared" ref="K4:K19" si="1">(I4/J4)*(10.2)*POWER(10,H4+2)</f>
        <v>422542285.71428567</v>
      </c>
      <c r="L4" s="91">
        <v>2</v>
      </c>
      <c r="M4" s="91">
        <v>29053</v>
      </c>
      <c r="N4" s="91">
        <v>7</v>
      </c>
      <c r="O4" s="89">
        <f t="shared" ref="O4:O19" si="2">(M4/N4)*(10.2)*POWER(10,L4+2)</f>
        <v>423343714.28571433</v>
      </c>
      <c r="P4" s="92">
        <f t="shared" ref="P4:P19" si="3">AVERAGE(O4,K4,G4)</f>
        <v>412910571.4285714</v>
      </c>
      <c r="Q4" s="92">
        <f t="shared" ref="Q4:Q19" si="4">STDEV(O4,K4,G4)</f>
        <v>17381295.724462688</v>
      </c>
      <c r="R4" s="93">
        <f>LOG(P4)</f>
        <v>8.6158560019212569</v>
      </c>
      <c r="S4" s="83"/>
      <c r="T4" s="83"/>
      <c r="U4" s="83"/>
    </row>
    <row r="5" spans="1:21">
      <c r="A5" s="83"/>
      <c r="B5" s="90" t="s">
        <v>185</v>
      </c>
      <c r="C5" s="91">
        <v>500</v>
      </c>
      <c r="D5" s="91">
        <v>1</v>
      </c>
      <c r="E5" s="91">
        <v>25770</v>
      </c>
      <c r="F5" s="91">
        <v>7</v>
      </c>
      <c r="G5" s="89">
        <f t="shared" si="0"/>
        <v>37550571.428571425</v>
      </c>
      <c r="H5" s="91">
        <v>1</v>
      </c>
      <c r="I5" s="91">
        <v>24760</v>
      </c>
      <c r="J5" s="91">
        <v>7</v>
      </c>
      <c r="K5" s="89">
        <f t="shared" si="1"/>
        <v>36078857.142857142</v>
      </c>
      <c r="L5" s="91">
        <v>1</v>
      </c>
      <c r="M5" s="91">
        <v>27526</v>
      </c>
      <c r="N5" s="91">
        <v>7</v>
      </c>
      <c r="O5" s="89">
        <f t="shared" si="2"/>
        <v>40109314.285714284</v>
      </c>
      <c r="P5" s="92">
        <f t="shared" si="3"/>
        <v>37912914.285714291</v>
      </c>
      <c r="Q5" s="92">
        <f t="shared" si="4"/>
        <v>2039513.5338344474</v>
      </c>
      <c r="R5" s="93">
        <f t="shared" ref="R5:R19" si="5">LOG(P5)</f>
        <v>7.5787871690098934</v>
      </c>
      <c r="S5" s="83"/>
      <c r="T5" s="83"/>
      <c r="U5" s="83"/>
    </row>
    <row r="6" spans="1:21">
      <c r="A6" s="83"/>
      <c r="B6" s="90" t="s">
        <v>186</v>
      </c>
      <c r="C6" s="91">
        <v>500</v>
      </c>
      <c r="D6" s="91">
        <v>0</v>
      </c>
      <c r="E6" s="91">
        <v>2493</v>
      </c>
      <c r="F6" s="91">
        <v>7</v>
      </c>
      <c r="G6" s="89">
        <f t="shared" si="0"/>
        <v>363265.71428571426</v>
      </c>
      <c r="H6" s="91">
        <v>0</v>
      </c>
      <c r="I6" s="91">
        <v>2459</v>
      </c>
      <c r="J6" s="91">
        <v>7</v>
      </c>
      <c r="K6" s="89">
        <f t="shared" si="1"/>
        <v>358311.42857142852</v>
      </c>
      <c r="L6" s="91">
        <v>0</v>
      </c>
      <c r="M6" s="91">
        <v>2550</v>
      </c>
      <c r="N6" s="91">
        <v>7</v>
      </c>
      <c r="O6" s="89">
        <f t="shared" si="2"/>
        <v>371571.42857142852</v>
      </c>
      <c r="P6" s="92">
        <f t="shared" si="3"/>
        <v>364382.8571428571</v>
      </c>
      <c r="Q6" s="92">
        <f t="shared" si="4"/>
        <v>6700.2168712996863</v>
      </c>
      <c r="R6" s="93">
        <f t="shared" si="5"/>
        <v>5.5615579368427026</v>
      </c>
      <c r="S6" s="94" t="s">
        <v>129</v>
      </c>
      <c r="T6" s="83"/>
      <c r="U6" s="83"/>
    </row>
    <row r="7" spans="1:21">
      <c r="A7" s="83"/>
      <c r="B7" s="90" t="s">
        <v>187</v>
      </c>
      <c r="C7" s="91">
        <v>500</v>
      </c>
      <c r="D7" s="91">
        <f>LOG(705/250)</f>
        <v>0.45024910831936105</v>
      </c>
      <c r="E7" s="91">
        <v>946</v>
      </c>
      <c r="F7" s="91">
        <v>7</v>
      </c>
      <c r="G7" s="89">
        <f>(E7/F7)*(1)*POWER(10,D7+2)</f>
        <v>38110.285714285717</v>
      </c>
      <c r="H7" s="91">
        <f>LOG(705/250)</f>
        <v>0.45024910831936105</v>
      </c>
      <c r="I7" s="91">
        <v>885</v>
      </c>
      <c r="J7" s="91">
        <v>7</v>
      </c>
      <c r="K7" s="89">
        <f t="shared" si="1"/>
        <v>363659.1428571429</v>
      </c>
      <c r="L7" s="91">
        <f>LOG(705/250)</f>
        <v>0.45024910831936105</v>
      </c>
      <c r="M7" s="91">
        <v>947</v>
      </c>
      <c r="N7" s="91">
        <v>7</v>
      </c>
      <c r="O7" s="89">
        <f>(M7/N7)*(1)*POWER(10,L7+2)</f>
        <v>38150.571428571435</v>
      </c>
      <c r="P7" s="92">
        <f t="shared" si="3"/>
        <v>146640.00000000003</v>
      </c>
      <c r="Q7" s="92">
        <f t="shared" si="4"/>
        <v>187944.09190121258</v>
      </c>
      <c r="R7" s="93">
        <f t="shared" si="5"/>
        <v>5.1662524519541604</v>
      </c>
      <c r="S7" s="83"/>
      <c r="T7" s="83"/>
      <c r="U7" s="83"/>
    </row>
    <row r="8" spans="1:21">
      <c r="A8" s="83"/>
      <c r="B8" s="90" t="s">
        <v>188</v>
      </c>
      <c r="C8" s="91">
        <v>500</v>
      </c>
      <c r="D8" s="91">
        <f>LOG(705/250)</f>
        <v>0.45024910831936105</v>
      </c>
      <c r="E8" s="91">
        <v>1248</v>
      </c>
      <c r="F8" s="91">
        <v>70</v>
      </c>
      <c r="G8" s="89">
        <f>(E8/F8)*(1)*POWER(10,D8+2)</f>
        <v>5027.6571428571442</v>
      </c>
      <c r="H8" s="91">
        <f>LOG(705/250)</f>
        <v>0.45024910831936105</v>
      </c>
      <c r="I8" s="91">
        <v>1303</v>
      </c>
      <c r="J8" s="91">
        <v>70</v>
      </c>
      <c r="K8" s="89">
        <f t="shared" si="1"/>
        <v>53542.131428571432</v>
      </c>
      <c r="L8" s="91">
        <f>LOG(705/250)</f>
        <v>0.45024910831936105</v>
      </c>
      <c r="M8" s="91">
        <v>1278</v>
      </c>
      <c r="N8" s="91">
        <v>70</v>
      </c>
      <c r="O8" s="89">
        <f>(M8/N8)*(1)*POWER(10,L8+2)</f>
        <v>5148.5142857142864</v>
      </c>
      <c r="P8" s="92">
        <f t="shared" si="3"/>
        <v>21239.434285714287</v>
      </c>
      <c r="Q8" s="92">
        <f t="shared" si="4"/>
        <v>27975.021602129429</v>
      </c>
      <c r="R8" s="93">
        <f t="shared" si="5"/>
        <v>4.3271429450900092</v>
      </c>
      <c r="S8" s="83"/>
      <c r="T8" s="83"/>
      <c r="U8" s="83"/>
    </row>
    <row r="9" spans="1:21">
      <c r="A9" s="83"/>
      <c r="B9" s="90" t="s">
        <v>189</v>
      </c>
      <c r="C9" s="91">
        <v>900</v>
      </c>
      <c r="D9" s="91">
        <v>2</v>
      </c>
      <c r="E9" s="91">
        <v>26822</v>
      </c>
      <c r="F9" s="91">
        <v>7</v>
      </c>
      <c r="G9" s="89">
        <f t="shared" si="0"/>
        <v>390834857.14285713</v>
      </c>
      <c r="H9" s="91">
        <v>2</v>
      </c>
      <c r="I9" s="91">
        <v>25452</v>
      </c>
      <c r="J9" s="91">
        <v>7</v>
      </c>
      <c r="K9" s="89">
        <f t="shared" si="1"/>
        <v>370872000</v>
      </c>
      <c r="L9" s="91">
        <v>2</v>
      </c>
      <c r="M9" s="91">
        <v>29126</v>
      </c>
      <c r="N9" s="91">
        <v>7</v>
      </c>
      <c r="O9" s="89">
        <f t="shared" si="2"/>
        <v>424407428.57142854</v>
      </c>
      <c r="P9" s="92">
        <f t="shared" si="3"/>
        <v>395371428.57142854</v>
      </c>
      <c r="Q9" s="92">
        <f t="shared" si="4"/>
        <v>27054498.485954784</v>
      </c>
      <c r="R9" s="93">
        <f t="shared" si="5"/>
        <v>8.5970052819172</v>
      </c>
      <c r="S9" s="83"/>
      <c r="T9" s="83"/>
      <c r="U9" s="83"/>
    </row>
    <row r="10" spans="1:21">
      <c r="A10" s="83"/>
      <c r="B10" s="90" t="s">
        <v>190</v>
      </c>
      <c r="C10" s="91">
        <v>900</v>
      </c>
      <c r="D10" s="91">
        <v>1</v>
      </c>
      <c r="E10" s="91">
        <v>11669</v>
      </c>
      <c r="F10" s="91">
        <v>7</v>
      </c>
      <c r="G10" s="89">
        <f t="shared" si="0"/>
        <v>17003399.999999996</v>
      </c>
      <c r="H10" s="91">
        <v>1</v>
      </c>
      <c r="I10" s="91">
        <v>13970</v>
      </c>
      <c r="J10" s="91">
        <v>20</v>
      </c>
      <c r="K10" s="89">
        <f t="shared" si="1"/>
        <v>7124700</v>
      </c>
      <c r="L10" s="91">
        <v>1</v>
      </c>
      <c r="M10" s="91">
        <v>12995</v>
      </c>
      <c r="N10" s="91">
        <v>7</v>
      </c>
      <c r="O10" s="89">
        <f t="shared" si="2"/>
        <v>18935571.428571429</v>
      </c>
      <c r="P10" s="92">
        <f t="shared" si="3"/>
        <v>14354557.142857142</v>
      </c>
      <c r="Q10" s="92">
        <f t="shared" si="4"/>
        <v>6335333.2459262749</v>
      </c>
      <c r="R10" s="93">
        <f t="shared" si="5"/>
        <v>7.1569897984779303</v>
      </c>
      <c r="S10" s="94" t="s">
        <v>129</v>
      </c>
      <c r="T10" s="83"/>
      <c r="U10" s="83"/>
    </row>
    <row r="11" spans="1:21">
      <c r="A11" s="83"/>
      <c r="B11" s="90" t="s">
        <v>191</v>
      </c>
      <c r="C11" s="91">
        <v>900</v>
      </c>
      <c r="D11" s="91">
        <v>1</v>
      </c>
      <c r="E11" s="91">
        <v>6123</v>
      </c>
      <c r="F11" s="91">
        <v>7</v>
      </c>
      <c r="G11" s="89">
        <f t="shared" si="0"/>
        <v>8922085.7142857127</v>
      </c>
      <c r="H11" s="91">
        <v>1</v>
      </c>
      <c r="I11" s="91">
        <v>6639</v>
      </c>
      <c r="J11" s="91">
        <v>7</v>
      </c>
      <c r="K11" s="89">
        <f t="shared" si="1"/>
        <v>9673971.4285714272</v>
      </c>
      <c r="L11" s="91">
        <v>1</v>
      </c>
      <c r="M11" s="91">
        <v>7021</v>
      </c>
      <c r="N11" s="91">
        <v>7</v>
      </c>
      <c r="O11" s="89">
        <f t="shared" si="2"/>
        <v>10230599.999999998</v>
      </c>
      <c r="P11" s="92">
        <f t="shared" si="3"/>
        <v>9608885.7142857127</v>
      </c>
      <c r="Q11" s="92">
        <f t="shared" si="4"/>
        <v>656680.68468065432</v>
      </c>
      <c r="R11" s="93">
        <f t="shared" si="5"/>
        <v>6.9826730280228597</v>
      </c>
      <c r="S11" s="94" t="s">
        <v>129</v>
      </c>
      <c r="T11" s="83"/>
      <c r="U11" s="83"/>
    </row>
    <row r="12" spans="1:21">
      <c r="A12" s="83"/>
      <c r="B12" s="90" t="s">
        <v>192</v>
      </c>
      <c r="C12" s="91">
        <v>900</v>
      </c>
      <c r="D12" s="91">
        <v>1</v>
      </c>
      <c r="E12" s="91">
        <v>29009</v>
      </c>
      <c r="F12" s="91">
        <v>7</v>
      </c>
      <c r="G12" s="89">
        <f t="shared" si="0"/>
        <v>42270257.142857142</v>
      </c>
      <c r="H12" s="91">
        <v>1</v>
      </c>
      <c r="I12" s="91">
        <v>29016</v>
      </c>
      <c r="J12" s="91">
        <v>7</v>
      </c>
      <c r="K12" s="89">
        <f t="shared" si="1"/>
        <v>42280457.142857134</v>
      </c>
      <c r="L12" s="91">
        <v>1</v>
      </c>
      <c r="M12" s="91">
        <v>31568</v>
      </c>
      <c r="N12" s="91">
        <v>7</v>
      </c>
      <c r="O12" s="89">
        <f t="shared" si="2"/>
        <v>45999085.714285709</v>
      </c>
      <c r="P12" s="92">
        <f t="shared" si="3"/>
        <v>43516599.999999993</v>
      </c>
      <c r="Q12" s="92">
        <f t="shared" si="4"/>
        <v>2149901.7422255576</v>
      </c>
      <c r="R12" s="93">
        <f t="shared" si="5"/>
        <v>7.6386549561082937</v>
      </c>
      <c r="S12" s="83"/>
      <c r="T12" s="83"/>
      <c r="U12" s="83"/>
    </row>
    <row r="13" spans="1:21">
      <c r="A13" s="83"/>
      <c r="B13" s="90" t="s">
        <v>193</v>
      </c>
      <c r="C13" s="91">
        <v>900</v>
      </c>
      <c r="D13" s="91">
        <v>1</v>
      </c>
      <c r="E13" s="91">
        <v>13542</v>
      </c>
      <c r="F13" s="91">
        <v>7</v>
      </c>
      <c r="G13" s="89">
        <f t="shared" si="0"/>
        <v>19732628.571428571</v>
      </c>
      <c r="H13" s="91">
        <v>1</v>
      </c>
      <c r="I13" s="91">
        <v>14070</v>
      </c>
      <c r="J13" s="91">
        <v>7</v>
      </c>
      <c r="K13" s="89">
        <f t="shared" si="1"/>
        <v>20502000</v>
      </c>
      <c r="L13" s="91">
        <v>1</v>
      </c>
      <c r="M13" s="91">
        <v>15197</v>
      </c>
      <c r="N13" s="91">
        <v>7</v>
      </c>
      <c r="O13" s="89">
        <f t="shared" si="2"/>
        <v>22144199.999999996</v>
      </c>
      <c r="P13" s="92">
        <f t="shared" si="3"/>
        <v>20792942.857142854</v>
      </c>
      <c r="Q13" s="92">
        <f t="shared" si="4"/>
        <v>1231829.938898768</v>
      </c>
      <c r="R13" s="93">
        <f t="shared" si="5"/>
        <v>7.3179159600467427</v>
      </c>
      <c r="S13" s="83"/>
      <c r="T13" s="83"/>
      <c r="U13" s="83"/>
    </row>
    <row r="14" spans="1:21">
      <c r="A14" s="83"/>
      <c r="B14" s="90" t="s">
        <v>194</v>
      </c>
      <c r="C14" s="91">
        <v>900</v>
      </c>
      <c r="D14" s="91">
        <v>1</v>
      </c>
      <c r="E14" s="91">
        <v>6282</v>
      </c>
      <c r="F14" s="91">
        <v>7</v>
      </c>
      <c r="G14" s="89">
        <f t="shared" si="0"/>
        <v>9153771.4285714291</v>
      </c>
      <c r="H14" s="91">
        <v>1</v>
      </c>
      <c r="I14" s="91">
        <v>6343</v>
      </c>
      <c r="J14" s="91">
        <v>7</v>
      </c>
      <c r="K14" s="89">
        <f t="shared" si="1"/>
        <v>9242657.1428571418</v>
      </c>
      <c r="L14" s="91">
        <v>1</v>
      </c>
      <c r="M14" s="91">
        <v>7014</v>
      </c>
      <c r="N14" s="91">
        <v>7</v>
      </c>
      <c r="O14" s="89">
        <f t="shared" si="2"/>
        <v>10220400</v>
      </c>
      <c r="P14" s="92">
        <f t="shared" si="3"/>
        <v>9538942.8571428563</v>
      </c>
      <c r="Q14" s="92">
        <f t="shared" si="4"/>
        <v>591830.25075969705</v>
      </c>
      <c r="R14" s="93">
        <f t="shared" si="5"/>
        <v>6.9795002471622967</v>
      </c>
      <c r="S14" s="83"/>
      <c r="T14" s="83"/>
      <c r="U14" s="83"/>
    </row>
    <row r="15" spans="1:21">
      <c r="A15" s="83"/>
      <c r="B15" s="90" t="s">
        <v>195</v>
      </c>
      <c r="C15" s="91">
        <v>900</v>
      </c>
      <c r="D15" s="91">
        <v>1</v>
      </c>
      <c r="E15" s="91">
        <v>3249</v>
      </c>
      <c r="F15" s="91">
        <v>7</v>
      </c>
      <c r="G15" s="89">
        <f t="shared" si="0"/>
        <v>4734257.1428571427</v>
      </c>
      <c r="H15" s="91">
        <v>1</v>
      </c>
      <c r="I15" s="91">
        <v>3902</v>
      </c>
      <c r="J15" s="91">
        <v>7</v>
      </c>
      <c r="K15" s="89">
        <f t="shared" si="1"/>
        <v>5685771.4285714282</v>
      </c>
      <c r="L15" s="91">
        <v>1</v>
      </c>
      <c r="M15" s="91">
        <v>3833</v>
      </c>
      <c r="N15" s="91">
        <v>7</v>
      </c>
      <c r="O15" s="89">
        <f t="shared" si="2"/>
        <v>5585228.5714285709</v>
      </c>
      <c r="P15" s="92">
        <f t="shared" si="3"/>
        <v>5335085.7142857136</v>
      </c>
      <c r="Q15" s="92">
        <f t="shared" si="4"/>
        <v>522755.62714741344</v>
      </c>
      <c r="R15" s="93">
        <f t="shared" si="5"/>
        <v>6.7271414012566968</v>
      </c>
      <c r="S15" s="83"/>
      <c r="T15" s="83"/>
      <c r="U15" s="83"/>
    </row>
    <row r="16" spans="1:21">
      <c r="A16" s="83"/>
      <c r="B16" s="90" t="s">
        <v>196</v>
      </c>
      <c r="C16" s="91">
        <v>900</v>
      </c>
      <c r="D16" s="91">
        <v>0</v>
      </c>
      <c r="E16" s="91">
        <v>12331</v>
      </c>
      <c r="F16" s="91">
        <v>7</v>
      </c>
      <c r="G16" s="89">
        <f t="shared" si="0"/>
        <v>1796802.857142857</v>
      </c>
      <c r="H16" s="91">
        <v>0</v>
      </c>
      <c r="I16" s="91">
        <v>13246</v>
      </c>
      <c r="J16" s="91">
        <v>7</v>
      </c>
      <c r="K16" s="89">
        <f t="shared" si="1"/>
        <v>1930131.4285714284</v>
      </c>
      <c r="L16" s="91">
        <v>0</v>
      </c>
      <c r="M16" s="91">
        <v>11745</v>
      </c>
      <c r="N16" s="91">
        <v>7</v>
      </c>
      <c r="O16" s="89">
        <f t="shared" si="2"/>
        <v>1711414.2857142854</v>
      </c>
      <c r="P16" s="92">
        <f t="shared" si="3"/>
        <v>1812782.857142857</v>
      </c>
      <c r="Q16" s="92">
        <f t="shared" si="4"/>
        <v>110230.74636823416</v>
      </c>
      <c r="R16" s="93">
        <f t="shared" si="5"/>
        <v>6.2583457855668376</v>
      </c>
      <c r="S16" s="83"/>
      <c r="T16" s="83"/>
      <c r="U16" s="83"/>
    </row>
    <row r="17" spans="1:21">
      <c r="A17" s="83"/>
      <c r="B17" s="90" t="s">
        <v>197</v>
      </c>
      <c r="C17" s="91">
        <v>900</v>
      </c>
      <c r="D17" s="91">
        <v>0</v>
      </c>
      <c r="E17" s="91">
        <v>6389</v>
      </c>
      <c r="F17" s="91">
        <v>7</v>
      </c>
      <c r="G17" s="89">
        <f t="shared" si="0"/>
        <v>930968.57142857136</v>
      </c>
      <c r="H17" s="91">
        <v>0</v>
      </c>
      <c r="I17" s="91">
        <v>4586</v>
      </c>
      <c r="J17" s="91">
        <v>7</v>
      </c>
      <c r="K17" s="89">
        <f t="shared" si="1"/>
        <v>668245.7142857142</v>
      </c>
      <c r="L17" s="91">
        <v>0</v>
      </c>
      <c r="M17" s="91">
        <v>5332</v>
      </c>
      <c r="N17" s="91">
        <v>7</v>
      </c>
      <c r="O17" s="89">
        <f t="shared" si="2"/>
        <v>776948.57142857136</v>
      </c>
      <c r="P17" s="92">
        <f t="shared" si="3"/>
        <v>792054.28571428556</v>
      </c>
      <c r="Q17" s="92">
        <f t="shared" si="4"/>
        <v>132011.21872548491</v>
      </c>
      <c r="R17" s="93">
        <f t="shared" si="5"/>
        <v>5.8987549482286576</v>
      </c>
      <c r="S17" s="83"/>
      <c r="T17" s="83"/>
      <c r="U17" s="83"/>
    </row>
    <row r="18" spans="1:21">
      <c r="A18" s="83"/>
      <c r="B18" s="90" t="s">
        <v>198</v>
      </c>
      <c r="C18" s="91">
        <v>900</v>
      </c>
      <c r="D18" s="91">
        <v>0</v>
      </c>
      <c r="E18" s="91">
        <v>2453</v>
      </c>
      <c r="F18" s="91">
        <v>7</v>
      </c>
      <c r="G18" s="89">
        <f t="shared" si="0"/>
        <v>357437.14285714284</v>
      </c>
      <c r="H18" s="91">
        <v>0</v>
      </c>
      <c r="I18" s="91">
        <v>2433</v>
      </c>
      <c r="J18" s="91">
        <v>7</v>
      </c>
      <c r="K18" s="89">
        <f t="shared" si="1"/>
        <v>354522.8571428571</v>
      </c>
      <c r="L18" s="91">
        <v>0</v>
      </c>
      <c r="M18" s="91">
        <v>1833</v>
      </c>
      <c r="N18" s="91">
        <v>7</v>
      </c>
      <c r="O18" s="89">
        <f t="shared" si="2"/>
        <v>267094.28571428568</v>
      </c>
      <c r="P18" s="92">
        <f t="shared" si="3"/>
        <v>326351.42857142852</v>
      </c>
      <c r="Q18" s="92">
        <f t="shared" si="4"/>
        <v>51338.874159841398</v>
      </c>
      <c r="R18" s="93">
        <f t="shared" si="5"/>
        <v>5.5136855181177333</v>
      </c>
      <c r="S18" s="83"/>
      <c r="T18" s="83"/>
      <c r="U18" s="83"/>
    </row>
    <row r="19" spans="1:21">
      <c r="A19" s="83"/>
      <c r="B19" s="90" t="s">
        <v>199</v>
      </c>
      <c r="C19" s="91">
        <v>900</v>
      </c>
      <c r="D19" s="91">
        <v>0</v>
      </c>
      <c r="E19" s="91">
        <v>2574</v>
      </c>
      <c r="F19" s="91">
        <v>14</v>
      </c>
      <c r="G19" s="89">
        <f t="shared" si="0"/>
        <v>187534.28571428571</v>
      </c>
      <c r="H19" s="91">
        <v>0</v>
      </c>
      <c r="I19" s="91">
        <v>1997</v>
      </c>
      <c r="J19" s="91">
        <v>14</v>
      </c>
      <c r="K19" s="89">
        <f t="shared" si="1"/>
        <v>145495.71428571429</v>
      </c>
      <c r="L19" s="91">
        <v>0</v>
      </c>
      <c r="M19" s="91">
        <v>1974</v>
      </c>
      <c r="N19" s="91">
        <v>14</v>
      </c>
      <c r="O19" s="89">
        <f t="shared" si="2"/>
        <v>143819.99999999997</v>
      </c>
      <c r="P19" s="92">
        <f t="shared" si="3"/>
        <v>158950</v>
      </c>
      <c r="Q19" s="92">
        <f t="shared" si="4"/>
        <v>24768.892727345858</v>
      </c>
      <c r="R19" s="93">
        <f t="shared" si="5"/>
        <v>5.2012605322507914</v>
      </c>
      <c r="S19" s="83"/>
      <c r="T19" s="83"/>
      <c r="U19" s="83"/>
    </row>
    <row r="20" spans="1:21" ht="15" thickBot="1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</row>
    <row r="21" spans="1:21" ht="43" thickBot="1">
      <c r="A21" s="83"/>
      <c r="B21" s="95" t="s">
        <v>4</v>
      </c>
      <c r="C21" s="95" t="s">
        <v>200</v>
      </c>
      <c r="D21" s="95" t="s">
        <v>201</v>
      </c>
      <c r="E21" s="95" t="s">
        <v>202</v>
      </c>
      <c r="F21" s="95" t="s">
        <v>203</v>
      </c>
      <c r="G21" s="96" t="s">
        <v>204</v>
      </c>
      <c r="H21" s="97" t="s">
        <v>205</v>
      </c>
      <c r="I21" s="97" t="s">
        <v>206</v>
      </c>
      <c r="J21" s="97" t="s">
        <v>207</v>
      </c>
      <c r="K21" s="97" t="s">
        <v>208</v>
      </c>
      <c r="L21" s="97" t="s">
        <v>209</v>
      </c>
      <c r="M21" s="94" t="s">
        <v>210</v>
      </c>
      <c r="N21" s="83"/>
      <c r="O21" s="83"/>
      <c r="P21" s="83"/>
      <c r="Q21" s="83"/>
      <c r="R21" s="83"/>
      <c r="S21" s="83"/>
      <c r="T21" s="83"/>
      <c r="U21" s="83"/>
    </row>
    <row r="22" spans="1:21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</row>
    <row r="23" spans="1:21">
      <c r="A23" s="83"/>
      <c r="B23" s="90" t="s">
        <v>184</v>
      </c>
      <c r="C23" s="98">
        <v>13.733217239379883</v>
      </c>
      <c r="D23" s="98">
        <v>13.964070320129395</v>
      </c>
      <c r="E23" s="98">
        <v>13.836982727050781</v>
      </c>
      <c r="F23" s="99">
        <f>AVERAGE(C23:E23)</f>
        <v>13.844756762186686</v>
      </c>
      <c r="G23" s="83">
        <f>150/100*180/4*1000/900</f>
        <v>75</v>
      </c>
      <c r="H23" s="100">
        <f>LOG(G23)/LOG(2)</f>
        <v>6.2288186904958813</v>
      </c>
      <c r="I23" s="98">
        <f>C23-H23</f>
        <v>7.5043985488840015</v>
      </c>
      <c r="J23" s="98">
        <f>D23-H23</f>
        <v>7.7352516296335132</v>
      </c>
      <c r="K23" s="98">
        <f>E23-H23</f>
        <v>7.6081640365548999</v>
      </c>
      <c r="L23" s="99">
        <f>AVERAGE(I23:K23)</f>
        <v>7.6159380716908052</v>
      </c>
      <c r="M23" s="83"/>
      <c r="N23" s="83"/>
      <c r="O23" s="83"/>
      <c r="P23" s="83"/>
      <c r="Q23" s="83"/>
      <c r="R23" s="83"/>
      <c r="S23" s="83"/>
      <c r="T23" s="83"/>
      <c r="U23" s="83"/>
    </row>
    <row r="24" spans="1:21">
      <c r="A24" s="83"/>
      <c r="B24" s="90" t="s">
        <v>185</v>
      </c>
      <c r="C24" s="98">
        <v>17.19072151184082</v>
      </c>
      <c r="D24" s="98">
        <v>17.22271728515625</v>
      </c>
      <c r="E24" s="98">
        <v>17.264667510986328</v>
      </c>
      <c r="F24" s="99">
        <f t="shared" ref="F24:F38" si="6">AVERAGE(C24:E24)</f>
        <v>17.226035435994465</v>
      </c>
      <c r="G24" s="83">
        <f t="shared" ref="G24:G27" si="7">150/100*180/4*1000/900</f>
        <v>75</v>
      </c>
      <c r="H24" s="100">
        <f t="shared" ref="H24:H37" si="8">LOG(G24)/LOG(2)</f>
        <v>6.2288186904958813</v>
      </c>
      <c r="I24" s="98">
        <f t="shared" ref="I24:I38" si="9">C24-H24</f>
        <v>10.961902821344939</v>
      </c>
      <c r="J24" s="98">
        <f t="shared" ref="J24:J38" si="10">D24-H24</f>
        <v>10.993898594660369</v>
      </c>
      <c r="K24" s="98">
        <f t="shared" ref="K24:K38" si="11">E24-H24</f>
        <v>11.035848820490447</v>
      </c>
      <c r="L24" s="99">
        <f t="shared" ref="L24:L38" si="12">AVERAGE(I24:K24)</f>
        <v>10.997216745498585</v>
      </c>
      <c r="M24" s="83"/>
      <c r="N24" s="83"/>
      <c r="O24" s="83"/>
      <c r="P24" s="83"/>
      <c r="Q24" s="83"/>
      <c r="R24" s="83"/>
      <c r="S24" s="83"/>
      <c r="T24" s="83"/>
      <c r="U24" s="83"/>
    </row>
    <row r="25" spans="1:21">
      <c r="A25" s="83"/>
      <c r="B25" s="90" t="s">
        <v>186</v>
      </c>
      <c r="C25" s="98">
        <v>20.897546768188477</v>
      </c>
      <c r="D25" s="98">
        <v>20.622665405273438</v>
      </c>
      <c r="E25" s="98">
        <v>20.75037956237793</v>
      </c>
      <c r="F25" s="99">
        <f t="shared" si="6"/>
        <v>20.756863911946613</v>
      </c>
      <c r="G25" s="83">
        <f t="shared" si="7"/>
        <v>75</v>
      </c>
      <c r="H25" s="100">
        <f t="shared" si="8"/>
        <v>6.2288186904958813</v>
      </c>
      <c r="I25" s="98">
        <f t="shared" si="9"/>
        <v>14.668728077692595</v>
      </c>
      <c r="J25" s="98">
        <f t="shared" si="10"/>
        <v>14.393846714777556</v>
      </c>
      <c r="K25" s="98">
        <f t="shared" si="11"/>
        <v>14.521560871882048</v>
      </c>
      <c r="L25" s="99">
        <f t="shared" si="12"/>
        <v>14.528045221450734</v>
      </c>
      <c r="M25" s="94" t="s">
        <v>129</v>
      </c>
      <c r="N25" s="83"/>
      <c r="O25" s="83"/>
      <c r="P25" s="83"/>
      <c r="Q25" s="83"/>
      <c r="R25" s="83"/>
      <c r="S25" s="83"/>
      <c r="T25" s="83"/>
      <c r="U25" s="83"/>
    </row>
    <row r="26" spans="1:21">
      <c r="A26" s="83"/>
      <c r="B26" s="90" t="s">
        <v>187</v>
      </c>
      <c r="C26" s="98">
        <v>25.132444381713867</v>
      </c>
      <c r="D26" s="98">
        <v>25.147838592529297</v>
      </c>
      <c r="E26" s="98">
        <v>25.181661605834961</v>
      </c>
      <c r="F26" s="99">
        <f t="shared" si="6"/>
        <v>25.153981526692707</v>
      </c>
      <c r="G26" s="83">
        <f t="shared" si="7"/>
        <v>75</v>
      </c>
      <c r="H26" s="100">
        <f t="shared" si="8"/>
        <v>6.2288186904958813</v>
      </c>
      <c r="I26" s="98">
        <f t="shared" si="9"/>
        <v>18.903625691217986</v>
      </c>
      <c r="J26" s="98">
        <f t="shared" si="10"/>
        <v>18.919019902033416</v>
      </c>
      <c r="K26" s="98">
        <f t="shared" si="11"/>
        <v>18.95284291533908</v>
      </c>
      <c r="L26" s="99">
        <f t="shared" si="12"/>
        <v>18.925162836196829</v>
      </c>
      <c r="M26" s="83"/>
      <c r="N26" s="83"/>
      <c r="O26" s="83"/>
      <c r="P26" s="83"/>
      <c r="Q26" s="83"/>
      <c r="R26" s="83"/>
      <c r="S26" s="83"/>
      <c r="T26" s="83"/>
      <c r="U26" s="83"/>
    </row>
    <row r="27" spans="1:21">
      <c r="A27" s="83"/>
      <c r="B27" s="90" t="s">
        <v>188</v>
      </c>
      <c r="C27" s="98">
        <v>28.415132522583008</v>
      </c>
      <c r="D27" s="98">
        <v>28.359806060791016</v>
      </c>
      <c r="E27" s="98">
        <v>28.363668441772461</v>
      </c>
      <c r="F27" s="99">
        <f t="shared" si="6"/>
        <v>28.379535675048828</v>
      </c>
      <c r="G27" s="83">
        <f t="shared" si="7"/>
        <v>75</v>
      </c>
      <c r="H27" s="100">
        <f t="shared" si="8"/>
        <v>6.2288186904958813</v>
      </c>
      <c r="I27" s="98">
        <f t="shared" si="9"/>
        <v>22.186313832087126</v>
      </c>
      <c r="J27" s="98">
        <f t="shared" si="10"/>
        <v>22.130987370295134</v>
      </c>
      <c r="K27" s="98">
        <f t="shared" si="11"/>
        <v>22.13484975127658</v>
      </c>
      <c r="L27" s="99">
        <f t="shared" si="12"/>
        <v>22.150716984552947</v>
      </c>
      <c r="M27" s="83"/>
      <c r="N27" s="83"/>
      <c r="O27" s="83"/>
      <c r="P27" s="83"/>
      <c r="Q27" s="83"/>
      <c r="R27" s="83"/>
      <c r="S27" s="83"/>
      <c r="T27" s="83"/>
      <c r="U27" s="83"/>
    </row>
    <row r="28" spans="1:21">
      <c r="A28" s="83"/>
      <c r="B28" s="90" t="s">
        <v>189</v>
      </c>
      <c r="C28" s="98">
        <v>14.936457633972168</v>
      </c>
      <c r="D28" s="98">
        <v>14.999619483947754</v>
      </c>
      <c r="E28" s="98">
        <v>15.074687957763672</v>
      </c>
      <c r="F28" s="99">
        <f t="shared" si="6"/>
        <v>15.003588358561197</v>
      </c>
      <c r="G28" s="83">
        <f>150/100*180/4*1000/500</f>
        <v>135</v>
      </c>
      <c r="H28" s="100">
        <f t="shared" si="8"/>
        <v>7.0768155970508309</v>
      </c>
      <c r="I28" s="98">
        <f t="shared" si="9"/>
        <v>7.8596420369213371</v>
      </c>
      <c r="J28" s="98">
        <f t="shared" si="10"/>
        <v>7.9228038868969231</v>
      </c>
      <c r="K28" s="98">
        <f t="shared" si="11"/>
        <v>7.997872360712841</v>
      </c>
      <c r="L28" s="99">
        <f t="shared" si="12"/>
        <v>7.9267727615103674</v>
      </c>
      <c r="M28" s="83"/>
      <c r="N28" s="83"/>
      <c r="O28" s="83"/>
      <c r="P28" s="83"/>
      <c r="Q28" s="83"/>
      <c r="R28" s="83"/>
      <c r="S28" s="83"/>
      <c r="T28" s="83"/>
      <c r="U28" s="83"/>
    </row>
    <row r="29" spans="1:21">
      <c r="A29" s="83"/>
      <c r="B29" s="90" t="s">
        <v>190</v>
      </c>
      <c r="C29" s="98">
        <v>16.18989372253418</v>
      </c>
      <c r="D29" s="98">
        <v>15.8782958984375</v>
      </c>
      <c r="E29" s="98">
        <v>15.960098266601562</v>
      </c>
      <c r="F29" s="99">
        <f t="shared" si="6"/>
        <v>16.009429295857746</v>
      </c>
      <c r="G29" s="83">
        <f t="shared" ref="G29:G37" si="13">150/100*180/4*1000/500</f>
        <v>135</v>
      </c>
      <c r="H29" s="100">
        <f t="shared" si="8"/>
        <v>7.0768155970508309</v>
      </c>
      <c r="I29" s="98">
        <f t="shared" si="9"/>
        <v>9.1130781254833479</v>
      </c>
      <c r="J29" s="98">
        <f t="shared" si="10"/>
        <v>8.8014803013866683</v>
      </c>
      <c r="K29" s="98">
        <f t="shared" si="11"/>
        <v>8.8832826695507308</v>
      </c>
      <c r="L29" s="99">
        <f t="shared" si="12"/>
        <v>8.9326136988069162</v>
      </c>
      <c r="M29" s="94" t="s">
        <v>129</v>
      </c>
      <c r="N29" s="83"/>
      <c r="O29" s="83"/>
      <c r="P29" s="83"/>
      <c r="Q29" s="83"/>
      <c r="R29" s="83"/>
      <c r="S29" s="83"/>
      <c r="T29" s="83"/>
      <c r="U29" s="83"/>
    </row>
    <row r="30" spans="1:21">
      <c r="A30" s="83"/>
      <c r="B30" s="90" t="s">
        <v>191</v>
      </c>
      <c r="C30" s="98">
        <v>16.854721069335938</v>
      </c>
      <c r="D30" s="98">
        <v>16.93126106262207</v>
      </c>
      <c r="E30" s="98">
        <v>17.05010986328125</v>
      </c>
      <c r="F30" s="99">
        <f t="shared" si="6"/>
        <v>16.945363998413086</v>
      </c>
      <c r="G30" s="83">
        <f t="shared" si="13"/>
        <v>135</v>
      </c>
      <c r="H30" s="100">
        <f t="shared" si="8"/>
        <v>7.0768155970508309</v>
      </c>
      <c r="I30" s="98">
        <f t="shared" si="9"/>
        <v>9.7779054722851058</v>
      </c>
      <c r="J30" s="98">
        <f t="shared" si="10"/>
        <v>9.8544454655712386</v>
      </c>
      <c r="K30" s="98">
        <f t="shared" si="11"/>
        <v>9.9732942662304183</v>
      </c>
      <c r="L30" s="99">
        <f t="shared" si="12"/>
        <v>9.8685484013622542</v>
      </c>
      <c r="M30" s="94" t="s">
        <v>129</v>
      </c>
      <c r="N30" s="83"/>
      <c r="O30" s="83"/>
      <c r="P30" s="83"/>
      <c r="Q30" s="83"/>
      <c r="R30" s="83"/>
      <c r="S30" s="83"/>
      <c r="T30" s="83"/>
      <c r="U30" s="83"/>
    </row>
    <row r="31" spans="1:21">
      <c r="A31" s="83"/>
      <c r="B31" s="90" t="s">
        <v>192</v>
      </c>
      <c r="C31" s="98">
        <v>18.072385787963867</v>
      </c>
      <c r="D31" s="98">
        <v>18.182058334350586</v>
      </c>
      <c r="E31" s="98">
        <v>18.225353240966797</v>
      </c>
      <c r="F31" s="99">
        <f t="shared" si="6"/>
        <v>18.159932454427082</v>
      </c>
      <c r="G31" s="83">
        <f t="shared" si="13"/>
        <v>135</v>
      </c>
      <c r="H31" s="100">
        <f t="shared" si="8"/>
        <v>7.0768155970508309</v>
      </c>
      <c r="I31" s="98">
        <f t="shared" si="9"/>
        <v>10.995570190913035</v>
      </c>
      <c r="J31" s="98">
        <f t="shared" si="10"/>
        <v>11.105242737299754</v>
      </c>
      <c r="K31" s="98">
        <f t="shared" si="11"/>
        <v>11.148537643915965</v>
      </c>
      <c r="L31" s="99">
        <f t="shared" si="12"/>
        <v>11.083116857376252</v>
      </c>
      <c r="M31" s="83"/>
      <c r="N31" s="83"/>
      <c r="O31" s="83"/>
      <c r="P31" s="83"/>
      <c r="Q31" s="83"/>
      <c r="R31" s="83"/>
      <c r="S31" s="83"/>
      <c r="T31" s="83"/>
      <c r="U31" s="83"/>
    </row>
    <row r="32" spans="1:21">
      <c r="A32" s="83"/>
      <c r="B32" s="90" t="s">
        <v>193</v>
      </c>
      <c r="C32" s="98">
        <v>20.280126571655273</v>
      </c>
      <c r="D32" s="98">
        <v>20.968669891357422</v>
      </c>
      <c r="E32" s="98">
        <v>20.306863784790039</v>
      </c>
      <c r="F32" s="99">
        <f t="shared" si="6"/>
        <v>20.518553415934246</v>
      </c>
      <c r="G32" s="83">
        <f t="shared" si="13"/>
        <v>135</v>
      </c>
      <c r="H32" s="100">
        <f t="shared" si="8"/>
        <v>7.0768155970508309</v>
      </c>
      <c r="I32" s="98">
        <f t="shared" si="9"/>
        <v>13.203310974604442</v>
      </c>
      <c r="J32" s="98">
        <f t="shared" si="10"/>
        <v>13.89185429430659</v>
      </c>
      <c r="K32" s="98">
        <f t="shared" si="11"/>
        <v>13.230048187739207</v>
      </c>
      <c r="L32" s="99">
        <f t="shared" si="12"/>
        <v>13.441737818883412</v>
      </c>
      <c r="M32" s="83"/>
      <c r="N32" s="83"/>
      <c r="O32" s="83"/>
      <c r="P32" s="83"/>
      <c r="Q32" s="83"/>
      <c r="R32" s="83"/>
      <c r="S32" s="83"/>
      <c r="T32" s="83"/>
      <c r="U32" s="83"/>
    </row>
    <row r="33" spans="1:21">
      <c r="A33" s="83"/>
      <c r="B33" s="90" t="s">
        <v>194</v>
      </c>
      <c r="C33" s="98">
        <v>21.049312591552734</v>
      </c>
      <c r="D33" s="98">
        <v>21.128349304199219</v>
      </c>
      <c r="E33" s="98">
        <v>21.15723991394043</v>
      </c>
      <c r="F33" s="99">
        <f t="shared" si="6"/>
        <v>21.111633936564129</v>
      </c>
      <c r="G33" s="83">
        <f t="shared" si="13"/>
        <v>135</v>
      </c>
      <c r="H33" s="100">
        <f t="shared" si="8"/>
        <v>7.0768155970508309</v>
      </c>
      <c r="I33" s="98">
        <f t="shared" si="9"/>
        <v>13.972496994501903</v>
      </c>
      <c r="J33" s="98">
        <f t="shared" si="10"/>
        <v>14.051533707148387</v>
      </c>
      <c r="K33" s="98">
        <f t="shared" si="11"/>
        <v>14.080424316889598</v>
      </c>
      <c r="L33" s="99">
        <f t="shared" si="12"/>
        <v>14.034818339513295</v>
      </c>
      <c r="M33" s="83"/>
      <c r="N33" s="83"/>
      <c r="O33" s="83"/>
      <c r="P33" s="83"/>
      <c r="Q33" s="83"/>
      <c r="R33" s="83"/>
      <c r="S33" s="83"/>
      <c r="T33" s="83"/>
      <c r="U33" s="83"/>
    </row>
    <row r="34" spans="1:21">
      <c r="A34" s="83"/>
      <c r="B34" s="90" t="s">
        <v>195</v>
      </c>
      <c r="C34" s="98">
        <v>21.142179489135742</v>
      </c>
      <c r="D34" s="98">
        <v>21.006193161010742</v>
      </c>
      <c r="E34" s="98">
        <v>21.079441070556641</v>
      </c>
      <c r="F34" s="99">
        <f t="shared" si="6"/>
        <v>21.075937906901043</v>
      </c>
      <c r="G34" s="83">
        <f t="shared" si="13"/>
        <v>135</v>
      </c>
      <c r="H34" s="100">
        <f t="shared" si="8"/>
        <v>7.0768155970508309</v>
      </c>
      <c r="I34" s="98">
        <f t="shared" si="9"/>
        <v>14.06536389208491</v>
      </c>
      <c r="J34" s="98">
        <f t="shared" si="10"/>
        <v>13.92937756395991</v>
      </c>
      <c r="K34" s="98">
        <f t="shared" si="11"/>
        <v>14.002625473505809</v>
      </c>
      <c r="L34" s="99">
        <f t="shared" si="12"/>
        <v>13.999122309850209</v>
      </c>
      <c r="M34" s="83"/>
      <c r="N34" s="83"/>
      <c r="O34" s="83"/>
      <c r="P34" s="83"/>
      <c r="Q34" s="83"/>
      <c r="R34" s="83"/>
      <c r="S34" s="83"/>
      <c r="T34" s="83"/>
      <c r="U34" s="83"/>
    </row>
    <row r="35" spans="1:21">
      <c r="A35" s="83"/>
      <c r="B35" s="90" t="s">
        <v>196</v>
      </c>
      <c r="C35" s="98">
        <v>22.919816970825195</v>
      </c>
      <c r="D35" s="98">
        <v>22.845848083496094</v>
      </c>
      <c r="E35" s="98">
        <v>22.840835571289062</v>
      </c>
      <c r="F35" s="99">
        <f t="shared" si="6"/>
        <v>22.868833541870117</v>
      </c>
      <c r="G35" s="83">
        <f t="shared" si="13"/>
        <v>135</v>
      </c>
      <c r="H35" s="100">
        <f t="shared" si="8"/>
        <v>7.0768155970508309</v>
      </c>
      <c r="I35" s="98">
        <f t="shared" si="9"/>
        <v>15.843001373774364</v>
      </c>
      <c r="J35" s="98">
        <f t="shared" si="10"/>
        <v>15.769032486445262</v>
      </c>
      <c r="K35" s="98">
        <f t="shared" si="11"/>
        <v>15.764019974238231</v>
      </c>
      <c r="L35" s="99">
        <f t="shared" si="12"/>
        <v>15.792017944819285</v>
      </c>
      <c r="M35" s="83"/>
      <c r="N35" s="83"/>
      <c r="O35" s="83"/>
      <c r="P35" s="83"/>
      <c r="Q35" s="83"/>
      <c r="R35" s="83"/>
      <c r="S35" s="83"/>
      <c r="T35" s="83"/>
      <c r="U35" s="83"/>
    </row>
    <row r="36" spans="1:21">
      <c r="A36" s="83"/>
      <c r="B36" s="90" t="s">
        <v>197</v>
      </c>
      <c r="C36" s="98">
        <v>23.948450088500977</v>
      </c>
      <c r="D36" s="98">
        <v>24.184415817260742</v>
      </c>
      <c r="E36" s="98">
        <v>24.005857467651367</v>
      </c>
      <c r="F36" s="99">
        <f t="shared" si="6"/>
        <v>24.046241124471027</v>
      </c>
      <c r="G36" s="83">
        <f t="shared" si="13"/>
        <v>135</v>
      </c>
      <c r="H36" s="100">
        <f t="shared" si="8"/>
        <v>7.0768155970508309</v>
      </c>
      <c r="I36" s="98">
        <f t="shared" si="9"/>
        <v>16.871634491450145</v>
      </c>
      <c r="J36" s="98">
        <f t="shared" si="10"/>
        <v>17.10760022020991</v>
      </c>
      <c r="K36" s="98">
        <f t="shared" si="11"/>
        <v>16.929041870600535</v>
      </c>
      <c r="L36" s="99">
        <f t="shared" si="12"/>
        <v>16.969425527420196</v>
      </c>
      <c r="M36" s="83"/>
      <c r="N36" s="83"/>
      <c r="O36" s="83"/>
      <c r="P36" s="83"/>
      <c r="Q36" s="83"/>
      <c r="R36" s="83"/>
      <c r="S36" s="83"/>
      <c r="T36" s="83"/>
      <c r="U36" s="83"/>
    </row>
    <row r="37" spans="1:21">
      <c r="A37" s="83"/>
      <c r="B37" s="90" t="s">
        <v>198</v>
      </c>
      <c r="C37" s="98">
        <v>24.632528305053711</v>
      </c>
      <c r="D37" s="98">
        <v>24.451812744140625</v>
      </c>
      <c r="E37" s="98">
        <v>24.549453735351562</v>
      </c>
      <c r="F37" s="99">
        <f t="shared" si="6"/>
        <v>24.544598261515301</v>
      </c>
      <c r="G37" s="83">
        <f t="shared" si="13"/>
        <v>135</v>
      </c>
      <c r="H37" s="100">
        <f t="shared" si="8"/>
        <v>7.0768155970508309</v>
      </c>
      <c r="I37" s="98">
        <f t="shared" si="9"/>
        <v>17.555712708002879</v>
      </c>
      <c r="J37" s="98">
        <f t="shared" si="10"/>
        <v>17.374997147089793</v>
      </c>
      <c r="K37" s="98">
        <f t="shared" si="11"/>
        <v>17.472638138300731</v>
      </c>
      <c r="L37" s="99">
        <f t="shared" si="12"/>
        <v>17.467782664464469</v>
      </c>
      <c r="M37" s="83"/>
      <c r="N37" s="83"/>
      <c r="O37" s="83"/>
      <c r="P37" s="83"/>
      <c r="Q37" s="83"/>
      <c r="R37" s="83"/>
      <c r="S37" s="83"/>
      <c r="T37" s="83"/>
      <c r="U37" s="83"/>
    </row>
    <row r="38" spans="1:21">
      <c r="A38" s="83"/>
      <c r="B38" s="90" t="s">
        <v>199</v>
      </c>
      <c r="C38" s="91"/>
      <c r="D38" s="91"/>
      <c r="E38" s="91"/>
      <c r="F38" s="99" t="e">
        <f t="shared" si="6"/>
        <v>#DIV/0!</v>
      </c>
      <c r="G38" s="83">
        <v>0</v>
      </c>
      <c r="H38" s="100">
        <v>0</v>
      </c>
      <c r="I38" s="98">
        <f t="shared" si="9"/>
        <v>0</v>
      </c>
      <c r="J38" s="98">
        <f t="shared" si="10"/>
        <v>0</v>
      </c>
      <c r="K38" s="98">
        <f t="shared" si="11"/>
        <v>0</v>
      </c>
      <c r="L38" s="99">
        <f t="shared" si="12"/>
        <v>0</v>
      </c>
      <c r="M38" s="83"/>
      <c r="N38" s="83"/>
      <c r="O38" s="83"/>
      <c r="P38" s="83"/>
      <c r="Q38" s="83"/>
      <c r="R38" s="83"/>
      <c r="S38" s="83"/>
      <c r="T38" s="83"/>
      <c r="U38" s="83"/>
    </row>
    <row r="39" spans="1:21">
      <c r="A39" s="83"/>
      <c r="B39" s="83"/>
      <c r="C39" s="83"/>
      <c r="D39" s="83"/>
      <c r="E39" s="83"/>
      <c r="F39" s="100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</row>
    <row r="40" spans="1:21">
      <c r="A40" s="83"/>
      <c r="B40" s="90" t="s">
        <v>211</v>
      </c>
      <c r="C40" s="98">
        <v>14.390941619873047</v>
      </c>
      <c r="D40" s="98">
        <v>14.411395072937012</v>
      </c>
      <c r="E40" s="98">
        <v>14.301624298095703</v>
      </c>
      <c r="F40" s="99">
        <f>AVERAGE(C40:E40)</f>
        <v>14.367986996968588</v>
      </c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</row>
    <row r="41" spans="1:2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</row>
    <row r="42" spans="1:21">
      <c r="A42" s="83"/>
      <c r="B42" s="94" t="s">
        <v>212</v>
      </c>
      <c r="C42" s="83" t="s">
        <v>213</v>
      </c>
      <c r="D42" s="83"/>
      <c r="E42" s="83"/>
      <c r="F42" t="s">
        <v>214</v>
      </c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</row>
    <row r="43" spans="1:21">
      <c r="A43" s="83"/>
      <c r="B43" s="83" t="s">
        <v>215</v>
      </c>
      <c r="C43" s="83" t="s">
        <v>213</v>
      </c>
      <c r="D43" s="83"/>
      <c r="E43" s="83"/>
      <c r="F43">
        <v>0.35990572856564834</v>
      </c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</row>
    <row r="44" spans="1:21">
      <c r="A44" s="83"/>
      <c r="B44" s="83"/>
      <c r="C44" s="101" t="s">
        <v>216</v>
      </c>
      <c r="D44" s="102">
        <v>-3.2483</v>
      </c>
      <c r="E44" s="83"/>
      <c r="F44" s="83">
        <v>-3.1970000000000001</v>
      </c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</row>
    <row r="45" spans="1:21">
      <c r="A45" s="83"/>
      <c r="B45" s="83"/>
      <c r="C45" s="101" t="s">
        <v>217</v>
      </c>
      <c r="D45" s="103">
        <v>36.023000000000003</v>
      </c>
      <c r="E45" s="83"/>
      <c r="F45" s="83">
        <v>42.472999999999999</v>
      </c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</row>
    <row r="46" spans="1:21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</row>
    <row r="47" spans="1:21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</row>
    <row r="48" spans="1:21">
      <c r="A48" s="83"/>
      <c r="B48" s="94" t="s">
        <v>218</v>
      </c>
      <c r="C48" s="83"/>
      <c r="D48" s="83">
        <f>-1+ POWER(10,-(1/D44))</f>
        <v>1.0316707994539165</v>
      </c>
      <c r="E48" s="83"/>
      <c r="F48" s="83">
        <f>-1+ POWER(10,-(1/F44))</f>
        <v>1.0549120727594521</v>
      </c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</row>
    <row r="49" spans="1:21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</row>
    <row r="50" spans="1:21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</row>
    <row r="51" spans="1:2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</row>
    <row r="52" spans="1:21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</row>
    <row r="53" spans="1:21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topLeftCell="A19" workbookViewId="0">
      <selection activeCell="J5" sqref="J5"/>
    </sheetView>
  </sheetViews>
  <sheetFormatPr baseColWidth="10" defaultRowHeight="14" x14ac:dyDescent="0"/>
  <cols>
    <col min="16" max="16" width="13.5" customWidth="1"/>
    <col min="17" max="17" width="11.33203125" customWidth="1"/>
    <col min="19" max="19" width="15.33203125" customWidth="1"/>
  </cols>
  <sheetData>
    <row r="1" spans="1:19">
      <c r="A1" s="104" t="s">
        <v>219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19">
      <c r="A2" s="131" t="s">
        <v>4</v>
      </c>
      <c r="B2" s="131" t="s">
        <v>117</v>
      </c>
      <c r="C2" s="131" t="s">
        <v>117</v>
      </c>
      <c r="D2" s="131" t="s">
        <v>5</v>
      </c>
      <c r="E2" s="145" t="s">
        <v>220</v>
      </c>
      <c r="F2" s="145" t="s">
        <v>221</v>
      </c>
      <c r="G2" s="145" t="s">
        <v>222</v>
      </c>
      <c r="H2" s="147" t="s">
        <v>223</v>
      </c>
      <c r="I2" s="147" t="s">
        <v>224</v>
      </c>
      <c r="J2" s="147" t="s">
        <v>225</v>
      </c>
      <c r="K2" s="145" t="s">
        <v>226</v>
      </c>
      <c r="L2" s="145" t="s">
        <v>227</v>
      </c>
      <c r="M2" s="145" t="s">
        <v>228</v>
      </c>
      <c r="N2" s="145" t="s">
        <v>229</v>
      </c>
      <c r="O2" s="145" t="s">
        <v>230</v>
      </c>
      <c r="P2" s="147" t="s">
        <v>231</v>
      </c>
      <c r="Q2" s="147" t="s">
        <v>232</v>
      </c>
      <c r="R2" s="147" t="s">
        <v>233</v>
      </c>
      <c r="S2" s="147" t="s">
        <v>234</v>
      </c>
    </row>
    <row r="3" spans="1:19">
      <c r="A3" s="132"/>
      <c r="B3" s="132"/>
      <c r="C3" s="132"/>
      <c r="D3" s="132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>
      <c r="A4" s="39">
        <v>0</v>
      </c>
      <c r="B4" s="31">
        <v>10</v>
      </c>
      <c r="C4" s="31">
        <f>B4</f>
        <v>10</v>
      </c>
      <c r="D4" s="13">
        <f t="shared" ref="D4:D18" si="0">C4/60</f>
        <v>0.16666666666666666</v>
      </c>
      <c r="E4" s="98">
        <v>25.957399368286133</v>
      </c>
      <c r="F4" s="98">
        <v>25.94938850402832</v>
      </c>
      <c r="G4" s="99">
        <v>25.502944946289062</v>
      </c>
      <c r="H4" s="105">
        <f t="shared" ref="H4:H20" si="1">E4-$H$73+$H$79</f>
        <v>25.637994680542874</v>
      </c>
      <c r="I4" s="105">
        <f t="shared" ref="I4:I20" si="2">F4-$H$73+$H$79</f>
        <v>25.629983816285062</v>
      </c>
      <c r="J4" s="105">
        <f t="shared" ref="J4:J20" si="3">G4-$H$73+$H$79</f>
        <v>25.183540258545804</v>
      </c>
      <c r="K4" s="99">
        <f>((H4-'Calibration F. prausnitzii'!$D$45)/'Calibration F. prausnitzii'!$D$44)+$B$27</f>
        <v>6.8502710734703012</v>
      </c>
      <c r="L4" s="99">
        <f>((I4-'Calibration F. prausnitzii'!$D$45)/'Calibration F. prausnitzii'!$D$44)+$B$27</f>
        <v>6.8527372447776962</v>
      </c>
      <c r="M4" s="99">
        <f>((J4-'Calibration F. prausnitzii'!$D$45)/'Calibration F. prausnitzii'!$D$44)+$B$27</f>
        <v>6.9901763845551974</v>
      </c>
      <c r="N4" s="106">
        <f>AVERAGE(K4:M4)</f>
        <v>6.8977282342677313</v>
      </c>
      <c r="O4" s="106">
        <f>STDEV(K4:M4)</f>
        <v>8.0071941833015109E-2</v>
      </c>
      <c r="P4" s="107">
        <f>(AVERAGE(POWER(10,K4),POWER(10,L4),POWER(10,M4)))*Calculation!$I4/Calculation!$K3</f>
        <v>8004642.5765723176</v>
      </c>
      <c r="Q4" s="107">
        <f>(STDEV(POWER(10,K4),POWER(10,L4),POWER(10,M4))*Calculation!$I4/Calculation!$K3)</f>
        <v>1544878.37930223</v>
      </c>
      <c r="R4" s="106">
        <f>LOG(P4)</f>
        <v>6.9033419445641391</v>
      </c>
      <c r="S4" s="106">
        <f>O4*Calculation!$I4/Calculation!$K3</f>
        <v>8.017039080509987E-2</v>
      </c>
    </row>
    <row r="5" spans="1:19">
      <c r="A5" s="39">
        <v>1</v>
      </c>
      <c r="B5" s="31">
        <v>110</v>
      </c>
      <c r="C5" s="31">
        <f>C4+B5</f>
        <v>120</v>
      </c>
      <c r="D5" s="13">
        <f t="shared" si="0"/>
        <v>2</v>
      </c>
      <c r="E5" s="98">
        <v>25.108654022216797</v>
      </c>
      <c r="F5" s="98">
        <v>24.959741592407227</v>
      </c>
      <c r="G5" s="99">
        <v>24.536245346069336</v>
      </c>
      <c r="H5" s="105">
        <f t="shared" si="1"/>
        <v>24.789249334473539</v>
      </c>
      <c r="I5" s="105">
        <f t="shared" si="2"/>
        <v>24.640336904663968</v>
      </c>
      <c r="J5" s="105">
        <f t="shared" si="3"/>
        <v>24.216840658326078</v>
      </c>
      <c r="K5" s="99">
        <f>((H5-'Calibration F. prausnitzii'!$D$45)/'Calibration F. prausnitzii'!$D$44)+$B$27</f>
        <v>7.1115601619379101</v>
      </c>
      <c r="L5" s="99">
        <f>((I5-'Calibration F. prausnitzii'!$D$45)/'Calibration F. prausnitzii'!$D$44)+$B$27</f>
        <v>7.1574033506241674</v>
      </c>
      <c r="M5" s="99">
        <f>((J5-'Calibration F. prausnitzii'!$D$45)/'Calibration F. prausnitzii'!$D$44)+$B$27</f>
        <v>7.2877780839732704</v>
      </c>
      <c r="N5" s="106">
        <f t="shared" ref="N5:N20" si="4">AVERAGE(K5:M5)</f>
        <v>7.1855805321784487</v>
      </c>
      <c r="O5" s="106">
        <f t="shared" ref="O5:O20" si="5">STDEV(K5:M5)</f>
        <v>9.1425675725543901E-2</v>
      </c>
      <c r="P5" s="107">
        <f>(AVERAGE(POWER(10,K5),POWER(10,L5),POWER(10,M5)))*Calculation!$I5/Calculation!$K4</f>
        <v>15594562.969811555</v>
      </c>
      <c r="Q5" s="107">
        <f>(STDEV(POWER(10,K5),POWER(10,L5),POWER(10,M5))*Calculation!$I5/Calculation!$K4)</f>
        <v>3403480.1201258963</v>
      </c>
      <c r="R5" s="106">
        <f t="shared" ref="R5:R20" si="6">LOG(P5)</f>
        <v>7.1929732083680094</v>
      </c>
      <c r="S5" s="106">
        <f>O5*Calculation!$I5/Calculation!$K4</f>
        <v>9.1597293814672576E-2</v>
      </c>
    </row>
    <row r="6" spans="1:19">
      <c r="A6" s="39">
        <v>2</v>
      </c>
      <c r="B6" s="31">
        <v>80</v>
      </c>
      <c r="C6" s="31">
        <f>C5+B6</f>
        <v>200</v>
      </c>
      <c r="D6" s="13">
        <f t="shared" si="0"/>
        <v>3.3333333333333335</v>
      </c>
      <c r="E6" s="98">
        <v>23.005681991577148</v>
      </c>
      <c r="F6" s="98">
        <v>23.021579742431641</v>
      </c>
      <c r="G6" s="99">
        <v>22.973184585571289</v>
      </c>
      <c r="H6" s="105">
        <f t="shared" si="1"/>
        <v>22.68627730383389</v>
      </c>
      <c r="I6" s="105">
        <f t="shared" si="2"/>
        <v>22.702175054688382</v>
      </c>
      <c r="J6" s="105">
        <f t="shared" si="3"/>
        <v>22.653779897828031</v>
      </c>
      <c r="K6" s="99">
        <f>((H6-'Calibration F. prausnitzii'!$D$45)/'Calibration F. prausnitzii'!$D$44)+$B$27</f>
        <v>7.7589671226988148</v>
      </c>
      <c r="L6" s="99">
        <f>((I6-'Calibration F. prausnitzii'!$D$45)/'Calibration F. prausnitzii'!$D$44)+$B$27</f>
        <v>7.7540729470209246</v>
      </c>
      <c r="M6" s="99">
        <f>((J6-'Calibration F. prausnitzii'!$D$45)/'Calibration F. prausnitzii'!$D$44)+$B$27</f>
        <v>7.7689715576358154</v>
      </c>
      <c r="N6" s="106">
        <f t="shared" si="4"/>
        <v>7.7606705424518516</v>
      </c>
      <c r="O6" s="106">
        <f t="shared" si="5"/>
        <v>7.5939698909602343E-3</v>
      </c>
      <c r="P6" s="107">
        <f>(AVERAGE(POWER(10,K6),POWER(10,L6),POWER(10,M6)))*Calculation!$I6/Calculation!$K5</f>
        <v>57785308.886092313</v>
      </c>
      <c r="Q6" s="107">
        <f>(STDEV(POWER(10,K6),POWER(10,L6),POWER(10,M6))*Calculation!$I6/Calculation!$K5)</f>
        <v>1013200.005757938</v>
      </c>
      <c r="R6" s="106">
        <f t="shared" si="6"/>
        <v>7.7618174391007715</v>
      </c>
      <c r="S6" s="106">
        <f>O6*Calculation!$I6/Calculation!$K5</f>
        <v>7.6132733669081673E-3</v>
      </c>
    </row>
    <row r="7" spans="1:19">
      <c r="A7" s="39">
        <v>3</v>
      </c>
      <c r="B7" s="31">
        <v>80</v>
      </c>
      <c r="C7" s="31">
        <f>C6+B7</f>
        <v>280</v>
      </c>
      <c r="D7" s="13">
        <f t="shared" si="0"/>
        <v>4.666666666666667</v>
      </c>
      <c r="E7" s="98">
        <v>21.447072982788086</v>
      </c>
      <c r="F7" s="98">
        <v>21.369380950927734</v>
      </c>
      <c r="G7" s="99">
        <v>21.582963943481445</v>
      </c>
      <c r="H7" s="105">
        <f t="shared" si="1"/>
        <v>21.127668295044828</v>
      </c>
      <c r="I7" s="105">
        <f t="shared" si="2"/>
        <v>21.049976263184476</v>
      </c>
      <c r="J7" s="105">
        <f t="shared" si="3"/>
        <v>21.263559255738187</v>
      </c>
      <c r="K7" s="99">
        <f>((H7-'Calibration F. prausnitzii'!$D$45)/'Calibration F. prausnitzii'!$D$44)+$B$27</f>
        <v>8.238790109734822</v>
      </c>
      <c r="L7" s="99">
        <f>((I7-'Calibration F. prausnitzii'!$D$45)/'Calibration F. prausnitzii'!$D$44)+$B$27</f>
        <v>8.2627078611310463</v>
      </c>
      <c r="M7" s="99">
        <f>((J7-'Calibration F. prausnitzii'!$D$45)/'Calibration F. prausnitzii'!$D$44)+$B$27</f>
        <v>8.1969556237903713</v>
      </c>
      <c r="N7" s="106">
        <f t="shared" si="4"/>
        <v>8.2328178648854138</v>
      </c>
      <c r="O7" s="106">
        <f t="shared" si="5"/>
        <v>3.3280474158762806E-2</v>
      </c>
      <c r="P7" s="107">
        <f>(AVERAGE(POWER(10,K7),POWER(10,L7),POWER(10,M7)))*Calculation!$I7/Calculation!$K6</f>
        <v>172165853.29492736</v>
      </c>
      <c r="Q7" s="107">
        <f>(STDEV(POWER(10,K7),POWER(10,L7),POWER(10,M7))*Calculation!$I7/Calculation!$K6)</f>
        <v>13051588.779536152</v>
      </c>
      <c r="R7" s="106">
        <f t="shared" si="6"/>
        <v>8.2359470193817117</v>
      </c>
      <c r="S7" s="106">
        <f>O7*Calculation!$I7/Calculation!$K6</f>
        <v>3.3456046363852743E-2</v>
      </c>
    </row>
    <row r="8" spans="1:19">
      <c r="A8" s="39">
        <v>4</v>
      </c>
      <c r="B8" s="31">
        <v>80</v>
      </c>
      <c r="C8" s="31">
        <f t="shared" ref="C8:C18" si="7">C7+B8</f>
        <v>360</v>
      </c>
      <c r="D8" s="13">
        <f t="shared" si="0"/>
        <v>6</v>
      </c>
      <c r="E8" s="98">
        <v>19.818038940429688</v>
      </c>
      <c r="F8" s="98">
        <v>19.71954345703125</v>
      </c>
      <c r="G8" s="99">
        <v>20.35502815246582</v>
      </c>
      <c r="H8" s="105">
        <f t="shared" si="1"/>
        <v>19.498634252686429</v>
      </c>
      <c r="I8" s="105">
        <f t="shared" si="2"/>
        <v>19.400138769287992</v>
      </c>
      <c r="J8" s="105">
        <f t="shared" si="3"/>
        <v>20.035623464722562</v>
      </c>
      <c r="K8" s="99">
        <f>((H8-'Calibration F. prausnitzii'!$D$45)/'Calibration F. prausnitzii'!$D$44)+$B$27</f>
        <v>8.7402936784810592</v>
      </c>
      <c r="L8" s="99">
        <f>((I8-'Calibration F. prausnitzii'!$D$45)/'Calibration F. prausnitzii'!$D$44)+$B$27</f>
        <v>8.7706158418891302</v>
      </c>
      <c r="M8" s="99">
        <f>((J8-'Calibration F. prausnitzii'!$D$45)/'Calibration F. prausnitzii'!$D$44)+$B$27</f>
        <v>8.574979756726254</v>
      </c>
      <c r="N8" s="106">
        <f t="shared" si="4"/>
        <v>8.6952964256988157</v>
      </c>
      <c r="O8" s="106">
        <f t="shared" si="5"/>
        <v>0.10529451088696866</v>
      </c>
      <c r="P8" s="107">
        <f>(AVERAGE(POWER(10,K8),POWER(10,L8),POWER(10,M8)))*Calculation!$I8/Calculation!$K7</f>
        <v>510305364.47386342</v>
      </c>
      <c r="Q8" s="107">
        <f>(STDEV(POWER(10,K8),POWER(10,L8),POWER(10,M8))*Calculation!$I8/Calculation!$K7)</f>
        <v>114907211.13870002</v>
      </c>
      <c r="R8" s="106">
        <f t="shared" si="6"/>
        <v>8.7078301337822648</v>
      </c>
      <c r="S8" s="106">
        <f>O8*Calculation!$I8/Calculation!$K7</f>
        <v>0.1063717911966241</v>
      </c>
    </row>
    <row r="9" spans="1:19">
      <c r="A9" s="39">
        <v>5</v>
      </c>
      <c r="B9" s="31">
        <v>80</v>
      </c>
      <c r="C9" s="31">
        <f t="shared" si="7"/>
        <v>440</v>
      </c>
      <c r="D9" s="13">
        <f t="shared" si="0"/>
        <v>7.333333333333333</v>
      </c>
      <c r="E9" s="98">
        <v>18.70918083190918</v>
      </c>
      <c r="F9" s="98">
        <v>18.55851936340332</v>
      </c>
      <c r="G9" s="99">
        <v>18.532878875732422</v>
      </c>
      <c r="H9" s="105">
        <f t="shared" si="1"/>
        <v>18.389776144165921</v>
      </c>
      <c r="I9" s="105">
        <f t="shared" si="2"/>
        <v>18.239114675660062</v>
      </c>
      <c r="J9" s="105">
        <f t="shared" si="3"/>
        <v>18.213474187989164</v>
      </c>
      <c r="K9" s="99">
        <f>((H9-'Calibration F. prausnitzii'!$D$45)/'Calibration F. prausnitzii'!$D$44)+$B$27</f>
        <v>9.0816593492997963</v>
      </c>
      <c r="L9" s="99">
        <f>((I9-'Calibration F. prausnitzii'!$D$45)/'Calibration F. prausnitzii'!$D$44)+$B$27</f>
        <v>9.1280409853881697</v>
      </c>
      <c r="M9" s="99">
        <f>((J9-'Calibration F. prausnitzii'!$D$45)/'Calibration F. prausnitzii'!$D$44)+$B$27</f>
        <v>9.1359344951227683</v>
      </c>
      <c r="N9" s="106">
        <f t="shared" si="4"/>
        <v>9.115211609936912</v>
      </c>
      <c r="O9" s="106">
        <f t="shared" si="5"/>
        <v>2.9323924010579292E-2</v>
      </c>
      <c r="P9" s="107">
        <f>(AVERAGE(POWER(10,K9),POWER(10,L9),POWER(10,M9)))*Calculation!$I9/Calculation!$K8</f>
        <v>1331564263.4826143</v>
      </c>
      <c r="Q9" s="107">
        <f>(STDEV(POWER(10,K9),POWER(10,L9),POWER(10,M9))*Calculation!$I9/Calculation!$K8)</f>
        <v>88235117.041356564</v>
      </c>
      <c r="R9" s="106">
        <f t="shared" si="6"/>
        <v>9.1243621310471354</v>
      </c>
      <c r="S9" s="106">
        <f>O9*Calculation!$I9/Calculation!$K8</f>
        <v>2.99034116025375E-2</v>
      </c>
    </row>
    <row r="10" spans="1:19">
      <c r="A10" s="39">
        <v>6</v>
      </c>
      <c r="B10" s="31">
        <v>80</v>
      </c>
      <c r="C10" s="31">
        <f t="shared" si="7"/>
        <v>520</v>
      </c>
      <c r="D10" s="13">
        <f t="shared" si="0"/>
        <v>8.6666666666666661</v>
      </c>
      <c r="E10" s="98">
        <v>17.591865539550781</v>
      </c>
      <c r="F10" s="98">
        <v>17.624736785888672</v>
      </c>
      <c r="G10" s="99">
        <v>17.677074432373047</v>
      </c>
      <c r="H10" s="105">
        <f t="shared" si="1"/>
        <v>17.272460851807523</v>
      </c>
      <c r="I10" s="105">
        <f t="shared" si="2"/>
        <v>17.305332098145414</v>
      </c>
      <c r="J10" s="105">
        <f t="shared" si="3"/>
        <v>17.357669744629789</v>
      </c>
      <c r="K10" s="99">
        <f>((H10-'Calibration F. prausnitzii'!$D$45)/'Calibration F. prausnitzii'!$D$44)+$B$27</f>
        <v>9.4256285923987715</v>
      </c>
      <c r="L10" s="99">
        <f>((I10-'Calibration F. prausnitzii'!$D$45)/'Calibration F. prausnitzii'!$D$44)+$B$27</f>
        <v>9.4155090694674257</v>
      </c>
      <c r="M10" s="99">
        <f>((J10-'Calibration F. prausnitzii'!$D$45)/'Calibration F. prausnitzii'!$D$44)+$B$27</f>
        <v>9.3993967502591094</v>
      </c>
      <c r="N10" s="106">
        <f t="shared" si="4"/>
        <v>9.4135114707084355</v>
      </c>
      <c r="O10" s="106">
        <f t="shared" si="5"/>
        <v>1.3229519496621095E-2</v>
      </c>
      <c r="P10" s="107">
        <f>(AVERAGE(POWER(10,K10),POWER(10,L10),POWER(10,M10)))*Calculation!$I10/Calculation!$K9</f>
        <v>2672852889.5692019</v>
      </c>
      <c r="Q10" s="107">
        <f>(STDEV(POWER(10,K10),POWER(10,L10),POWER(10,M10))*Calculation!$I10/Calculation!$K9)</f>
        <v>81136431.290732905</v>
      </c>
      <c r="R10" s="106">
        <f t="shared" si="6"/>
        <v>9.4269750563972092</v>
      </c>
      <c r="S10" s="106">
        <f>O10*Calculation!$I10/Calculation!$K9</f>
        <v>1.3641861487310808E-2</v>
      </c>
    </row>
    <row r="11" spans="1:19">
      <c r="A11" s="39">
        <v>7</v>
      </c>
      <c r="B11" s="31">
        <v>80</v>
      </c>
      <c r="C11" s="31">
        <f t="shared" si="7"/>
        <v>600</v>
      </c>
      <c r="D11" s="13">
        <f t="shared" si="0"/>
        <v>10</v>
      </c>
      <c r="E11" s="98">
        <v>17.281585693359375</v>
      </c>
      <c r="F11" s="98">
        <v>17.372814178466797</v>
      </c>
      <c r="G11" s="99">
        <v>17.392673492431641</v>
      </c>
      <c r="H11" s="105">
        <f t="shared" si="1"/>
        <v>16.962181005616117</v>
      </c>
      <c r="I11" s="105">
        <f t="shared" si="2"/>
        <v>17.053409490723539</v>
      </c>
      <c r="J11" s="105">
        <f t="shared" si="3"/>
        <v>17.073268804688382</v>
      </c>
      <c r="K11" s="99">
        <f>((H11-'Calibration F. prausnitzii'!$D$45)/'Calibration F. prausnitzii'!$D$44)+$B$27</f>
        <v>9.5211492789706416</v>
      </c>
      <c r="L11" s="99">
        <f>((I11-'Calibration F. prausnitzii'!$D$45)/'Calibration F. prausnitzii'!$D$44)+$B$27</f>
        <v>9.4930642852485647</v>
      </c>
      <c r="M11" s="99">
        <f>((J11-'Calibration F. prausnitzii'!$D$45)/'Calibration F. prausnitzii'!$D$44)+$B$27</f>
        <v>9.4869505291408025</v>
      </c>
      <c r="N11" s="106">
        <f t="shared" si="4"/>
        <v>9.5003880311200017</v>
      </c>
      <c r="O11" s="106">
        <f t="shared" si="5"/>
        <v>1.823777844675813E-2</v>
      </c>
      <c r="P11" s="107">
        <f>(AVERAGE(POWER(10,K11),POWER(10,L11),POWER(10,M11)))*Calculation!$I11/Calculation!$K10</f>
        <v>3308034568.3172197</v>
      </c>
      <c r="Q11" s="107">
        <f>(STDEV(POWER(10,K11),POWER(10,L11),POWER(10,M11))*Calculation!$I11/Calculation!$K10)</f>
        <v>140351843.30324712</v>
      </c>
      <c r="R11" s="106">
        <f t="shared" si="6"/>
        <v>9.5195700391970082</v>
      </c>
      <c r="S11" s="106">
        <f>O11*Calculation!$I11/Calculation!$K10</f>
        <v>1.9050083511324947E-2</v>
      </c>
    </row>
    <row r="12" spans="1:19">
      <c r="A12" s="39">
        <v>8</v>
      </c>
      <c r="B12" s="31">
        <v>80</v>
      </c>
      <c r="C12" s="31">
        <f t="shared" si="7"/>
        <v>680</v>
      </c>
      <c r="D12" s="13">
        <f t="shared" si="0"/>
        <v>11.333333333333334</v>
      </c>
      <c r="E12" s="98">
        <v>17.051828384399414</v>
      </c>
      <c r="F12" s="98">
        <v>17.214109420776367</v>
      </c>
      <c r="G12" s="99">
        <v>17.159502029418945</v>
      </c>
      <c r="H12" s="105">
        <f t="shared" si="1"/>
        <v>16.732423696656156</v>
      </c>
      <c r="I12" s="105">
        <f t="shared" si="2"/>
        <v>16.894704733033109</v>
      </c>
      <c r="J12" s="105">
        <f t="shared" si="3"/>
        <v>16.840097341675687</v>
      </c>
      <c r="K12" s="99">
        <f>((H12-'Calibration F. prausnitzii'!$D$45)/'Calibration F. prausnitzii'!$D$44)+$B$27</f>
        <v>9.591880833617676</v>
      </c>
      <c r="L12" s="99">
        <f>((I12-'Calibration F. prausnitzii'!$D$45)/'Calibration F. prausnitzii'!$D$44)+$B$27</f>
        <v>9.5419220747662905</v>
      </c>
      <c r="M12" s="99">
        <f>((J12-'Calibration F. prausnitzii'!$D$45)/'Calibration F. prausnitzii'!$D$44)+$B$27</f>
        <v>9.5587331425117021</v>
      </c>
      <c r="N12" s="106">
        <f t="shared" si="4"/>
        <v>9.5641786836318889</v>
      </c>
      <c r="O12" s="106">
        <f t="shared" si="5"/>
        <v>2.5420657644157438E-2</v>
      </c>
      <c r="P12" s="107">
        <f>(AVERAGE(POWER(10,K12),POWER(10,L12),POWER(10,M12)))*Calculation!$I12/Calculation!$K11</f>
        <v>3866429173.181561</v>
      </c>
      <c r="Q12" s="107">
        <f>(STDEV(POWER(10,K12),POWER(10,L12),POWER(10,M12))*Calculation!$I12/Calculation!$K11)</f>
        <v>228236122.33677119</v>
      </c>
      <c r="R12" s="106">
        <f t="shared" si="6"/>
        <v>9.5873100590043947</v>
      </c>
      <c r="S12" s="106">
        <f>O12*Calculation!$I12/Calculation!$K11</f>
        <v>2.6780541244090749E-2</v>
      </c>
    </row>
    <row r="13" spans="1:19">
      <c r="A13" s="39">
        <v>9</v>
      </c>
      <c r="B13" s="31">
        <v>80</v>
      </c>
      <c r="C13" s="31">
        <f t="shared" si="7"/>
        <v>760</v>
      </c>
      <c r="D13" s="13">
        <f>C13/60</f>
        <v>12.666666666666666</v>
      </c>
      <c r="E13" s="98">
        <v>17.055707931518555</v>
      </c>
      <c r="F13" s="98">
        <v>17.239109039306641</v>
      </c>
      <c r="G13" s="99">
        <v>17.149072647094727</v>
      </c>
      <c r="H13" s="105">
        <f t="shared" si="1"/>
        <v>16.736303243775296</v>
      </c>
      <c r="I13" s="105">
        <f t="shared" si="2"/>
        <v>16.919704351563382</v>
      </c>
      <c r="J13" s="105">
        <f t="shared" si="3"/>
        <v>16.829667959351468</v>
      </c>
      <c r="K13" s="99">
        <f>((H13-'Calibration F. prausnitzii'!$D$45)/'Calibration F. prausnitzii'!$D$44)+$B$27</f>
        <v>9.5906865020845231</v>
      </c>
      <c r="L13" s="99">
        <f>((I13-'Calibration F. prausnitzii'!$D$45)/'Calibration F. prausnitzii'!$D$44)+$B$27</f>
        <v>9.5342258587362831</v>
      </c>
      <c r="M13" s="99">
        <f>((J13-'Calibration F. prausnitzii'!$D$45)/'Calibration F. prausnitzii'!$D$44)+$B$27</f>
        <v>9.561943862680474</v>
      </c>
      <c r="N13" s="106">
        <f t="shared" si="4"/>
        <v>9.5622854078337607</v>
      </c>
      <c r="O13" s="106">
        <f t="shared" si="5"/>
        <v>2.8231871203359661E-2</v>
      </c>
      <c r="P13" s="107">
        <f>(AVERAGE(POWER(10,K13),POWER(10,L13),POWER(10,M13)))*Calculation!$I13/Calculation!$K12</f>
        <v>3884470216.8169603</v>
      </c>
      <c r="Q13" s="107">
        <f>(STDEV(POWER(10,K13),POWER(10,L13),POWER(10,M13))*Calculation!$I13/Calculation!$K12)</f>
        <v>252530278.55234027</v>
      </c>
      <c r="R13" s="106">
        <f t="shared" si="6"/>
        <v>9.5893317959549158</v>
      </c>
      <c r="S13" s="106">
        <f>O13*Calculation!$I13/Calculation!$K12</f>
        <v>3.0003662908994644E-2</v>
      </c>
    </row>
    <row r="14" spans="1:19">
      <c r="A14" s="39">
        <v>10</v>
      </c>
      <c r="B14" s="31">
        <v>80</v>
      </c>
      <c r="C14" s="31">
        <f t="shared" si="7"/>
        <v>840</v>
      </c>
      <c r="D14" s="13">
        <f t="shared" si="0"/>
        <v>14</v>
      </c>
      <c r="E14" s="98">
        <v>17.221250534057617</v>
      </c>
      <c r="F14" s="98">
        <v>17.159830093383789</v>
      </c>
      <c r="G14" s="99">
        <v>17.383115768432617</v>
      </c>
      <c r="H14" s="105">
        <f t="shared" si="1"/>
        <v>16.901845846314359</v>
      </c>
      <c r="I14" s="105">
        <f t="shared" si="2"/>
        <v>16.840425405640531</v>
      </c>
      <c r="J14" s="105">
        <f t="shared" si="3"/>
        <v>17.063711080689359</v>
      </c>
      <c r="K14" s="99">
        <f>((H14-'Calibration F. prausnitzii'!$D$45)/'Calibration F. prausnitzii'!$D$44)+$B$27</f>
        <v>9.5397236592008419</v>
      </c>
      <c r="L14" s="99">
        <f>((I14-'Calibration F. prausnitzii'!$D$45)/'Calibration F. prausnitzii'!$D$44)+$B$27</f>
        <v>9.558632146924829</v>
      </c>
      <c r="M14" s="99">
        <f>((J14-'Calibration F. prausnitzii'!$D$45)/'Calibration F. prausnitzii'!$D$44)+$B$27</f>
        <v>9.4898929063839841</v>
      </c>
      <c r="N14" s="106">
        <f t="shared" si="4"/>
        <v>9.5294162375032183</v>
      </c>
      <c r="O14" s="106">
        <f t="shared" si="5"/>
        <v>3.550990008536372E-2</v>
      </c>
      <c r="P14" s="107">
        <f>(AVERAGE(POWER(10,K14),POWER(10,L14),POWER(10,M14)))*Calculation!$I14/Calculation!$K13</f>
        <v>3624903337.4327612</v>
      </c>
      <c r="Q14" s="107">
        <f>(STDEV(POWER(10,K14),POWER(10,L14),POWER(10,M14))*Calculation!$I14/Calculation!$K13)</f>
        <v>291284720.28432792</v>
      </c>
      <c r="R14" s="106">
        <f t="shared" si="6"/>
        <v>9.5592964300575556</v>
      </c>
      <c r="S14" s="106">
        <f>O14*Calculation!$I14/Calculation!$K13</f>
        <v>3.7955338081108361E-2</v>
      </c>
    </row>
    <row r="15" spans="1:19">
      <c r="A15" s="39">
        <v>11</v>
      </c>
      <c r="B15" s="31">
        <v>80</v>
      </c>
      <c r="C15" s="31">
        <f t="shared" si="7"/>
        <v>920</v>
      </c>
      <c r="D15" s="13">
        <f t="shared" si="0"/>
        <v>15.333333333333334</v>
      </c>
      <c r="E15" s="98">
        <v>17.39961051940918</v>
      </c>
      <c r="F15" s="98">
        <v>17.564144134521484</v>
      </c>
      <c r="G15" s="99">
        <v>17.432552337646484</v>
      </c>
      <c r="H15" s="105">
        <f t="shared" si="1"/>
        <v>17.080205831665921</v>
      </c>
      <c r="I15" s="105">
        <f t="shared" si="2"/>
        <v>17.244739446778226</v>
      </c>
      <c r="J15" s="105">
        <f t="shared" si="3"/>
        <v>17.113147649903226</v>
      </c>
      <c r="K15" s="99">
        <f>((H15-'Calibration F. prausnitzii'!$D$45)/'Calibration F. prausnitzii'!$D$44)+$B$27</f>
        <v>9.4848149422253272</v>
      </c>
      <c r="L15" s="99">
        <f>((I15-'Calibration F. prausnitzii'!$D$45)/'Calibration F. prausnitzii'!$D$44)+$B$27</f>
        <v>9.4341627194896489</v>
      </c>
      <c r="M15" s="99">
        <f>((J15-'Calibration F. prausnitzii'!$D$45)/'Calibration F. prausnitzii'!$D$44)+$B$27</f>
        <v>9.4746736934991311</v>
      </c>
      <c r="N15" s="106">
        <f t="shared" si="4"/>
        <v>9.4645504517380363</v>
      </c>
      <c r="O15" s="106">
        <f t="shared" si="5"/>
        <v>2.6800595792470357E-2</v>
      </c>
      <c r="P15" s="107">
        <f>(AVERAGE(POWER(10,K15),POWER(10,L15),POWER(10,M15)))*Calculation!$I15/Calculation!$K14</f>
        <v>3119029494.0218477</v>
      </c>
      <c r="Q15" s="107">
        <f>(STDEV(POWER(10,K15),POWER(10,L15),POWER(10,M15))*Calculation!$I15/Calculation!$K14)</f>
        <v>189484028.74206063</v>
      </c>
      <c r="R15" s="106">
        <f t="shared" si="6"/>
        <v>9.4940194815318719</v>
      </c>
      <c r="S15" s="106">
        <f>O15*Calculation!$I15/Calculation!$K14</f>
        <v>2.864625559725574E-2</v>
      </c>
    </row>
    <row r="16" spans="1:19">
      <c r="A16" s="39">
        <v>12</v>
      </c>
      <c r="B16" s="31">
        <v>80</v>
      </c>
      <c r="C16" s="31">
        <f t="shared" si="7"/>
        <v>1000</v>
      </c>
      <c r="D16" s="13">
        <f t="shared" si="0"/>
        <v>16.666666666666668</v>
      </c>
      <c r="E16" s="98">
        <v>17.436208724975586</v>
      </c>
      <c r="F16" s="98">
        <v>17.375085830688477</v>
      </c>
      <c r="G16" s="99">
        <v>17.251150131225586</v>
      </c>
      <c r="H16" s="105">
        <f t="shared" si="1"/>
        <v>17.116804037232328</v>
      </c>
      <c r="I16" s="105">
        <f t="shared" si="2"/>
        <v>17.055681142945218</v>
      </c>
      <c r="J16" s="105">
        <f t="shared" si="3"/>
        <v>16.931745443482328</v>
      </c>
      <c r="K16" s="99">
        <f>((H16-'Calibration F. prausnitzii'!$D$45)/'Calibration F. prausnitzii'!$D$44)+$B$27</f>
        <v>9.473548062452398</v>
      </c>
      <c r="L16" s="99">
        <f>((I16-'Calibration F. prausnitzii'!$D$45)/'Calibration F. prausnitzii'!$D$44)+$B$27</f>
        <v>9.4923649495278255</v>
      </c>
      <c r="M16" s="99">
        <f>((J16-'Calibration F. prausnitzii'!$D$45)/'Calibration F. prausnitzii'!$D$44)+$B$27</f>
        <v>9.5305189683878098</v>
      </c>
      <c r="N16" s="106">
        <f t="shared" si="4"/>
        <v>9.4988106601226772</v>
      </c>
      <c r="O16" s="106">
        <f t="shared" si="5"/>
        <v>2.9027253049157559E-2</v>
      </c>
      <c r="P16" s="107">
        <f>(AVERAGE(POWER(10,K16),POWER(10,L16),POWER(10,M16)))*Calculation!$I16/Calculation!$K15</f>
        <v>3378844774.7628002</v>
      </c>
      <c r="Q16" s="107">
        <f>(STDEV(POWER(10,K16),POWER(10,L16),POWER(10,M16))*Calculation!$I16/Calculation!$K15)</f>
        <v>228080756.95822695</v>
      </c>
      <c r="R16" s="106">
        <f t="shared" si="6"/>
        <v>9.5287682406022292</v>
      </c>
      <c r="S16" s="106">
        <f>O16*Calculation!$I16/Calculation!$K15</f>
        <v>3.1053638822542973E-2</v>
      </c>
    </row>
    <row r="17" spans="1:19">
      <c r="A17" s="39">
        <v>13</v>
      </c>
      <c r="B17" s="31">
        <v>80</v>
      </c>
      <c r="C17" s="31">
        <f t="shared" si="7"/>
        <v>1080</v>
      </c>
      <c r="D17" s="13">
        <f t="shared" si="0"/>
        <v>18</v>
      </c>
      <c r="E17" s="98">
        <v>17.286647796630859</v>
      </c>
      <c r="F17" s="98">
        <v>17.338386535644531</v>
      </c>
      <c r="G17" s="99">
        <v>17.401802062988281</v>
      </c>
      <c r="H17" s="105">
        <f t="shared" si="1"/>
        <v>16.967243108887601</v>
      </c>
      <c r="I17" s="105">
        <f t="shared" si="2"/>
        <v>17.018981847901273</v>
      </c>
      <c r="J17" s="105">
        <f t="shared" si="3"/>
        <v>17.082397375245023</v>
      </c>
      <c r="K17" s="99">
        <f>((H17-'Calibration F. prausnitzii'!$D$45)/'Calibration F. prausnitzii'!$D$44)+$B$27</f>
        <v>9.519590893577826</v>
      </c>
      <c r="L17" s="99">
        <f>((I17-'Calibration F. prausnitzii'!$D$45)/'Calibration F. prausnitzii'!$D$44)+$B$27</f>
        <v>9.5036629500339185</v>
      </c>
      <c r="M17" s="99">
        <f>((J17-'Calibration F. prausnitzii'!$D$45)/'Calibration F. prausnitzii'!$D$44)+$B$27</f>
        <v>9.4841402682176614</v>
      </c>
      <c r="N17" s="106">
        <f t="shared" si="4"/>
        <v>9.5024647039431347</v>
      </c>
      <c r="O17" s="106">
        <f t="shared" si="5"/>
        <v>1.7755662614423684E-2</v>
      </c>
      <c r="P17" s="107">
        <f>(AVERAGE(POWER(10,K17),POWER(10,L17),POWER(10,M17)))*Calculation!$I17/Calculation!$K16</f>
        <v>3404182778.9114547</v>
      </c>
      <c r="Q17" s="107">
        <f>(STDEV(POWER(10,K17),POWER(10,L17),POWER(10,M17))*Calculation!$I17/Calculation!$K16)</f>
        <v>138860517.39842546</v>
      </c>
      <c r="R17" s="106">
        <f t="shared" si="6"/>
        <v>9.5320128703730571</v>
      </c>
      <c r="S17" s="106">
        <f>O17*Calculation!$I17/Calculation!$K16</f>
        <v>1.8995181285307482E-2</v>
      </c>
    </row>
    <row r="18" spans="1:19">
      <c r="A18" s="39">
        <v>14</v>
      </c>
      <c r="B18" s="31">
        <v>360</v>
      </c>
      <c r="C18" s="31">
        <f t="shared" si="7"/>
        <v>1440</v>
      </c>
      <c r="D18" s="13">
        <f t="shared" si="0"/>
        <v>24</v>
      </c>
      <c r="E18" s="98">
        <v>17.71087646484375</v>
      </c>
      <c r="F18" s="98">
        <v>17.880603790283203</v>
      </c>
      <c r="G18" s="99">
        <v>17.775966644287109</v>
      </c>
      <c r="H18" s="105">
        <f t="shared" si="1"/>
        <v>17.391471777100492</v>
      </c>
      <c r="I18" s="105">
        <f t="shared" si="2"/>
        <v>17.561199102539945</v>
      </c>
      <c r="J18" s="105">
        <f t="shared" si="3"/>
        <v>17.456561956543851</v>
      </c>
      <c r="K18" s="99">
        <f>((H18-'Calibration F. prausnitzii'!$D$45)/'Calibration F. prausnitzii'!$D$44)+$B$27</f>
        <v>9.3889906817091902</v>
      </c>
      <c r="L18" s="99">
        <f>((I18-'Calibration F. prausnitzii'!$D$45)/'Calibration F. prausnitzii'!$D$44)+$B$27</f>
        <v>9.3367395579092154</v>
      </c>
      <c r="M18" s="99">
        <f>((J18-'Calibration F. prausnitzii'!$D$45)/'Calibration F. prausnitzii'!$D$44)+$B$27</f>
        <v>9.3689524526529571</v>
      </c>
      <c r="N18" s="106">
        <f t="shared" si="4"/>
        <v>9.3648942307571215</v>
      </c>
      <c r="O18" s="106">
        <f t="shared" si="5"/>
        <v>2.6360896386635937E-2</v>
      </c>
      <c r="P18" s="107">
        <f>(AVERAGE(POWER(10,K18),POWER(10,L18),POWER(10,M18)))*Calculation!$I18/Calculation!$K17</f>
        <v>2486417310.1813216</v>
      </c>
      <c r="Q18" s="107">
        <f>(STDEV(POWER(10,K18),POWER(10,L18),POWER(10,M18))*Calculation!$I18/Calculation!$K17)</f>
        <v>149817164.8776648</v>
      </c>
      <c r="R18" s="106">
        <f t="shared" si="6"/>
        <v>9.3955740206448155</v>
      </c>
      <c r="S18" s="106">
        <f>O18*Calculation!$I18/Calculation!$K17</f>
        <v>2.8255903926278733E-2</v>
      </c>
    </row>
    <row r="19" spans="1:19">
      <c r="A19" s="39">
        <v>15</v>
      </c>
      <c r="B19" s="31">
        <v>375</v>
      </c>
      <c r="C19" s="31">
        <f>C18+B19</f>
        <v>1815</v>
      </c>
      <c r="D19" s="13">
        <f>C19/60</f>
        <v>30.25</v>
      </c>
      <c r="E19" s="98">
        <v>18.064418792724609</v>
      </c>
      <c r="F19" s="98">
        <v>18.330366134643555</v>
      </c>
      <c r="G19" s="99">
        <v>18.165058135986328</v>
      </c>
      <c r="H19" s="105">
        <f t="shared" si="1"/>
        <v>17.745014104981351</v>
      </c>
      <c r="I19" s="105">
        <f t="shared" si="2"/>
        <v>18.010961446900296</v>
      </c>
      <c r="J19" s="105">
        <f t="shared" si="3"/>
        <v>17.84565344824307</v>
      </c>
      <c r="K19" s="99">
        <f>((H19-'Calibration F. prausnitzii'!$D$45)/'Calibration F. prausnitzii'!$D$44)+$B$27</f>
        <v>9.2801514957100952</v>
      </c>
      <c r="L19" s="99">
        <f>((I19-'Calibration F. prausnitzii'!$D$45)/'Calibration F. prausnitzii'!$D$44)+$B$27</f>
        <v>9.1982787185900801</v>
      </c>
      <c r="M19" s="99">
        <f>((J19-'Calibration F. prausnitzii'!$D$45)/'Calibration F. prausnitzii'!$D$44)+$B$27</f>
        <v>9.2491693378854727</v>
      </c>
      <c r="N19" s="106">
        <f t="shared" si="4"/>
        <v>9.2425331840618821</v>
      </c>
      <c r="O19" s="106">
        <f t="shared" si="5"/>
        <v>4.1337837528270409E-2</v>
      </c>
      <c r="P19" s="107">
        <f>(AVERAGE(POWER(10,K19),POWER(10,L19),POWER(10,M19)))*Calculation!$I19/Calculation!$K18</f>
        <v>1879243476.3077636</v>
      </c>
      <c r="Q19" s="107">
        <f>(STDEV(POWER(10,K19),POWER(10,L19),POWER(10,M19))*Calculation!$I19/Calculation!$K18)</f>
        <v>176671336.66517425</v>
      </c>
      <c r="R19" s="106">
        <f t="shared" si="6"/>
        <v>9.2739830512909105</v>
      </c>
      <c r="S19" s="106">
        <f>O19*Calculation!$I19/Calculation!$K18</f>
        <v>4.4309493447691826E-2</v>
      </c>
    </row>
    <row r="20" spans="1:19">
      <c r="A20" s="39">
        <v>16</v>
      </c>
      <c r="B20" s="31">
        <v>1065</v>
      </c>
      <c r="C20" s="31">
        <f>C19+B20</f>
        <v>2880</v>
      </c>
      <c r="D20" s="13">
        <f t="shared" ref="D20" si="8">C20/60</f>
        <v>48</v>
      </c>
      <c r="E20" s="98">
        <v>18.906351089477539</v>
      </c>
      <c r="F20" s="98">
        <v>20.648313522338867</v>
      </c>
      <c r="G20" s="99">
        <v>19.38798713684082</v>
      </c>
      <c r="H20" s="105">
        <f t="shared" si="1"/>
        <v>18.586946401734281</v>
      </c>
      <c r="I20" s="105">
        <f t="shared" si="2"/>
        <v>20.328908834595609</v>
      </c>
      <c r="J20" s="105">
        <f t="shared" si="3"/>
        <v>19.068582449097562</v>
      </c>
      <c r="K20" s="99">
        <f>((H20-'Calibration F. prausnitzii'!$D$45)/'Calibration F. prausnitzii'!$D$44)+$B$27</f>
        <v>9.0209598272210609</v>
      </c>
      <c r="L20" s="99">
        <f>((I20-'Calibration F. prausnitzii'!$D$45)/'Calibration F. prausnitzii'!$D$44)+$B$27</f>
        <v>8.4846908764279299</v>
      </c>
      <c r="M20" s="99">
        <f>((J20-'Calibration F. prausnitzii'!$D$45)/'Calibration F. prausnitzii'!$D$44)+$B$27</f>
        <v>8.8726865620167139</v>
      </c>
      <c r="N20" s="106">
        <f t="shared" si="4"/>
        <v>8.7927790885552337</v>
      </c>
      <c r="O20" s="106">
        <f t="shared" si="5"/>
        <v>0.27692056646706315</v>
      </c>
      <c r="P20" s="107">
        <f>(AVERAGE(POWER(10,K20),POWER(10,L20),POWER(10,M20)))*Calculation!$I20/Calculation!$K19</f>
        <v>751360199.73082733</v>
      </c>
      <c r="Q20" s="107">
        <f>(STDEV(POWER(10,K20),POWER(10,L20),POWER(10,M20))*Calculation!$I20/Calculation!$K19)</f>
        <v>401518265.70530444</v>
      </c>
      <c r="R20" s="106">
        <f t="shared" si="6"/>
        <v>8.8758481863421199</v>
      </c>
      <c r="S20" s="106">
        <f>O20*Calculation!$I20/Calculation!$K19</f>
        <v>0.29714951273942558</v>
      </c>
    </row>
    <row r="21" spans="1:19">
      <c r="A21" s="10"/>
      <c r="B21" s="10"/>
      <c r="C21" s="10"/>
      <c r="D21" s="108"/>
      <c r="E21" s="109"/>
      <c r="F21" s="109"/>
      <c r="G21" s="110"/>
      <c r="H21" s="111"/>
      <c r="I21" s="111"/>
      <c r="J21" s="111"/>
      <c r="K21" s="110"/>
      <c r="L21" s="110"/>
      <c r="M21" s="110"/>
      <c r="N21" s="112"/>
      <c r="O21" s="112"/>
      <c r="P21" s="113"/>
      <c r="Q21" s="113"/>
      <c r="R21" s="112"/>
      <c r="S21" s="112"/>
    </row>
    <row r="22" spans="1:19"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</row>
    <row r="23" spans="1:19"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</row>
    <row r="24" spans="1:19"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</row>
    <row r="25" spans="1:19"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</row>
    <row r="26" spans="1:19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</row>
    <row r="27" spans="1:19">
      <c r="A27" s="101" t="s">
        <v>235</v>
      </c>
      <c r="B27" s="114">
        <f>LOG(B28)</f>
        <v>3.6532125137753435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</row>
    <row r="28" spans="1:19">
      <c r="A28" s="83" t="s">
        <v>236</v>
      </c>
      <c r="B28" s="83">
        <f>20*1800/4/2</f>
        <v>4500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</row>
    <row r="29" spans="1:19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</row>
    <row r="30" spans="1:19">
      <c r="A30" s="62" t="s">
        <v>237</v>
      </c>
      <c r="B30" s="62"/>
      <c r="C30" s="62"/>
      <c r="D30" s="62"/>
      <c r="E30" s="115">
        <v>14.4</v>
      </c>
      <c r="F30" s="105">
        <v>14.4</v>
      </c>
      <c r="G30" s="105">
        <v>14.3</v>
      </c>
      <c r="H30" s="105">
        <f>AVERAGE(E30:G30)</f>
        <v>14.366666666666667</v>
      </c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</row>
    <row r="31" spans="1:19">
      <c r="A31" s="62" t="s">
        <v>238</v>
      </c>
      <c r="B31" s="62"/>
      <c r="C31" s="62"/>
      <c r="D31" s="62"/>
      <c r="E31" s="123">
        <v>14</v>
      </c>
      <c r="F31" s="124">
        <v>13.8</v>
      </c>
      <c r="G31" s="124">
        <v>14.1</v>
      </c>
      <c r="H31" s="105">
        <f t="shared" ref="H31:H75" si="9">AVERAGE(E31:G31)</f>
        <v>13.966666666666667</v>
      </c>
    </row>
    <row r="32" spans="1:19">
      <c r="A32" s="62" t="s">
        <v>239</v>
      </c>
      <c r="B32" s="62"/>
      <c r="C32" s="62"/>
      <c r="D32" s="62"/>
      <c r="E32" s="123">
        <v>14.1</v>
      </c>
      <c r="F32" s="124">
        <v>14.1</v>
      </c>
      <c r="G32" s="124">
        <v>14.1</v>
      </c>
      <c r="H32" s="105">
        <f t="shared" si="9"/>
        <v>14.1</v>
      </c>
    </row>
    <row r="33" spans="1:8">
      <c r="A33" s="62" t="s">
        <v>240</v>
      </c>
      <c r="B33" s="62"/>
      <c r="C33" s="62"/>
      <c r="D33" s="62"/>
      <c r="E33" s="123">
        <v>13.8</v>
      </c>
      <c r="F33" s="124">
        <v>14</v>
      </c>
      <c r="G33" s="124">
        <v>14</v>
      </c>
      <c r="H33" s="105">
        <f t="shared" si="9"/>
        <v>13.933333333333332</v>
      </c>
    </row>
    <row r="34" spans="1:8">
      <c r="A34" s="62" t="s">
        <v>241</v>
      </c>
      <c r="B34" s="62"/>
      <c r="C34" s="62"/>
      <c r="D34" s="62"/>
      <c r="E34" s="123">
        <v>11.6</v>
      </c>
      <c r="F34" s="124">
        <v>11.5</v>
      </c>
      <c r="G34" s="124">
        <v>11.5</v>
      </c>
      <c r="H34" s="105">
        <f t="shared" si="9"/>
        <v>11.533333333333333</v>
      </c>
    </row>
    <row r="35" spans="1:8">
      <c r="A35" s="62" t="s">
        <v>242</v>
      </c>
      <c r="B35" s="62"/>
      <c r="C35" s="62"/>
      <c r="D35" s="62"/>
      <c r="E35" s="123">
        <v>14.5</v>
      </c>
      <c r="F35" s="124">
        <v>14.8</v>
      </c>
      <c r="G35" s="124">
        <v>14.7</v>
      </c>
      <c r="H35" s="105">
        <f t="shared" si="9"/>
        <v>14.666666666666666</v>
      </c>
    </row>
    <row r="36" spans="1:8">
      <c r="A36" s="62" t="s">
        <v>243</v>
      </c>
      <c r="B36" s="62"/>
      <c r="C36" s="62"/>
      <c r="D36" s="62"/>
      <c r="E36" s="123">
        <v>14.3</v>
      </c>
      <c r="F36" s="124">
        <v>14.8</v>
      </c>
      <c r="G36" s="124">
        <v>14.7</v>
      </c>
      <c r="H36" s="105">
        <f t="shared" si="9"/>
        <v>14.6</v>
      </c>
    </row>
    <row r="37" spans="1:8">
      <c r="A37" s="62" t="s">
        <v>244</v>
      </c>
      <c r="B37" s="62"/>
      <c r="C37" s="62"/>
      <c r="D37" s="62"/>
      <c r="E37" s="123">
        <v>13.1</v>
      </c>
      <c r="F37" s="124">
        <v>13.3</v>
      </c>
      <c r="G37" s="124">
        <v>14.5</v>
      </c>
      <c r="H37" s="105">
        <f t="shared" si="9"/>
        <v>13.633333333333333</v>
      </c>
    </row>
    <row r="38" spans="1:8">
      <c r="A38" s="62" t="s">
        <v>245</v>
      </c>
      <c r="B38" s="62"/>
      <c r="C38" s="62"/>
      <c r="D38" s="62"/>
      <c r="E38" s="123">
        <v>14.8</v>
      </c>
      <c r="F38" s="124">
        <v>15</v>
      </c>
      <c r="G38" s="124">
        <v>15</v>
      </c>
      <c r="H38" s="105">
        <f t="shared" si="9"/>
        <v>14.933333333333332</v>
      </c>
    </row>
    <row r="39" spans="1:8">
      <c r="A39" s="62" t="s">
        <v>245</v>
      </c>
      <c r="B39" s="62"/>
      <c r="C39" s="62"/>
      <c r="D39" s="62"/>
      <c r="E39" s="123">
        <v>13.9</v>
      </c>
      <c r="F39" s="124">
        <v>14.3</v>
      </c>
      <c r="G39" s="124">
        <v>14</v>
      </c>
      <c r="H39" s="105">
        <f t="shared" si="9"/>
        <v>14.066666666666668</v>
      </c>
    </row>
    <row r="40" spans="1:8">
      <c r="A40" s="62" t="s">
        <v>246</v>
      </c>
      <c r="B40" s="62"/>
      <c r="C40" s="62"/>
      <c r="D40" s="62"/>
      <c r="E40" s="123">
        <v>14</v>
      </c>
      <c r="F40" s="124">
        <v>14.3</v>
      </c>
      <c r="G40" s="124">
        <v>14.5</v>
      </c>
      <c r="H40" s="105">
        <f t="shared" si="9"/>
        <v>14.266666666666666</v>
      </c>
    </row>
    <row r="41" spans="1:8">
      <c r="A41" s="62" t="s">
        <v>246</v>
      </c>
      <c r="B41" s="62"/>
      <c r="C41" s="62"/>
      <c r="D41" s="62"/>
      <c r="E41" s="123">
        <v>14.8</v>
      </c>
      <c r="F41" s="124">
        <v>14.8</v>
      </c>
      <c r="G41" s="124">
        <v>14.8</v>
      </c>
      <c r="H41" s="105">
        <f t="shared" si="9"/>
        <v>14.800000000000002</v>
      </c>
    </row>
    <row r="42" spans="1:8">
      <c r="A42" s="62" t="s">
        <v>247</v>
      </c>
      <c r="B42" s="62"/>
      <c r="C42" s="62"/>
      <c r="D42" s="62"/>
      <c r="E42" s="123">
        <v>15.4</v>
      </c>
      <c r="F42" s="124">
        <v>15.4</v>
      </c>
      <c r="G42" s="124">
        <v>15.4</v>
      </c>
      <c r="H42" s="105">
        <f t="shared" si="9"/>
        <v>15.4</v>
      </c>
    </row>
    <row r="43" spans="1:8">
      <c r="A43" s="62" t="s">
        <v>247</v>
      </c>
      <c r="B43" s="62"/>
      <c r="C43" s="62"/>
      <c r="D43" s="62"/>
      <c r="E43" s="123">
        <v>15.1</v>
      </c>
      <c r="F43" s="124">
        <v>15.3</v>
      </c>
      <c r="G43" s="124">
        <v>15.2</v>
      </c>
      <c r="H43" s="105">
        <f t="shared" si="9"/>
        <v>15.199999999999998</v>
      </c>
    </row>
    <row r="44" spans="1:8">
      <c r="A44" s="62" t="s">
        <v>248</v>
      </c>
      <c r="B44" s="62"/>
      <c r="C44" s="62"/>
      <c r="D44" s="62"/>
      <c r="E44" s="123">
        <v>14.9</v>
      </c>
      <c r="F44" s="124">
        <v>14.9</v>
      </c>
      <c r="G44" s="124">
        <v>14.9</v>
      </c>
      <c r="H44" s="105">
        <f t="shared" si="9"/>
        <v>14.9</v>
      </c>
    </row>
    <row r="45" spans="1:8">
      <c r="A45" s="62" t="s">
        <v>248</v>
      </c>
      <c r="B45" s="62"/>
      <c r="C45" s="62"/>
      <c r="D45" s="62"/>
      <c r="E45" s="123">
        <v>14.1</v>
      </c>
      <c r="F45" s="124">
        <v>14.3</v>
      </c>
      <c r="G45" s="124">
        <v>14.4</v>
      </c>
      <c r="H45" s="105">
        <f t="shared" si="9"/>
        <v>14.266666666666666</v>
      </c>
    </row>
    <row r="46" spans="1:8">
      <c r="A46" s="62" t="s">
        <v>249</v>
      </c>
      <c r="B46" s="62"/>
      <c r="C46" s="62"/>
      <c r="D46" s="62"/>
      <c r="E46" s="123">
        <v>15</v>
      </c>
      <c r="F46" s="124">
        <v>14.8</v>
      </c>
      <c r="G46" s="124">
        <v>15.3</v>
      </c>
      <c r="H46" s="105">
        <f t="shared" si="9"/>
        <v>15.033333333333333</v>
      </c>
    </row>
    <row r="47" spans="1:8">
      <c r="A47" s="62" t="s">
        <v>250</v>
      </c>
      <c r="B47" s="62"/>
      <c r="C47" s="62"/>
      <c r="D47" s="62"/>
      <c r="E47" s="123">
        <v>14.9</v>
      </c>
      <c r="F47" s="124">
        <v>15.1</v>
      </c>
      <c r="G47" s="124">
        <v>15</v>
      </c>
      <c r="H47" s="105">
        <f t="shared" si="9"/>
        <v>15</v>
      </c>
    </row>
    <row r="48" spans="1:8">
      <c r="A48" s="62" t="s">
        <v>251</v>
      </c>
      <c r="B48" s="62"/>
      <c r="C48" s="62"/>
      <c r="D48" s="62"/>
      <c r="E48" s="123">
        <v>15.1</v>
      </c>
      <c r="F48" s="124">
        <v>15.1</v>
      </c>
      <c r="G48" s="124">
        <v>15.1</v>
      </c>
      <c r="H48" s="105">
        <f t="shared" si="9"/>
        <v>15.1</v>
      </c>
    </row>
    <row r="49" spans="1:8">
      <c r="A49" s="62" t="s">
        <v>252</v>
      </c>
      <c r="B49" s="62"/>
      <c r="C49" s="62"/>
      <c r="D49" s="62"/>
      <c r="E49" s="123">
        <v>14.4</v>
      </c>
      <c r="F49" s="124">
        <v>14.4</v>
      </c>
      <c r="G49" s="124">
        <v>15.3</v>
      </c>
      <c r="H49" s="105">
        <f t="shared" si="9"/>
        <v>14.700000000000001</v>
      </c>
    </row>
    <row r="50" spans="1:8">
      <c r="A50" s="62" t="s">
        <v>253</v>
      </c>
      <c r="B50" s="62"/>
      <c r="C50" s="62"/>
      <c r="D50" s="62"/>
      <c r="E50" s="123">
        <v>14.6</v>
      </c>
      <c r="F50" s="124">
        <v>14.8</v>
      </c>
      <c r="G50" s="124">
        <v>15</v>
      </c>
      <c r="H50" s="105">
        <f t="shared" si="9"/>
        <v>14.799999999999999</v>
      </c>
    </row>
    <row r="51" spans="1:8">
      <c r="A51" s="62" t="s">
        <v>254</v>
      </c>
      <c r="B51" s="62"/>
      <c r="C51" s="62"/>
      <c r="D51" s="62"/>
      <c r="E51" s="123">
        <v>15</v>
      </c>
      <c r="F51" s="124">
        <v>15</v>
      </c>
      <c r="G51" s="124">
        <v>14.9</v>
      </c>
      <c r="H51" s="105">
        <f t="shared" si="9"/>
        <v>14.966666666666667</v>
      </c>
    </row>
    <row r="52" spans="1:8">
      <c r="A52" s="62" t="s">
        <v>255</v>
      </c>
      <c r="B52" s="62"/>
      <c r="C52" s="62"/>
      <c r="D52" s="62"/>
      <c r="E52" s="123">
        <v>15.2</v>
      </c>
      <c r="F52" s="124">
        <v>15.3</v>
      </c>
      <c r="G52" s="124">
        <v>15.3</v>
      </c>
      <c r="H52" s="105">
        <f t="shared" si="9"/>
        <v>15.266666666666666</v>
      </c>
    </row>
    <row r="53" spans="1:8">
      <c r="A53" s="62" t="s">
        <v>256</v>
      </c>
      <c r="B53" s="62"/>
      <c r="C53" s="62"/>
      <c r="D53" s="62"/>
      <c r="E53" s="123">
        <v>15.5</v>
      </c>
      <c r="F53" s="124">
        <v>15.5</v>
      </c>
      <c r="G53" s="124">
        <v>15.3</v>
      </c>
      <c r="H53" s="105">
        <f t="shared" si="9"/>
        <v>15.433333333333332</v>
      </c>
    </row>
    <row r="54" spans="1:8">
      <c r="A54" s="62" t="s">
        <v>276</v>
      </c>
      <c r="B54" s="62"/>
      <c r="C54" s="62"/>
      <c r="D54" s="62"/>
      <c r="E54" s="123">
        <v>15.2</v>
      </c>
      <c r="F54" s="124">
        <v>15.3</v>
      </c>
      <c r="G54" s="124">
        <v>15.1</v>
      </c>
      <c r="H54" s="105">
        <f t="shared" si="9"/>
        <v>15.200000000000001</v>
      </c>
    </row>
    <row r="55" spans="1:8">
      <c r="A55" s="62" t="s">
        <v>280</v>
      </c>
      <c r="B55" s="62"/>
      <c r="C55" s="62"/>
      <c r="D55" s="62"/>
      <c r="E55" s="123">
        <v>15.1</v>
      </c>
      <c r="F55" s="124">
        <v>15.1</v>
      </c>
      <c r="G55" s="124">
        <v>15.2</v>
      </c>
      <c r="H55" s="105">
        <f t="shared" si="9"/>
        <v>15.133333333333333</v>
      </c>
    </row>
    <row r="56" spans="1:8">
      <c r="A56" s="62" t="s">
        <v>279</v>
      </c>
      <c r="B56" s="62"/>
      <c r="C56" s="62"/>
      <c r="D56" s="62"/>
      <c r="E56" s="123">
        <v>15</v>
      </c>
      <c r="F56" s="124">
        <v>15</v>
      </c>
      <c r="G56" s="124">
        <v>14.9</v>
      </c>
      <c r="H56" s="105">
        <f t="shared" si="9"/>
        <v>14.966666666666667</v>
      </c>
    </row>
    <row r="57" spans="1:8">
      <c r="A57" s="62" t="s">
        <v>288</v>
      </c>
      <c r="B57" s="62"/>
      <c r="C57" s="62"/>
      <c r="D57" s="62"/>
      <c r="E57" s="123">
        <v>15.3</v>
      </c>
      <c r="F57" s="124">
        <v>15.4</v>
      </c>
      <c r="G57" s="124">
        <v>15.4</v>
      </c>
      <c r="H57" s="105">
        <f t="shared" si="9"/>
        <v>15.366666666666667</v>
      </c>
    </row>
    <row r="58" spans="1:8">
      <c r="A58" s="62" t="s">
        <v>288</v>
      </c>
      <c r="B58" s="62"/>
      <c r="C58" s="62"/>
      <c r="D58" s="62"/>
      <c r="E58" s="123">
        <v>15.1</v>
      </c>
      <c r="F58" s="124">
        <v>15</v>
      </c>
      <c r="G58" s="124">
        <v>15.2</v>
      </c>
      <c r="H58" s="105">
        <f t="shared" si="9"/>
        <v>15.1</v>
      </c>
    </row>
    <row r="59" spans="1:8">
      <c r="A59" s="62" t="s">
        <v>289</v>
      </c>
      <c r="B59" s="62"/>
      <c r="C59" s="62"/>
      <c r="D59" s="62"/>
      <c r="E59" s="123">
        <v>15.1</v>
      </c>
      <c r="F59" s="124">
        <v>15.1</v>
      </c>
      <c r="G59" s="124">
        <v>15.1</v>
      </c>
      <c r="H59" s="105">
        <f t="shared" si="9"/>
        <v>15.1</v>
      </c>
    </row>
    <row r="60" spans="1:8">
      <c r="A60" s="62" t="s">
        <v>290</v>
      </c>
      <c r="B60" s="62"/>
      <c r="C60" s="62"/>
      <c r="D60" s="62"/>
      <c r="E60" s="123">
        <v>15.3</v>
      </c>
      <c r="F60" s="124">
        <v>15.3</v>
      </c>
      <c r="G60" s="124">
        <v>15.2</v>
      </c>
      <c r="H60" s="105">
        <f t="shared" si="9"/>
        <v>15.266666666666666</v>
      </c>
    </row>
    <row r="61" spans="1:8">
      <c r="A61" s="62" t="s">
        <v>291</v>
      </c>
      <c r="B61" s="62"/>
      <c r="C61" s="62"/>
      <c r="D61" s="62"/>
      <c r="E61" s="123">
        <v>15</v>
      </c>
      <c r="F61" s="124">
        <v>15</v>
      </c>
      <c r="G61" s="124">
        <v>15</v>
      </c>
      <c r="H61" s="105">
        <f t="shared" si="9"/>
        <v>15</v>
      </c>
    </row>
    <row r="62" spans="1:8">
      <c r="A62" s="62" t="s">
        <v>292</v>
      </c>
      <c r="B62" s="62"/>
      <c r="C62" s="62"/>
      <c r="D62" s="62"/>
      <c r="E62" s="123">
        <v>15.2</v>
      </c>
      <c r="F62" s="124">
        <v>15.2</v>
      </c>
      <c r="G62" s="124">
        <v>15.1</v>
      </c>
      <c r="H62" s="105">
        <f t="shared" si="9"/>
        <v>15.166666666666666</v>
      </c>
    </row>
    <row r="63" spans="1:8">
      <c r="A63" s="62" t="s">
        <v>292</v>
      </c>
      <c r="B63" s="62"/>
      <c r="C63" s="62"/>
      <c r="D63" s="62"/>
      <c r="E63" s="123">
        <v>15.1</v>
      </c>
      <c r="F63" s="124">
        <v>15.1</v>
      </c>
      <c r="G63" s="124">
        <v>14.9</v>
      </c>
      <c r="H63" s="105">
        <f t="shared" si="9"/>
        <v>15.033333333333333</v>
      </c>
    </row>
    <row r="64" spans="1:8">
      <c r="A64" s="62" t="s">
        <v>293</v>
      </c>
      <c r="B64" s="62"/>
      <c r="C64" s="62"/>
      <c r="D64" s="62"/>
      <c r="E64" s="123">
        <v>15.4</v>
      </c>
      <c r="F64" s="124">
        <v>14.7</v>
      </c>
      <c r="G64" s="124">
        <v>14.2</v>
      </c>
      <c r="H64" s="105">
        <f t="shared" si="9"/>
        <v>14.766666666666666</v>
      </c>
    </row>
    <row r="65" spans="1:8">
      <c r="A65" s="62" t="s">
        <v>293</v>
      </c>
      <c r="B65" s="62"/>
      <c r="C65" s="62"/>
      <c r="D65" s="62"/>
      <c r="E65" s="123">
        <v>14.4</v>
      </c>
      <c r="F65" s="124">
        <v>14.4</v>
      </c>
      <c r="G65" s="124">
        <v>14.5</v>
      </c>
      <c r="H65" s="105">
        <f t="shared" si="9"/>
        <v>14.433333333333332</v>
      </c>
    </row>
    <row r="66" spans="1:8">
      <c r="A66" s="62" t="s">
        <v>294</v>
      </c>
      <c r="B66" s="62"/>
      <c r="C66" s="62"/>
      <c r="D66" s="62"/>
      <c r="E66" s="123">
        <v>15.1</v>
      </c>
      <c r="F66" s="124">
        <v>15.2</v>
      </c>
      <c r="G66" s="124">
        <v>15.4</v>
      </c>
      <c r="H66" s="105">
        <f t="shared" si="9"/>
        <v>15.233333333333333</v>
      </c>
    </row>
    <row r="67" spans="1:8">
      <c r="A67" s="94" t="s">
        <v>300</v>
      </c>
      <c r="B67" s="83"/>
      <c r="C67" s="83"/>
      <c r="D67" s="83"/>
      <c r="E67" s="123">
        <v>14.613919258117676</v>
      </c>
      <c r="F67" s="124">
        <v>14.544337272644043</v>
      </c>
      <c r="G67" s="124">
        <v>14.610519409179688</v>
      </c>
      <c r="H67" s="105">
        <f t="shared" si="9"/>
        <v>14.589591979980469</v>
      </c>
    </row>
    <row r="68" spans="1:8">
      <c r="A68" s="94" t="s">
        <v>301</v>
      </c>
      <c r="B68" s="83"/>
      <c r="C68" s="83"/>
      <c r="D68" s="83"/>
      <c r="E68" s="123">
        <v>14.970376014709473</v>
      </c>
      <c r="F68" s="124">
        <v>14.902167320251465</v>
      </c>
      <c r="G68" s="124">
        <v>14.964475631713867</v>
      </c>
      <c r="H68" s="105">
        <f t="shared" si="9"/>
        <v>14.945672988891602</v>
      </c>
    </row>
    <row r="69" spans="1:8">
      <c r="A69" s="94" t="s">
        <v>302</v>
      </c>
      <c r="B69" s="83"/>
      <c r="C69" s="83"/>
      <c r="D69" s="83"/>
      <c r="E69" s="123">
        <v>15.184457778930664</v>
      </c>
      <c r="F69" s="124">
        <v>15.273150444030762</v>
      </c>
      <c r="G69" s="124">
        <v>15.250771522521973</v>
      </c>
      <c r="H69" s="105">
        <f t="shared" si="9"/>
        <v>15.236126581827799</v>
      </c>
    </row>
    <row r="70" spans="1:8">
      <c r="A70" s="94" t="s">
        <v>303</v>
      </c>
      <c r="B70" s="83"/>
      <c r="C70" s="83"/>
      <c r="D70" s="83"/>
      <c r="E70" s="123">
        <v>15.047176361083984</v>
      </c>
      <c r="F70" s="124">
        <v>15.114773750305176</v>
      </c>
      <c r="G70" s="124">
        <v>15.180623054504395</v>
      </c>
      <c r="H70" s="105">
        <f t="shared" si="9"/>
        <v>15.114191055297852</v>
      </c>
    </row>
    <row r="71" spans="1:8">
      <c r="A71" s="94" t="s">
        <v>304</v>
      </c>
      <c r="B71" s="83"/>
      <c r="E71" s="123">
        <v>14.840383529663086</v>
      </c>
      <c r="F71" s="124">
        <v>14.916571617126465</v>
      </c>
      <c r="G71" s="124">
        <v>14.954231262207031</v>
      </c>
      <c r="H71" s="105">
        <f t="shared" si="9"/>
        <v>14.903728802998861</v>
      </c>
    </row>
    <row r="72" spans="1:8">
      <c r="A72" s="94" t="s">
        <v>305</v>
      </c>
      <c r="E72" s="123">
        <v>15.199845314025879</v>
      </c>
      <c r="F72" s="124">
        <v>15.533450126647949</v>
      </c>
      <c r="G72" s="124">
        <v>15.423110961914062</v>
      </c>
      <c r="H72" s="105">
        <f>AVERAGE(E72:G72)</f>
        <v>15.385468800862631</v>
      </c>
    </row>
    <row r="73" spans="1:8">
      <c r="A73" s="94" t="s">
        <v>306</v>
      </c>
      <c r="B73" s="83"/>
      <c r="E73" s="123">
        <v>15.120054244995117</v>
      </c>
      <c r="F73" s="124">
        <v>15.144433975219727</v>
      </c>
      <c r="G73" s="124">
        <v>15.071084976196289</v>
      </c>
      <c r="H73" s="105">
        <f t="shared" si="9"/>
        <v>15.111857732137045</v>
      </c>
    </row>
    <row r="74" spans="1:8">
      <c r="A74" s="94" t="s">
        <v>306</v>
      </c>
      <c r="E74" s="123">
        <v>15.292695999145508</v>
      </c>
      <c r="F74" s="124">
        <v>15.627285957336426</v>
      </c>
      <c r="G74" s="124">
        <v>15.304715156555176</v>
      </c>
      <c r="H74" s="105">
        <f t="shared" si="9"/>
        <v>15.408232371012369</v>
      </c>
    </row>
    <row r="75" spans="1:8">
      <c r="A75" s="94" t="s">
        <v>307</v>
      </c>
      <c r="E75" s="123">
        <v>15.044212341308594</v>
      </c>
      <c r="F75" s="124">
        <v>15.046442985534668</v>
      </c>
      <c r="G75" s="124">
        <v>15.083253860473633</v>
      </c>
      <c r="H75" s="105">
        <f t="shared" si="9"/>
        <v>15.057969729105631</v>
      </c>
    </row>
    <row r="76" spans="1:8">
      <c r="A76" s="94"/>
      <c r="E76" s="111"/>
      <c r="F76" s="111"/>
      <c r="G76" s="111"/>
      <c r="H76" s="111"/>
    </row>
    <row r="77" spans="1:8">
      <c r="A77" s="62"/>
      <c r="B77" s="62"/>
      <c r="C77" s="62"/>
      <c r="D77" s="62"/>
      <c r="E77" s="125"/>
      <c r="F77" s="125"/>
      <c r="G77" s="125"/>
      <c r="H77" s="125"/>
    </row>
    <row r="78" spans="1:8">
      <c r="A78" s="62"/>
      <c r="B78" s="62"/>
      <c r="C78" s="62"/>
      <c r="D78" s="62"/>
      <c r="E78" s="62"/>
      <c r="F78" s="62"/>
      <c r="G78" s="62"/>
      <c r="H78" s="62"/>
    </row>
    <row r="79" spans="1:8">
      <c r="A79" s="62"/>
      <c r="B79" s="62"/>
      <c r="C79" s="62"/>
      <c r="D79" s="62"/>
      <c r="E79" s="62"/>
      <c r="F79" s="62"/>
      <c r="G79" s="62" t="s">
        <v>257</v>
      </c>
      <c r="H79" s="81">
        <f>AVERAGE(H30:H75)</f>
        <v>14.792453044393786</v>
      </c>
    </row>
  </sheetData>
  <mergeCells count="19">
    <mergeCell ref="S2:S3"/>
    <mergeCell ref="M2:M3"/>
    <mergeCell ref="N2:N3"/>
    <mergeCell ref="O2:O3"/>
    <mergeCell ref="P2:P3"/>
    <mergeCell ref="Q2:Q3"/>
    <mergeCell ref="R2:R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12" workbookViewId="0">
      <selection activeCell="G45" sqref="G45"/>
    </sheetView>
  </sheetViews>
  <sheetFormatPr baseColWidth="10" defaultRowHeight="14" x14ac:dyDescent="0"/>
  <cols>
    <col min="7" max="7" width="11" bestFit="1" customWidth="1"/>
  </cols>
  <sheetData>
    <row r="1" spans="1:22">
      <c r="A1" s="83"/>
      <c r="B1" s="145" t="s">
        <v>4</v>
      </c>
      <c r="C1" s="147" t="s">
        <v>182</v>
      </c>
      <c r="D1" s="148" t="s">
        <v>18</v>
      </c>
      <c r="E1" s="148"/>
      <c r="F1" s="148"/>
      <c r="G1" s="148"/>
      <c r="H1" s="148" t="s">
        <v>20</v>
      </c>
      <c r="I1" s="148"/>
      <c r="J1" s="148"/>
      <c r="K1" s="148"/>
      <c r="L1" s="148" t="s">
        <v>21</v>
      </c>
      <c r="M1" s="148"/>
      <c r="N1" s="148"/>
      <c r="O1" s="148"/>
      <c r="P1" s="84" t="s">
        <v>22</v>
      </c>
      <c r="Q1" s="84" t="s">
        <v>22</v>
      </c>
      <c r="R1" s="84" t="s">
        <v>22</v>
      </c>
      <c r="S1" s="140" t="s">
        <v>183</v>
      </c>
      <c r="T1" s="83"/>
      <c r="U1" s="83"/>
      <c r="V1" s="83"/>
    </row>
    <row r="2" spans="1:22">
      <c r="A2" s="83"/>
      <c r="B2" s="146"/>
      <c r="C2" s="146"/>
      <c r="D2" s="85" t="s">
        <v>19</v>
      </c>
      <c r="E2" s="85" t="s">
        <v>68</v>
      </c>
      <c r="F2" s="85" t="s">
        <v>69</v>
      </c>
      <c r="G2" s="85" t="s">
        <v>70</v>
      </c>
      <c r="H2" s="85" t="s">
        <v>19</v>
      </c>
      <c r="I2" s="85" t="s">
        <v>68</v>
      </c>
      <c r="J2" s="85" t="s">
        <v>69</v>
      </c>
      <c r="K2" s="85" t="s">
        <v>70</v>
      </c>
      <c r="L2" s="85" t="s">
        <v>19</v>
      </c>
      <c r="M2" s="85" t="s">
        <v>68</v>
      </c>
      <c r="N2" s="85" t="s">
        <v>69</v>
      </c>
      <c r="O2" s="85" t="s">
        <v>71</v>
      </c>
      <c r="P2" s="86" t="s">
        <v>70</v>
      </c>
      <c r="Q2" s="86" t="s">
        <v>23</v>
      </c>
      <c r="R2" s="86" t="s">
        <v>72</v>
      </c>
      <c r="S2" s="141"/>
      <c r="T2" s="83"/>
      <c r="U2" s="83"/>
      <c r="V2" s="83"/>
    </row>
    <row r="3" spans="1:22">
      <c r="A3" s="83"/>
      <c r="B3" s="87"/>
      <c r="C3" s="87"/>
      <c r="D3" s="88"/>
      <c r="E3" s="88"/>
      <c r="F3" s="88"/>
      <c r="G3" s="89"/>
      <c r="H3" s="88"/>
      <c r="I3" s="88"/>
      <c r="J3" s="88"/>
      <c r="K3" s="89"/>
      <c r="L3" s="88"/>
      <c r="M3" s="88"/>
      <c r="N3" s="88"/>
      <c r="O3" s="89"/>
      <c r="P3" s="142"/>
      <c r="Q3" s="143"/>
      <c r="R3" s="144"/>
      <c r="S3" s="83"/>
      <c r="T3" s="83"/>
      <c r="U3" s="83"/>
      <c r="V3" s="83"/>
    </row>
    <row r="4" spans="1:22">
      <c r="A4" s="83"/>
      <c r="B4" s="90" t="s">
        <v>184</v>
      </c>
      <c r="C4" s="91">
        <v>500</v>
      </c>
      <c r="D4" s="91">
        <v>2</v>
      </c>
      <c r="E4" s="91">
        <v>11777</v>
      </c>
      <c r="F4" s="91">
        <v>6</v>
      </c>
      <c r="G4" s="89">
        <f>(E4/F4)*(10.2)*POWER(10,D4+2)</f>
        <v>200208999.99999997</v>
      </c>
      <c r="H4" s="91">
        <v>2</v>
      </c>
      <c r="I4" s="91">
        <v>12350</v>
      </c>
      <c r="J4" s="91">
        <v>6</v>
      </c>
      <c r="K4" s="89">
        <f>(I4/J4)*(10.2)*POWER(10,H4+2)</f>
        <v>209950000</v>
      </c>
      <c r="L4" s="91">
        <v>2</v>
      </c>
      <c r="M4" s="91">
        <v>12193</v>
      </c>
      <c r="N4" s="91">
        <v>6</v>
      </c>
      <c r="O4" s="89">
        <f t="shared" ref="O4:O19" si="0">(M4/N4)*(10.2)*POWER(10,L4+2)</f>
        <v>207281000</v>
      </c>
      <c r="P4" s="92">
        <f t="shared" ref="P4:P19" si="1">AVERAGE(O4,K4,G4)</f>
        <v>205813333.33333334</v>
      </c>
      <c r="Q4" s="92">
        <f t="shared" ref="Q4:Q19" si="2">STDEV(O4,K4,G4)</f>
        <v>5033617.4202389978</v>
      </c>
      <c r="R4" s="93">
        <f>LOG(P4)</f>
        <v>8.313473506507659</v>
      </c>
      <c r="S4" s="94"/>
      <c r="T4" s="83"/>
      <c r="U4" s="83"/>
      <c r="V4" s="83"/>
    </row>
    <row r="5" spans="1:22">
      <c r="A5" s="83"/>
      <c r="B5" s="90" t="s">
        <v>185</v>
      </c>
      <c r="C5" s="91">
        <v>500</v>
      </c>
      <c r="D5" s="91">
        <v>1</v>
      </c>
      <c r="E5" s="91">
        <v>10368</v>
      </c>
      <c r="F5" s="91">
        <v>6</v>
      </c>
      <c r="G5" s="89">
        <f t="shared" ref="G5:G19" si="3">(E5/F5)*(10.2)*POWER(10,D5+2)</f>
        <v>17625600</v>
      </c>
      <c r="H5" s="91">
        <v>1</v>
      </c>
      <c r="I5" s="91">
        <v>11649</v>
      </c>
      <c r="J5" s="91">
        <v>6</v>
      </c>
      <c r="K5" s="89">
        <f t="shared" ref="K5:K19" si="4">(I5/J5)*(10.2)*POWER(10,H5+2)</f>
        <v>19803300</v>
      </c>
      <c r="L5" s="91">
        <v>1</v>
      </c>
      <c r="M5" s="91">
        <v>11377</v>
      </c>
      <c r="N5" s="91">
        <v>6</v>
      </c>
      <c r="O5" s="89">
        <f t="shared" si="0"/>
        <v>19340899.999999996</v>
      </c>
      <c r="P5" s="92">
        <f t="shared" si="1"/>
        <v>18923266.666666668</v>
      </c>
      <c r="Q5" s="92">
        <f t="shared" si="2"/>
        <v>1147348.0393208207</v>
      </c>
      <c r="R5" s="93">
        <f t="shared" ref="R5:R19" si="5">LOG(P5)</f>
        <v>7.2769961094890272</v>
      </c>
      <c r="S5" s="83"/>
      <c r="T5" s="83"/>
      <c r="U5" s="83"/>
      <c r="V5" s="83"/>
    </row>
    <row r="6" spans="1:22">
      <c r="A6" s="83"/>
      <c r="B6" s="90" t="s">
        <v>186</v>
      </c>
      <c r="C6" s="91">
        <v>500</v>
      </c>
      <c r="D6" s="91">
        <v>1</v>
      </c>
      <c r="E6" s="91">
        <v>1368</v>
      </c>
      <c r="F6" s="91">
        <v>6</v>
      </c>
      <c r="G6" s="89">
        <f t="shared" si="3"/>
        <v>2325600</v>
      </c>
      <c r="H6" s="91">
        <v>1</v>
      </c>
      <c r="I6" s="91">
        <v>1169</v>
      </c>
      <c r="J6" s="91">
        <v>6</v>
      </c>
      <c r="K6" s="89">
        <f t="shared" si="4"/>
        <v>1987300</v>
      </c>
      <c r="L6" s="91">
        <v>1</v>
      </c>
      <c r="M6" s="91">
        <v>1324</v>
      </c>
      <c r="N6" s="91">
        <v>6</v>
      </c>
      <c r="O6" s="89">
        <f t="shared" si="0"/>
        <v>2250799.9999999995</v>
      </c>
      <c r="P6" s="92">
        <f t="shared" si="1"/>
        <v>2187900</v>
      </c>
      <c r="Q6" s="92">
        <f t="shared" si="2"/>
        <v>177704.89582451005</v>
      </c>
      <c r="R6" s="93">
        <f t="shared" si="5"/>
        <v>6.3400274682826607</v>
      </c>
      <c r="S6" s="83"/>
      <c r="T6" s="83"/>
      <c r="U6" s="83"/>
      <c r="V6" s="83"/>
    </row>
    <row r="7" spans="1:22">
      <c r="A7" s="83"/>
      <c r="B7" s="90" t="s">
        <v>187</v>
      </c>
      <c r="C7" s="91">
        <v>500</v>
      </c>
      <c r="D7" s="91">
        <v>1</v>
      </c>
      <c r="E7" s="91">
        <v>1657</v>
      </c>
      <c r="F7" s="91">
        <v>67</v>
      </c>
      <c r="G7" s="89">
        <f>(E7/F7)*(10.2)*POWER(10,D7+2)</f>
        <v>252259.70149253728</v>
      </c>
      <c r="H7" s="91">
        <v>1</v>
      </c>
      <c r="I7" s="91">
        <v>1712</v>
      </c>
      <c r="J7" s="91">
        <v>67</v>
      </c>
      <c r="K7" s="89">
        <f t="shared" si="4"/>
        <v>260632.83582089547</v>
      </c>
      <c r="L7" s="91">
        <v>1</v>
      </c>
      <c r="M7" s="91">
        <v>1701</v>
      </c>
      <c r="N7" s="91">
        <v>67</v>
      </c>
      <c r="O7" s="89">
        <f t="shared" si="0"/>
        <v>258958.20895522388</v>
      </c>
      <c r="P7" s="92">
        <f t="shared" si="1"/>
        <v>257283.58208955219</v>
      </c>
      <c r="Q7" s="92">
        <f t="shared" si="2"/>
        <v>4430.6462253947329</v>
      </c>
      <c r="R7" s="93">
        <f t="shared" si="5"/>
        <v>5.410412073674765</v>
      </c>
      <c r="S7" s="94"/>
      <c r="T7" s="83"/>
      <c r="U7" s="83"/>
      <c r="V7" s="83"/>
    </row>
    <row r="8" spans="1:22">
      <c r="A8" s="83"/>
      <c r="B8" s="90" t="s">
        <v>188</v>
      </c>
      <c r="C8" s="91">
        <v>500</v>
      </c>
      <c r="D8" s="91">
        <v>1</v>
      </c>
      <c r="E8" s="91">
        <v>1582</v>
      </c>
      <c r="F8" s="91">
        <v>334</v>
      </c>
      <c r="G8" s="89">
        <f t="shared" si="3"/>
        <v>48312.574850299396</v>
      </c>
      <c r="H8" s="91">
        <v>1</v>
      </c>
      <c r="I8" s="91">
        <v>1222</v>
      </c>
      <c r="J8" s="91">
        <v>334</v>
      </c>
      <c r="K8" s="89">
        <f t="shared" si="4"/>
        <v>37318.562874251496</v>
      </c>
      <c r="L8" s="91">
        <v>1</v>
      </c>
      <c r="M8" s="91">
        <v>1331</v>
      </c>
      <c r="N8" s="91">
        <v>334</v>
      </c>
      <c r="O8" s="89">
        <f t="shared" si="0"/>
        <v>40647.305389221554</v>
      </c>
      <c r="P8" s="92">
        <f t="shared" si="1"/>
        <v>42092.814371257482</v>
      </c>
      <c r="Q8" s="92">
        <f t="shared" si="2"/>
        <v>5637.7475107733544</v>
      </c>
      <c r="R8" s="93">
        <f t="shared" si="5"/>
        <v>4.6242079641192557</v>
      </c>
      <c r="S8" s="94"/>
      <c r="T8" s="83"/>
      <c r="U8" s="83"/>
      <c r="V8" s="83"/>
    </row>
    <row r="9" spans="1:22">
      <c r="A9" s="83"/>
      <c r="B9" s="90" t="s">
        <v>189</v>
      </c>
      <c r="C9" s="91">
        <v>900</v>
      </c>
      <c r="D9" s="91">
        <v>2</v>
      </c>
      <c r="E9" s="91">
        <v>14797</v>
      </c>
      <c r="F9" s="91">
        <v>6</v>
      </c>
      <c r="G9" s="89">
        <f t="shared" si="3"/>
        <v>251548999.99999997</v>
      </c>
      <c r="H9" s="91">
        <v>2</v>
      </c>
      <c r="I9" s="91">
        <v>12831</v>
      </c>
      <c r="J9" s="91">
        <v>6</v>
      </c>
      <c r="K9" s="89">
        <f t="shared" si="4"/>
        <v>218126999.99999997</v>
      </c>
      <c r="L9" s="91">
        <v>2</v>
      </c>
      <c r="M9" s="91">
        <v>13557</v>
      </c>
      <c r="N9" s="91">
        <v>6</v>
      </c>
      <c r="O9" s="89">
        <f t="shared" si="0"/>
        <v>230468999.99999997</v>
      </c>
      <c r="P9" s="92">
        <f t="shared" si="1"/>
        <v>233381666.66666663</v>
      </c>
      <c r="Q9" s="92">
        <f t="shared" si="2"/>
        <v>16900302.995311458</v>
      </c>
      <c r="R9" s="93">
        <f t="shared" si="5"/>
        <v>8.3680667369783137</v>
      </c>
      <c r="S9" s="83"/>
      <c r="T9" s="83"/>
      <c r="U9" s="83"/>
      <c r="V9" s="83"/>
    </row>
    <row r="10" spans="1:22">
      <c r="A10" s="83"/>
      <c r="B10" s="90" t="s">
        <v>190</v>
      </c>
      <c r="C10" s="91">
        <v>900</v>
      </c>
      <c r="D10" s="91">
        <v>2</v>
      </c>
      <c r="E10" s="91">
        <v>6167</v>
      </c>
      <c r="F10" s="91">
        <v>6</v>
      </c>
      <c r="G10" s="89">
        <f t="shared" si="3"/>
        <v>104838999.99999999</v>
      </c>
      <c r="H10" s="91">
        <v>2</v>
      </c>
      <c r="I10" s="91">
        <v>6132</v>
      </c>
      <c r="J10" s="91">
        <v>6</v>
      </c>
      <c r="K10" s="89">
        <f t="shared" si="4"/>
        <v>104244000</v>
      </c>
      <c r="L10" s="91">
        <v>2</v>
      </c>
      <c r="M10" s="91">
        <v>5412</v>
      </c>
      <c r="N10" s="91">
        <v>6</v>
      </c>
      <c r="O10" s="89">
        <f t="shared" si="0"/>
        <v>92004000</v>
      </c>
      <c r="P10" s="92">
        <f t="shared" si="1"/>
        <v>100362333.33333333</v>
      </c>
      <c r="Q10" s="92">
        <f t="shared" si="2"/>
        <v>7244639.9726510411</v>
      </c>
      <c r="R10" s="93">
        <f t="shared" si="5"/>
        <v>8.0015707497132311</v>
      </c>
      <c r="S10" s="83"/>
      <c r="T10" s="83"/>
      <c r="U10" s="83"/>
      <c r="V10" s="83"/>
    </row>
    <row r="11" spans="1:22">
      <c r="A11" s="83"/>
      <c r="B11" s="90" t="s">
        <v>191</v>
      </c>
      <c r="C11" s="91">
        <v>900</v>
      </c>
      <c r="D11" s="91">
        <v>2</v>
      </c>
      <c r="E11" s="91">
        <v>2783</v>
      </c>
      <c r="F11" s="91">
        <v>6</v>
      </c>
      <c r="G11" s="89">
        <f t="shared" si="3"/>
        <v>47310999.999999993</v>
      </c>
      <c r="H11" s="91">
        <v>2</v>
      </c>
      <c r="I11" s="91">
        <v>2791</v>
      </c>
      <c r="J11" s="91">
        <v>6</v>
      </c>
      <c r="K11" s="89">
        <f t="shared" si="4"/>
        <v>47447000</v>
      </c>
      <c r="L11" s="91">
        <v>2</v>
      </c>
      <c r="M11" s="91">
        <v>2844</v>
      </c>
      <c r="N11" s="91">
        <v>6</v>
      </c>
      <c r="O11" s="89">
        <f t="shared" si="0"/>
        <v>48347999.999999993</v>
      </c>
      <c r="P11" s="92">
        <f t="shared" si="1"/>
        <v>47702000</v>
      </c>
      <c r="Q11" s="92">
        <f t="shared" si="2"/>
        <v>563569.87144452473</v>
      </c>
      <c r="R11" s="93">
        <f t="shared" si="5"/>
        <v>7.6785365880706147</v>
      </c>
      <c r="S11" s="83"/>
      <c r="T11" s="83"/>
      <c r="U11" s="83"/>
      <c r="V11" s="83"/>
    </row>
    <row r="12" spans="1:22">
      <c r="A12" s="83"/>
      <c r="B12" s="90" t="s">
        <v>192</v>
      </c>
      <c r="C12" s="91">
        <v>900</v>
      </c>
      <c r="D12" s="91">
        <v>1</v>
      </c>
      <c r="E12" s="91">
        <v>14347</v>
      </c>
      <c r="F12" s="91">
        <v>6</v>
      </c>
      <c r="G12" s="89">
        <f t="shared" si="3"/>
        <v>24389899.999999996</v>
      </c>
      <c r="H12" s="91">
        <v>1</v>
      </c>
      <c r="I12" s="91">
        <v>13548</v>
      </c>
      <c r="J12" s="91">
        <v>6</v>
      </c>
      <c r="K12" s="89">
        <f t="shared" si="4"/>
        <v>23031600</v>
      </c>
      <c r="L12" s="91">
        <v>1</v>
      </c>
      <c r="M12" s="91">
        <v>14200</v>
      </c>
      <c r="N12" s="91">
        <v>6</v>
      </c>
      <c r="O12" s="89">
        <f t="shared" si="0"/>
        <v>24139999.999999996</v>
      </c>
      <c r="P12" s="92">
        <f t="shared" si="1"/>
        <v>23853833.333333332</v>
      </c>
      <c r="Q12" s="92">
        <f t="shared" si="2"/>
        <v>722954.52369656716</v>
      </c>
      <c r="R12" s="93">
        <f t="shared" si="5"/>
        <v>7.3775581805140655</v>
      </c>
      <c r="S12" s="83"/>
      <c r="T12" s="83"/>
      <c r="U12" s="83"/>
      <c r="V12" s="83"/>
    </row>
    <row r="13" spans="1:22">
      <c r="A13" s="83"/>
      <c r="B13" s="90" t="s">
        <v>193</v>
      </c>
      <c r="C13" s="91">
        <v>900</v>
      </c>
      <c r="D13" s="91">
        <v>1</v>
      </c>
      <c r="E13" s="91">
        <v>5210</v>
      </c>
      <c r="F13" s="91">
        <v>6</v>
      </c>
      <c r="G13" s="89">
        <f t="shared" si="3"/>
        <v>8857000</v>
      </c>
      <c r="H13" s="91">
        <v>1</v>
      </c>
      <c r="I13" s="91">
        <v>5214</v>
      </c>
      <c r="J13" s="91">
        <v>6</v>
      </c>
      <c r="K13" s="89">
        <f t="shared" si="4"/>
        <v>8863800</v>
      </c>
      <c r="L13" s="91">
        <v>1</v>
      </c>
      <c r="M13" s="91">
        <v>5752</v>
      </c>
      <c r="N13" s="91">
        <v>6</v>
      </c>
      <c r="O13" s="89">
        <f t="shared" si="0"/>
        <v>9778400</v>
      </c>
      <c r="P13" s="92">
        <f t="shared" si="1"/>
        <v>9166400</v>
      </c>
      <c r="Q13" s="92">
        <f t="shared" si="2"/>
        <v>530018.4525089669</v>
      </c>
      <c r="R13" s="93">
        <f t="shared" si="5"/>
        <v>6.9621988049055377</v>
      </c>
      <c r="S13" s="83"/>
      <c r="T13" s="83"/>
      <c r="U13" s="83"/>
      <c r="V13" s="83"/>
    </row>
    <row r="14" spans="1:22">
      <c r="A14" s="83"/>
      <c r="B14" s="90" t="s">
        <v>194</v>
      </c>
      <c r="C14" s="91">
        <v>900</v>
      </c>
      <c r="D14" s="91">
        <v>1</v>
      </c>
      <c r="E14" s="91">
        <v>2620</v>
      </c>
      <c r="F14" s="91">
        <v>6</v>
      </c>
      <c r="G14" s="89">
        <f t="shared" si="3"/>
        <v>4454000</v>
      </c>
      <c r="H14" s="91">
        <v>1</v>
      </c>
      <c r="I14" s="91">
        <v>2454</v>
      </c>
      <c r="J14" s="91">
        <v>6</v>
      </c>
      <c r="K14" s="89">
        <f t="shared" si="4"/>
        <v>4171799.9999999991</v>
      </c>
      <c r="L14" s="91">
        <v>1</v>
      </c>
      <c r="M14" s="91">
        <v>2673</v>
      </c>
      <c r="N14" s="91">
        <v>6</v>
      </c>
      <c r="O14" s="89">
        <f t="shared" si="0"/>
        <v>4544099.9999999991</v>
      </c>
      <c r="P14" s="92">
        <f t="shared" si="1"/>
        <v>4389966.666666666</v>
      </c>
      <c r="Q14" s="92">
        <f t="shared" si="2"/>
        <v>194234.45454741904</v>
      </c>
      <c r="R14" s="93">
        <f t="shared" si="5"/>
        <v>6.642461222625335</v>
      </c>
      <c r="S14" s="83"/>
      <c r="T14" s="83"/>
      <c r="U14" s="83"/>
      <c r="V14" s="83"/>
    </row>
    <row r="15" spans="1:22">
      <c r="A15" s="83"/>
      <c r="B15" s="90" t="s">
        <v>195</v>
      </c>
      <c r="C15" s="91">
        <v>900</v>
      </c>
      <c r="D15" s="91">
        <v>1</v>
      </c>
      <c r="E15" s="91">
        <v>1562</v>
      </c>
      <c r="F15" s="91">
        <v>6</v>
      </c>
      <c r="G15" s="89">
        <f t="shared" si="3"/>
        <v>2655399.9999999995</v>
      </c>
      <c r="H15" s="91">
        <v>1</v>
      </c>
      <c r="I15" s="91">
        <v>1614</v>
      </c>
      <c r="J15" s="91">
        <v>6</v>
      </c>
      <c r="K15" s="89">
        <f t="shared" si="4"/>
        <v>2743799.9999999995</v>
      </c>
      <c r="L15" s="91">
        <v>1</v>
      </c>
      <c r="M15" s="91">
        <v>1660</v>
      </c>
      <c r="N15" s="91">
        <v>6</v>
      </c>
      <c r="O15" s="89">
        <f t="shared" si="0"/>
        <v>2822000</v>
      </c>
      <c r="P15" s="92">
        <f t="shared" si="1"/>
        <v>2740400</v>
      </c>
      <c r="Q15" s="92">
        <f t="shared" si="2"/>
        <v>83352.024570492809</v>
      </c>
      <c r="R15" s="93">
        <f t="shared" si="5"/>
        <v>6.4378139588473458</v>
      </c>
      <c r="S15" s="83"/>
      <c r="T15" s="83"/>
      <c r="U15" s="83"/>
      <c r="V15" s="83"/>
    </row>
    <row r="16" spans="1:22">
      <c r="A16" s="83"/>
      <c r="B16" s="90" t="s">
        <v>196</v>
      </c>
      <c r="C16" s="91">
        <v>900</v>
      </c>
      <c r="D16" s="91">
        <v>1</v>
      </c>
      <c r="E16" s="91">
        <v>2084</v>
      </c>
      <c r="F16" s="91">
        <v>13</v>
      </c>
      <c r="G16" s="89">
        <f t="shared" si="3"/>
        <v>1635138.4615384615</v>
      </c>
      <c r="H16" s="91">
        <v>1</v>
      </c>
      <c r="I16" s="91">
        <v>2144</v>
      </c>
      <c r="J16" s="91">
        <v>13</v>
      </c>
      <c r="K16" s="89">
        <f t="shared" si="4"/>
        <v>1682215.3846153847</v>
      </c>
      <c r="L16" s="91">
        <v>1</v>
      </c>
      <c r="M16" s="91">
        <v>1740</v>
      </c>
      <c r="N16" s="91">
        <v>13</v>
      </c>
      <c r="O16" s="89">
        <f t="shared" si="0"/>
        <v>1365230.769230769</v>
      </c>
      <c r="P16" s="92">
        <f t="shared" si="1"/>
        <v>1560861.5384615387</v>
      </c>
      <c r="Q16" s="92">
        <f t="shared" si="2"/>
        <v>171048.55326475156</v>
      </c>
      <c r="R16" s="93">
        <f t="shared" si="5"/>
        <v>6.1933643792000312</v>
      </c>
      <c r="S16" s="83"/>
      <c r="T16" s="83"/>
      <c r="U16" s="83"/>
      <c r="V16" s="83"/>
    </row>
    <row r="17" spans="1:22">
      <c r="A17" s="83"/>
      <c r="B17" s="90" t="s">
        <v>197</v>
      </c>
      <c r="C17" s="91">
        <v>900</v>
      </c>
      <c r="D17" s="91">
        <v>1</v>
      </c>
      <c r="E17" s="91">
        <v>2200</v>
      </c>
      <c r="F17" s="91">
        <v>26</v>
      </c>
      <c r="G17" s="89">
        <f t="shared" si="3"/>
        <v>863076.92307692301</v>
      </c>
      <c r="H17" s="91">
        <v>1</v>
      </c>
      <c r="I17" s="91">
        <v>2389</v>
      </c>
      <c r="J17" s="91">
        <v>26</v>
      </c>
      <c r="K17" s="89">
        <f t="shared" si="4"/>
        <v>937223.07692307688</v>
      </c>
      <c r="L17" s="91">
        <v>1</v>
      </c>
      <c r="M17" s="91">
        <v>2163</v>
      </c>
      <c r="N17" s="91">
        <v>26</v>
      </c>
      <c r="O17" s="89">
        <f t="shared" si="0"/>
        <v>848561.53846153838</v>
      </c>
      <c r="P17" s="92">
        <f t="shared" si="1"/>
        <v>882953.84615384601</v>
      </c>
      <c r="Q17" s="92">
        <f t="shared" si="2"/>
        <v>47555.611170987548</v>
      </c>
      <c r="R17" s="93">
        <f t="shared" si="5"/>
        <v>5.9459380026890356</v>
      </c>
      <c r="S17" s="83"/>
      <c r="T17" s="83"/>
      <c r="U17" s="83"/>
      <c r="V17" s="83"/>
    </row>
    <row r="18" spans="1:22">
      <c r="A18" s="83"/>
      <c r="B18" s="90" t="s">
        <v>198</v>
      </c>
      <c r="C18" s="91">
        <v>900</v>
      </c>
      <c r="D18" s="91">
        <v>1</v>
      </c>
      <c r="E18" s="91">
        <v>2258</v>
      </c>
      <c r="F18" s="91">
        <v>53</v>
      </c>
      <c r="G18" s="89">
        <f t="shared" si="3"/>
        <v>434558.49056603765</v>
      </c>
      <c r="H18" s="91">
        <v>1</v>
      </c>
      <c r="I18" s="91">
        <v>2364</v>
      </c>
      <c r="J18" s="91">
        <v>53</v>
      </c>
      <c r="K18" s="89">
        <f t="shared" si="4"/>
        <v>454958.49056603771</v>
      </c>
      <c r="L18" s="91">
        <v>1</v>
      </c>
      <c r="M18" s="91">
        <v>2494</v>
      </c>
      <c r="N18" s="91">
        <v>53</v>
      </c>
      <c r="O18" s="89">
        <f t="shared" si="0"/>
        <v>479977.35849056597</v>
      </c>
      <c r="P18" s="92">
        <f t="shared" si="1"/>
        <v>456498.11320754705</v>
      </c>
      <c r="Q18" s="92">
        <f t="shared" si="2"/>
        <v>22748.543234570494</v>
      </c>
      <c r="R18" s="93">
        <f t="shared" si="5"/>
        <v>5.6594389868533534</v>
      </c>
      <c r="S18" s="83"/>
      <c r="T18" s="83"/>
      <c r="U18" s="83"/>
      <c r="V18" s="83"/>
    </row>
    <row r="19" spans="1:22">
      <c r="A19" s="83"/>
      <c r="B19" s="90" t="s">
        <v>199</v>
      </c>
      <c r="C19" s="91">
        <v>900</v>
      </c>
      <c r="D19" s="91">
        <v>1</v>
      </c>
      <c r="E19" s="91">
        <v>2389</v>
      </c>
      <c r="F19" s="91">
        <v>107</v>
      </c>
      <c r="G19" s="89">
        <f t="shared" si="3"/>
        <v>227736.44859813081</v>
      </c>
      <c r="H19" s="91">
        <v>1</v>
      </c>
      <c r="I19" s="91">
        <v>2798</v>
      </c>
      <c r="J19" s="91">
        <v>107</v>
      </c>
      <c r="K19" s="89">
        <f t="shared" si="4"/>
        <v>266725.23364485975</v>
      </c>
      <c r="L19" s="91">
        <v>1</v>
      </c>
      <c r="M19" s="91">
        <v>7437</v>
      </c>
      <c r="N19" s="91">
        <v>394</v>
      </c>
      <c r="O19" s="89">
        <f t="shared" si="0"/>
        <v>192531.47208121826</v>
      </c>
      <c r="P19" s="92">
        <f t="shared" si="1"/>
        <v>228997.71810806962</v>
      </c>
      <c r="Q19" s="92">
        <f t="shared" si="2"/>
        <v>37112.958172626859</v>
      </c>
      <c r="R19" s="93">
        <f t="shared" si="5"/>
        <v>5.359831154750319</v>
      </c>
      <c r="S19" s="83"/>
      <c r="T19" s="83"/>
      <c r="U19" s="83"/>
      <c r="V19" s="83"/>
    </row>
    <row r="20" spans="1:22" ht="15" thickBot="1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</row>
    <row r="21" spans="1:22" ht="43" thickBot="1">
      <c r="A21" s="83"/>
      <c r="B21" s="95" t="s">
        <v>4</v>
      </c>
      <c r="C21" s="95" t="s">
        <v>200</v>
      </c>
      <c r="D21" s="95" t="s">
        <v>201</v>
      </c>
      <c r="E21" s="95" t="s">
        <v>202</v>
      </c>
      <c r="F21" s="95" t="s">
        <v>203</v>
      </c>
      <c r="G21" s="96" t="s">
        <v>204</v>
      </c>
      <c r="H21" s="97" t="s">
        <v>205</v>
      </c>
      <c r="I21" s="97" t="s">
        <v>206</v>
      </c>
      <c r="J21" s="97" t="s">
        <v>207</v>
      </c>
      <c r="K21" s="97" t="s">
        <v>208</v>
      </c>
      <c r="L21" s="97" t="s">
        <v>209</v>
      </c>
      <c r="M21" s="94" t="s">
        <v>183</v>
      </c>
      <c r="N21" s="83"/>
      <c r="O21" s="83"/>
      <c r="P21" s="83"/>
      <c r="Q21" s="83"/>
      <c r="R21" s="83"/>
      <c r="S21" s="83"/>
      <c r="T21" s="83"/>
      <c r="U21" s="83"/>
      <c r="V21" s="83"/>
    </row>
    <row r="22" spans="1:22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</row>
    <row r="23" spans="1:22">
      <c r="A23" s="83"/>
      <c r="B23" s="90" t="s">
        <v>184</v>
      </c>
      <c r="C23" s="98">
        <v>12.024166107177734</v>
      </c>
      <c r="D23" s="98">
        <v>11.937971115112305</v>
      </c>
      <c r="E23" s="98">
        <v>12.113894462585449</v>
      </c>
      <c r="F23" s="99">
        <f>AVERAGE(C23:E23)</f>
        <v>12.025343894958496</v>
      </c>
      <c r="G23" s="117">
        <f>1000/1000*200/4*1000/900</f>
        <v>55.555555555555557</v>
      </c>
      <c r="H23" s="100">
        <f>LOG(G23)/LOG(2)</f>
        <v>5.7958592832197748</v>
      </c>
      <c r="I23" s="98">
        <f>C23-H23</f>
        <v>6.2283068239579595</v>
      </c>
      <c r="J23" s="98">
        <f>D23-H23</f>
        <v>6.1421118318925298</v>
      </c>
      <c r="K23" s="98">
        <f>E23-H23</f>
        <v>6.3180351793656744</v>
      </c>
      <c r="L23" s="99">
        <f>AVERAGE(I23:K23)</f>
        <v>6.2294846117387221</v>
      </c>
      <c r="M23" s="94"/>
      <c r="N23" s="83"/>
      <c r="O23" s="83"/>
      <c r="P23" s="83"/>
      <c r="Q23" s="83"/>
      <c r="R23" s="83"/>
      <c r="S23" s="83"/>
      <c r="T23" s="83"/>
      <c r="U23" s="83"/>
      <c r="V23" s="83"/>
    </row>
    <row r="24" spans="1:22">
      <c r="A24" s="83"/>
      <c r="B24" s="90" t="s">
        <v>185</v>
      </c>
      <c r="C24" s="98">
        <v>17.587196350097656</v>
      </c>
      <c r="D24" s="98">
        <v>17.463251113891602</v>
      </c>
      <c r="E24" s="98">
        <v>17.496953964233398</v>
      </c>
      <c r="F24" s="99">
        <f t="shared" ref="F24:F38" si="6">AVERAGE(C24:E24)</f>
        <v>17.515800476074219</v>
      </c>
      <c r="G24" s="117">
        <f t="shared" ref="G24:G27" si="7">1000/1000*200/4*1000/900</f>
        <v>55.555555555555557</v>
      </c>
      <c r="H24" s="100">
        <f t="shared" ref="H24:H38" si="8">LOG(G24)/LOG(2)</f>
        <v>5.7958592832197748</v>
      </c>
      <c r="I24" s="98">
        <f>C24-H24</f>
        <v>11.791337066877881</v>
      </c>
      <c r="J24" s="98">
        <f t="shared" ref="J24:J38" si="9">D24-H24</f>
        <v>11.667391830671827</v>
      </c>
      <c r="K24" s="98">
        <f t="shared" ref="K24:K38" si="10">E24-H24</f>
        <v>11.701094681013624</v>
      </c>
      <c r="L24" s="99">
        <f t="shared" ref="L24:L38" si="11">AVERAGE(I24:K24)</f>
        <v>11.719941192854444</v>
      </c>
      <c r="M24" s="83"/>
      <c r="N24" s="83"/>
      <c r="O24" s="83"/>
      <c r="P24" s="83"/>
      <c r="Q24" s="83"/>
      <c r="R24" s="83"/>
      <c r="S24" s="83"/>
      <c r="T24" s="83"/>
      <c r="U24" s="83"/>
      <c r="V24" s="83"/>
    </row>
    <row r="25" spans="1:22">
      <c r="A25" s="83"/>
      <c r="B25" s="90" t="s">
        <v>186</v>
      </c>
      <c r="C25" s="98">
        <v>20.035877227783203</v>
      </c>
      <c r="D25" s="98">
        <v>19.974271774291992</v>
      </c>
      <c r="E25" s="98">
        <v>19.944717407226562</v>
      </c>
      <c r="F25" s="99">
        <f t="shared" si="6"/>
        <v>19.984955469767254</v>
      </c>
      <c r="G25" s="117">
        <f t="shared" si="7"/>
        <v>55.555555555555557</v>
      </c>
      <c r="H25" s="100">
        <f t="shared" si="8"/>
        <v>5.7958592832197748</v>
      </c>
      <c r="I25" s="98">
        <f>C25-H25</f>
        <v>14.240017944563428</v>
      </c>
      <c r="J25" s="98">
        <f t="shared" si="9"/>
        <v>14.178412491072217</v>
      </c>
      <c r="K25" s="98">
        <f t="shared" si="10"/>
        <v>14.148858124006788</v>
      </c>
      <c r="L25" s="99">
        <f t="shared" si="11"/>
        <v>14.189096186547479</v>
      </c>
      <c r="M25" s="83"/>
      <c r="N25" s="83"/>
      <c r="O25" s="83"/>
      <c r="P25" s="83"/>
      <c r="Q25" s="83"/>
      <c r="R25" s="83"/>
      <c r="S25" s="83"/>
      <c r="T25" s="83"/>
      <c r="U25" s="83"/>
      <c r="V25" s="83"/>
    </row>
    <row r="26" spans="1:22">
      <c r="A26" s="83"/>
      <c r="B26" s="90" t="s">
        <v>187</v>
      </c>
      <c r="C26" s="98">
        <v>24.500289916992188</v>
      </c>
      <c r="D26" s="98">
        <v>24.458871841430664</v>
      </c>
      <c r="E26" s="98">
        <v>24.548263549804688</v>
      </c>
      <c r="F26" s="99">
        <f t="shared" si="6"/>
        <v>24.502475102742512</v>
      </c>
      <c r="G26" s="117">
        <f t="shared" si="7"/>
        <v>55.555555555555557</v>
      </c>
      <c r="H26" s="100">
        <f t="shared" si="8"/>
        <v>5.7958592832197748</v>
      </c>
      <c r="I26" s="98">
        <f>C26-H26</f>
        <v>18.704430633772411</v>
      </c>
      <c r="J26" s="98">
        <f t="shared" si="9"/>
        <v>18.663012558210887</v>
      </c>
      <c r="K26" s="98">
        <f t="shared" si="10"/>
        <v>18.752404266584911</v>
      </c>
      <c r="L26" s="99">
        <f t="shared" si="11"/>
        <v>18.706615819522735</v>
      </c>
      <c r="M26" s="94"/>
      <c r="N26" s="83"/>
      <c r="O26" s="83"/>
      <c r="P26" s="83"/>
      <c r="Q26" s="83"/>
      <c r="R26" s="83"/>
      <c r="S26" s="83"/>
      <c r="T26" s="83"/>
      <c r="U26" s="83"/>
      <c r="V26" s="83"/>
    </row>
    <row r="27" spans="1:22">
      <c r="A27" s="83"/>
      <c r="B27" s="90" t="s">
        <v>188</v>
      </c>
      <c r="C27" s="98">
        <v>27.966335296630859</v>
      </c>
      <c r="D27" s="98">
        <v>27.953102111816406</v>
      </c>
      <c r="E27" s="98">
        <v>27.858415603637695</v>
      </c>
      <c r="F27" s="99">
        <f>AVERAGE(C27:E27)</f>
        <v>27.92595100402832</v>
      </c>
      <c r="G27" s="117">
        <f t="shared" si="7"/>
        <v>55.555555555555557</v>
      </c>
      <c r="H27" s="100">
        <f t="shared" si="8"/>
        <v>5.7958592832197748</v>
      </c>
      <c r="I27" s="98">
        <f>C27-H27</f>
        <v>22.170476013411083</v>
      </c>
      <c r="J27" s="98">
        <f>D27-H27</f>
        <v>22.15724282859663</v>
      </c>
      <c r="K27" s="98">
        <f>E27-H27</f>
        <v>22.062556320417919</v>
      </c>
      <c r="L27" s="99">
        <f t="shared" si="11"/>
        <v>22.130091720808547</v>
      </c>
      <c r="M27" s="94"/>
      <c r="N27" s="83"/>
      <c r="O27" s="83"/>
      <c r="P27" s="83"/>
      <c r="Q27" s="83"/>
      <c r="R27" s="83"/>
      <c r="S27" s="83"/>
      <c r="T27" s="83"/>
      <c r="U27" s="83"/>
      <c r="V27" s="83"/>
    </row>
    <row r="28" spans="1:22">
      <c r="A28" s="83"/>
      <c r="B28" s="90" t="s">
        <v>189</v>
      </c>
      <c r="C28" s="98">
        <v>13.96388053894043</v>
      </c>
      <c r="D28" s="98">
        <v>13.646139144897461</v>
      </c>
      <c r="E28" s="98">
        <v>13.680848121643066</v>
      </c>
      <c r="F28" s="99">
        <f t="shared" si="6"/>
        <v>13.763622601826986</v>
      </c>
      <c r="G28" s="83">
        <f>1000/1000*200/4*1000/500</f>
        <v>100</v>
      </c>
      <c r="H28" s="100">
        <f t="shared" si="8"/>
        <v>6.6438561897747244</v>
      </c>
      <c r="I28" s="98">
        <f t="shared" ref="I28:I38" si="12">C28-H28</f>
        <v>7.3200243491657053</v>
      </c>
      <c r="J28" s="98">
        <f t="shared" si="9"/>
        <v>7.0022829551227366</v>
      </c>
      <c r="K28" s="98">
        <f t="shared" si="10"/>
        <v>7.036991931868342</v>
      </c>
      <c r="L28" s="99">
        <f t="shared" si="11"/>
        <v>7.119766412052261</v>
      </c>
      <c r="M28" s="83"/>
      <c r="N28" s="83"/>
      <c r="O28" s="83"/>
      <c r="P28" s="83"/>
      <c r="Q28" s="83"/>
      <c r="R28" s="83"/>
      <c r="S28" s="83"/>
      <c r="T28" s="83"/>
      <c r="U28" s="83"/>
      <c r="V28" s="83"/>
    </row>
    <row r="29" spans="1:22">
      <c r="A29" s="83"/>
      <c r="B29" s="90" t="s">
        <v>190</v>
      </c>
      <c r="C29" s="98">
        <v>15.15186882019043</v>
      </c>
      <c r="D29" s="98">
        <v>15.517631530761719</v>
      </c>
      <c r="E29" s="98">
        <v>15.663459777832031</v>
      </c>
      <c r="F29" s="99">
        <f t="shared" si="6"/>
        <v>15.44432004292806</v>
      </c>
      <c r="G29" s="83">
        <f t="shared" ref="G29:G38" si="13">1000/1000*200/4*1000/500</f>
        <v>100</v>
      </c>
      <c r="H29" s="100">
        <f t="shared" si="8"/>
        <v>6.6438561897747244</v>
      </c>
      <c r="I29" s="98">
        <f t="shared" si="12"/>
        <v>8.5080126304157062</v>
      </c>
      <c r="J29" s="98">
        <f t="shared" si="9"/>
        <v>8.8737753409869953</v>
      </c>
      <c r="K29" s="98">
        <f t="shared" si="10"/>
        <v>9.0196035880573078</v>
      </c>
      <c r="L29" s="99">
        <f t="shared" si="11"/>
        <v>8.800463853153337</v>
      </c>
      <c r="M29" s="83"/>
      <c r="N29" s="83"/>
      <c r="O29" s="83"/>
      <c r="P29" s="83"/>
      <c r="Q29" s="83"/>
      <c r="R29" s="83"/>
      <c r="S29" s="83"/>
      <c r="T29" s="83"/>
      <c r="U29" s="83"/>
      <c r="V29" s="83"/>
    </row>
    <row r="30" spans="1:22">
      <c r="A30" s="83"/>
      <c r="B30" s="90" t="s">
        <v>191</v>
      </c>
      <c r="C30" s="98">
        <v>16.251581192016602</v>
      </c>
      <c r="D30" s="98">
        <v>16.335042953491211</v>
      </c>
      <c r="E30" s="98">
        <v>16.212072372436523</v>
      </c>
      <c r="F30" s="99">
        <f t="shared" si="6"/>
        <v>16.266232172648113</v>
      </c>
      <c r="G30" s="83">
        <f t="shared" si="13"/>
        <v>100</v>
      </c>
      <c r="H30" s="100">
        <f t="shared" si="8"/>
        <v>6.6438561897747244</v>
      </c>
      <c r="I30" s="98">
        <f t="shared" si="12"/>
        <v>9.6077250022418781</v>
      </c>
      <c r="J30" s="98">
        <f t="shared" si="9"/>
        <v>9.6911867637164875</v>
      </c>
      <c r="K30" s="98">
        <f t="shared" si="10"/>
        <v>9.5682161826618</v>
      </c>
      <c r="L30" s="99">
        <f t="shared" si="11"/>
        <v>9.6223759828733879</v>
      </c>
      <c r="M30" s="83"/>
      <c r="N30" s="83"/>
      <c r="O30" s="83"/>
      <c r="P30" s="83"/>
      <c r="Q30" s="83"/>
      <c r="R30" s="83"/>
      <c r="S30" s="83"/>
      <c r="T30" s="83"/>
      <c r="U30" s="83"/>
      <c r="V30" s="83"/>
    </row>
    <row r="31" spans="1:22">
      <c r="A31" s="83"/>
      <c r="B31" s="90" t="s">
        <v>192</v>
      </c>
      <c r="C31" s="98">
        <v>18.410284042358398</v>
      </c>
      <c r="D31" s="98">
        <v>18.640316009521484</v>
      </c>
      <c r="E31" s="98">
        <v>18.454940795898438</v>
      </c>
      <c r="F31" s="99">
        <f t="shared" si="6"/>
        <v>18.501846949259441</v>
      </c>
      <c r="G31" s="83">
        <f t="shared" si="13"/>
        <v>100</v>
      </c>
      <c r="H31" s="100">
        <f t="shared" si="8"/>
        <v>6.6438561897747244</v>
      </c>
      <c r="I31" s="98">
        <f t="shared" si="12"/>
        <v>11.766427852583675</v>
      </c>
      <c r="J31" s="98">
        <f t="shared" si="9"/>
        <v>11.996459819746761</v>
      </c>
      <c r="K31" s="98">
        <f t="shared" si="10"/>
        <v>11.811084606123714</v>
      </c>
      <c r="L31" s="99">
        <f t="shared" si="11"/>
        <v>11.857990759484716</v>
      </c>
      <c r="M31" s="83"/>
      <c r="N31" s="83"/>
      <c r="O31" s="83"/>
      <c r="P31" s="83"/>
      <c r="Q31" s="83"/>
      <c r="R31" s="83"/>
      <c r="S31" s="83"/>
      <c r="T31" s="83"/>
      <c r="U31" s="83"/>
      <c r="V31" s="83"/>
    </row>
    <row r="32" spans="1:22">
      <c r="A32" s="83"/>
      <c r="B32" s="90" t="s">
        <v>193</v>
      </c>
      <c r="C32" s="98">
        <v>18.648725509643555</v>
      </c>
      <c r="D32" s="98">
        <v>18.836643218994141</v>
      </c>
      <c r="E32" s="98">
        <v>18.618749618530273</v>
      </c>
      <c r="F32" s="99">
        <f t="shared" si="6"/>
        <v>18.701372782389324</v>
      </c>
      <c r="G32" s="83">
        <f t="shared" si="13"/>
        <v>100</v>
      </c>
      <c r="H32" s="100">
        <f t="shared" si="8"/>
        <v>6.6438561897747244</v>
      </c>
      <c r="I32" s="98">
        <f t="shared" si="12"/>
        <v>12.004869319868831</v>
      </c>
      <c r="J32" s="98">
        <f t="shared" si="9"/>
        <v>12.192787029219417</v>
      </c>
      <c r="K32" s="98">
        <f t="shared" si="10"/>
        <v>11.97489342875555</v>
      </c>
      <c r="L32" s="99">
        <f t="shared" si="11"/>
        <v>12.057516592614599</v>
      </c>
      <c r="M32" s="83"/>
      <c r="N32" s="83"/>
      <c r="O32" s="83"/>
      <c r="P32" s="83"/>
      <c r="Q32" s="83"/>
      <c r="R32" s="83"/>
      <c r="S32" s="83"/>
      <c r="T32" s="83"/>
      <c r="U32" s="83"/>
      <c r="V32" s="83"/>
    </row>
    <row r="33" spans="1:22">
      <c r="A33" s="83"/>
      <c r="B33" s="90" t="s">
        <v>194</v>
      </c>
      <c r="C33" s="98">
        <v>19.173038482666016</v>
      </c>
      <c r="D33" s="98">
        <v>19.267778396606445</v>
      </c>
      <c r="E33" s="98">
        <v>19.15654182434082</v>
      </c>
      <c r="F33" s="99">
        <f t="shared" si="6"/>
        <v>19.199119567871094</v>
      </c>
      <c r="G33" s="83">
        <f t="shared" si="13"/>
        <v>100</v>
      </c>
      <c r="H33" s="100">
        <f t="shared" si="8"/>
        <v>6.6438561897747244</v>
      </c>
      <c r="I33" s="98">
        <f t="shared" si="12"/>
        <v>12.529182292891292</v>
      </c>
      <c r="J33" s="98">
        <f t="shared" si="9"/>
        <v>12.623922206831722</v>
      </c>
      <c r="K33" s="98">
        <f t="shared" si="10"/>
        <v>12.512685634566097</v>
      </c>
      <c r="L33" s="99">
        <f t="shared" si="11"/>
        <v>12.55526337809637</v>
      </c>
      <c r="M33" s="83"/>
      <c r="N33" s="83"/>
      <c r="O33" s="83"/>
      <c r="P33" s="83"/>
      <c r="Q33" s="83"/>
      <c r="R33" s="83"/>
      <c r="S33" s="83"/>
      <c r="T33" s="83"/>
      <c r="U33" s="83"/>
      <c r="V33" s="83"/>
    </row>
    <row r="34" spans="1:22">
      <c r="A34" s="83"/>
      <c r="B34" s="90" t="s">
        <v>195</v>
      </c>
      <c r="C34" s="98">
        <v>20.283313751220703</v>
      </c>
      <c r="D34" s="98">
        <v>20.449991226196289</v>
      </c>
      <c r="E34" s="98">
        <v>20.311237335205078</v>
      </c>
      <c r="F34" s="99">
        <f t="shared" si="6"/>
        <v>20.348180770874023</v>
      </c>
      <c r="G34" s="83">
        <f t="shared" si="13"/>
        <v>100</v>
      </c>
      <c r="H34" s="100">
        <f t="shared" si="8"/>
        <v>6.6438561897747244</v>
      </c>
      <c r="I34" s="98">
        <f t="shared" si="12"/>
        <v>13.63945756144598</v>
      </c>
      <c r="J34" s="98">
        <f t="shared" si="9"/>
        <v>13.806135036421566</v>
      </c>
      <c r="K34" s="98">
        <f t="shared" si="10"/>
        <v>13.667381145430355</v>
      </c>
      <c r="L34" s="99">
        <f t="shared" si="11"/>
        <v>13.7043245810993</v>
      </c>
      <c r="M34" s="83"/>
      <c r="N34" s="83"/>
      <c r="O34" s="83"/>
      <c r="P34" s="83"/>
      <c r="Q34" s="83"/>
      <c r="R34" s="83"/>
      <c r="S34" s="83"/>
      <c r="T34" s="83"/>
      <c r="U34" s="83"/>
      <c r="V34" s="83"/>
    </row>
    <row r="35" spans="1:22">
      <c r="A35" s="83"/>
      <c r="B35" s="90" t="s">
        <v>196</v>
      </c>
      <c r="C35" s="98">
        <v>21.243825912475586</v>
      </c>
      <c r="D35" s="98">
        <v>21.539775848388672</v>
      </c>
      <c r="E35" s="98">
        <v>21.392797470092773</v>
      </c>
      <c r="F35" s="99">
        <f t="shared" si="6"/>
        <v>21.392133076985676</v>
      </c>
      <c r="G35" s="83">
        <f t="shared" si="13"/>
        <v>100</v>
      </c>
      <c r="H35" s="100">
        <f t="shared" si="8"/>
        <v>6.6438561897747244</v>
      </c>
      <c r="I35" s="98">
        <f t="shared" si="12"/>
        <v>14.599969722700862</v>
      </c>
      <c r="J35" s="98">
        <f t="shared" si="9"/>
        <v>14.895919658613948</v>
      </c>
      <c r="K35" s="98">
        <f t="shared" si="10"/>
        <v>14.74894128031805</v>
      </c>
      <c r="L35" s="99">
        <f t="shared" si="11"/>
        <v>14.748276887210954</v>
      </c>
      <c r="M35" s="83"/>
      <c r="N35" s="83"/>
      <c r="O35" s="83"/>
      <c r="P35" s="83"/>
      <c r="Q35" s="83"/>
      <c r="R35" s="83"/>
      <c r="S35" s="83"/>
      <c r="T35" s="83"/>
      <c r="U35" s="83"/>
      <c r="V35" s="83"/>
    </row>
    <row r="36" spans="1:22">
      <c r="A36" s="83"/>
      <c r="B36" s="90" t="s">
        <v>197</v>
      </c>
      <c r="C36" s="98">
        <v>22.513101577758789</v>
      </c>
      <c r="D36" s="98">
        <v>22.496644973754883</v>
      </c>
      <c r="E36" s="98">
        <v>22.572574615478516</v>
      </c>
      <c r="F36" s="99">
        <f t="shared" si="6"/>
        <v>22.527440388997395</v>
      </c>
      <c r="G36" s="83">
        <f t="shared" si="13"/>
        <v>100</v>
      </c>
      <c r="H36" s="100">
        <f t="shared" si="8"/>
        <v>6.6438561897747244</v>
      </c>
      <c r="I36" s="98">
        <f t="shared" si="12"/>
        <v>15.869245387984066</v>
      </c>
      <c r="J36" s="98">
        <f t="shared" si="9"/>
        <v>15.852788783980159</v>
      </c>
      <c r="K36" s="98">
        <f t="shared" si="10"/>
        <v>15.928718425703792</v>
      </c>
      <c r="L36" s="99">
        <f t="shared" si="11"/>
        <v>15.883584199222673</v>
      </c>
      <c r="M36" s="83"/>
      <c r="N36" s="83"/>
      <c r="O36" s="83"/>
      <c r="P36" s="83"/>
      <c r="Q36" s="83"/>
      <c r="R36" s="83"/>
      <c r="S36" s="83"/>
      <c r="T36" s="83"/>
      <c r="U36" s="83"/>
      <c r="V36" s="83"/>
    </row>
    <row r="37" spans="1:22">
      <c r="A37" s="83"/>
      <c r="B37" s="90" t="s">
        <v>198</v>
      </c>
      <c r="C37" s="98">
        <v>25.11761474609375</v>
      </c>
      <c r="D37" s="98">
        <v>25.00200080871582</v>
      </c>
      <c r="E37" s="98">
        <v>25.069990158081055</v>
      </c>
      <c r="F37" s="99">
        <f t="shared" si="6"/>
        <v>25.063201904296875</v>
      </c>
      <c r="G37" s="83">
        <f t="shared" si="13"/>
        <v>100</v>
      </c>
      <c r="H37" s="100">
        <f t="shared" si="8"/>
        <v>6.6438561897747244</v>
      </c>
      <c r="I37" s="98">
        <f t="shared" si="12"/>
        <v>18.473758556319027</v>
      </c>
      <c r="J37" s="98">
        <f t="shared" si="9"/>
        <v>18.358144618941097</v>
      </c>
      <c r="K37" s="98">
        <f t="shared" si="10"/>
        <v>18.426133968306331</v>
      </c>
      <c r="L37" s="99">
        <f t="shared" si="11"/>
        <v>18.419345714522152</v>
      </c>
      <c r="M37" s="83"/>
      <c r="N37" s="83"/>
      <c r="O37" s="83"/>
      <c r="P37" s="83"/>
      <c r="Q37" s="83"/>
      <c r="R37" s="83"/>
      <c r="S37" s="83"/>
      <c r="T37" s="83"/>
      <c r="U37" s="83"/>
      <c r="V37" s="83"/>
    </row>
    <row r="38" spans="1:22">
      <c r="A38" s="83"/>
      <c r="B38" s="90" t="s">
        <v>199</v>
      </c>
      <c r="C38" s="98">
        <v>25.78911018371582</v>
      </c>
      <c r="D38" s="98">
        <v>25.811565399169922</v>
      </c>
      <c r="E38" s="98">
        <v>25.885698318481445</v>
      </c>
      <c r="F38" s="99">
        <f t="shared" si="6"/>
        <v>25.82879130045573</v>
      </c>
      <c r="G38" s="83">
        <f t="shared" si="13"/>
        <v>100</v>
      </c>
      <c r="H38" s="100">
        <f t="shared" si="8"/>
        <v>6.6438561897747244</v>
      </c>
      <c r="I38" s="98">
        <f t="shared" si="12"/>
        <v>19.145253993941097</v>
      </c>
      <c r="J38" s="98">
        <f t="shared" si="9"/>
        <v>19.167709209395198</v>
      </c>
      <c r="K38" s="98">
        <f t="shared" si="10"/>
        <v>19.241842128706722</v>
      </c>
      <c r="L38" s="99">
        <f t="shared" si="11"/>
        <v>19.184935110681007</v>
      </c>
      <c r="M38" s="83"/>
      <c r="N38" s="83"/>
      <c r="O38" s="83"/>
      <c r="P38" s="83"/>
      <c r="Q38" s="83"/>
      <c r="R38" s="83"/>
      <c r="S38" s="83"/>
      <c r="T38" s="83"/>
      <c r="U38" s="83"/>
      <c r="V38" s="83"/>
    </row>
    <row r="39" spans="1:22">
      <c r="A39" s="83"/>
      <c r="B39" s="83"/>
      <c r="C39" s="83"/>
      <c r="D39" s="83"/>
      <c r="E39" s="83"/>
      <c r="F39" s="100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</row>
    <row r="40" spans="1:22">
      <c r="A40" s="83"/>
      <c r="B40" s="90" t="s">
        <v>258</v>
      </c>
      <c r="C40" s="98">
        <v>10.746070861816406</v>
      </c>
      <c r="D40" s="98">
        <v>10.822755813598633</v>
      </c>
      <c r="E40" s="98">
        <v>10.731834411621094</v>
      </c>
      <c r="F40" s="99">
        <f>AVERAGE(C40:E40)</f>
        <v>10.766887029012045</v>
      </c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</row>
    <row r="41" spans="1:22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</row>
    <row r="42" spans="1:22">
      <c r="A42" s="83"/>
      <c r="B42" s="94" t="s">
        <v>212</v>
      </c>
      <c r="C42" s="83" t="s">
        <v>213</v>
      </c>
      <c r="D42" s="83"/>
      <c r="E42" s="83"/>
      <c r="F42" t="s">
        <v>214</v>
      </c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</row>
    <row r="43" spans="1:22">
      <c r="A43" s="83"/>
      <c r="B43" s="83" t="s">
        <v>215</v>
      </c>
      <c r="C43" s="83" t="s">
        <v>213</v>
      </c>
      <c r="D43" s="83"/>
      <c r="E43" s="83"/>
      <c r="F43">
        <v>0.34642903804779052</v>
      </c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</row>
    <row r="44" spans="1:22">
      <c r="A44" s="83"/>
      <c r="B44" s="83"/>
      <c r="C44" s="101" t="s">
        <v>216</v>
      </c>
      <c r="D44" s="103">
        <v>-3.9893000000000001</v>
      </c>
      <c r="E44" s="83"/>
      <c r="F44" s="83"/>
      <c r="G44" s="83">
        <v>-3.9285000000000001</v>
      </c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</row>
    <row r="45" spans="1:22">
      <c r="A45" s="83"/>
      <c r="B45" s="83"/>
      <c r="C45" s="101" t="s">
        <v>217</v>
      </c>
      <c r="D45" s="103">
        <v>40.134999999999998</v>
      </c>
      <c r="E45" s="83"/>
      <c r="F45" s="83"/>
      <c r="G45" s="83">
        <v>46.109000000000002</v>
      </c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</row>
    <row r="46" spans="1:22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</row>
    <row r="47" spans="1:22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</row>
    <row r="48" spans="1:22">
      <c r="A48" s="83"/>
      <c r="B48" s="94" t="s">
        <v>218</v>
      </c>
      <c r="C48" s="83"/>
      <c r="D48" s="83">
        <f>-1+ POWER(10,-(1/D44))</f>
        <v>0.78102716558460528</v>
      </c>
      <c r="E48" s="83"/>
      <c r="F48" s="83"/>
      <c r="G48" s="83">
        <f>-1+ POWER(10,-(1/G44))</f>
        <v>0.79700829876330093</v>
      </c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</row>
    <row r="49" spans="1:22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</row>
    <row r="50" spans="1:22">
      <c r="A50" s="83"/>
      <c r="B50" s="94" t="s">
        <v>259</v>
      </c>
      <c r="C50" s="118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</row>
    <row r="51" spans="1:22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</row>
    <row r="52" spans="1:22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</row>
    <row r="53" spans="1:22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</row>
    <row r="54" spans="1:22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</row>
    <row r="55" spans="1:22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"/>
  <sheetViews>
    <sheetView workbookViewId="0">
      <selection activeCell="H4" sqref="H4:J20"/>
    </sheetView>
  </sheetViews>
  <sheetFormatPr baseColWidth="10" defaultRowHeight="14" x14ac:dyDescent="0"/>
  <cols>
    <col min="14" max="14" width="18.83203125" customWidth="1"/>
    <col min="15" max="15" width="20.1640625" customWidth="1"/>
    <col min="16" max="16" width="18.5" customWidth="1"/>
    <col min="17" max="18" width="19.1640625" customWidth="1"/>
    <col min="19" max="19" width="26" customWidth="1"/>
  </cols>
  <sheetData>
    <row r="1" spans="1:29">
      <c r="A1" s="104" t="s">
        <v>260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</row>
    <row r="2" spans="1:29">
      <c r="A2" s="131" t="s">
        <v>4</v>
      </c>
      <c r="B2" s="131" t="s">
        <v>117</v>
      </c>
      <c r="C2" s="131" t="s">
        <v>117</v>
      </c>
      <c r="D2" s="131" t="s">
        <v>5</v>
      </c>
      <c r="E2" s="145" t="s">
        <v>220</v>
      </c>
      <c r="F2" s="145" t="s">
        <v>221</v>
      </c>
      <c r="G2" s="145" t="s">
        <v>222</v>
      </c>
      <c r="H2" s="147" t="s">
        <v>223</v>
      </c>
      <c r="I2" s="147" t="s">
        <v>224</v>
      </c>
      <c r="J2" s="147" t="s">
        <v>225</v>
      </c>
      <c r="K2" s="145" t="s">
        <v>226</v>
      </c>
      <c r="L2" s="145" t="s">
        <v>227</v>
      </c>
      <c r="M2" s="145" t="s">
        <v>228</v>
      </c>
      <c r="N2" s="145" t="s">
        <v>229</v>
      </c>
      <c r="O2" s="145" t="s">
        <v>230</v>
      </c>
      <c r="P2" s="147" t="s">
        <v>231</v>
      </c>
      <c r="Q2" s="147" t="s">
        <v>232</v>
      </c>
      <c r="R2" s="147" t="s">
        <v>233</v>
      </c>
      <c r="S2" s="147" t="s">
        <v>234</v>
      </c>
      <c r="T2" s="83"/>
      <c r="U2" s="83"/>
      <c r="V2" s="83"/>
      <c r="W2" s="83"/>
      <c r="X2" s="83"/>
      <c r="Y2" s="83"/>
      <c r="Z2" s="83"/>
      <c r="AA2" s="83"/>
      <c r="AB2" s="83"/>
      <c r="AC2" s="83"/>
    </row>
    <row r="3" spans="1:29">
      <c r="A3" s="132"/>
      <c r="B3" s="132"/>
      <c r="C3" s="132"/>
      <c r="D3" s="132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83"/>
      <c r="U3" s="83"/>
      <c r="V3" s="83"/>
      <c r="W3" s="83"/>
      <c r="X3" s="83"/>
      <c r="Y3" s="83"/>
      <c r="Z3" s="83"/>
      <c r="AA3" s="83"/>
      <c r="AB3" s="83"/>
      <c r="AC3" s="83"/>
    </row>
    <row r="4" spans="1:29">
      <c r="A4" s="39">
        <v>0</v>
      </c>
      <c r="B4" s="31">
        <v>10</v>
      </c>
      <c r="C4" s="31">
        <f>B4</f>
        <v>10</v>
      </c>
      <c r="D4" s="13">
        <f t="shared" ref="D4:D18" si="0">C4/60</f>
        <v>0.16666666666666666</v>
      </c>
      <c r="E4" s="98">
        <v>24.962894439697266</v>
      </c>
      <c r="F4" s="98">
        <v>24.757026672363281</v>
      </c>
      <c r="G4" s="99">
        <v>23.97447395324707</v>
      </c>
      <c r="H4" s="105">
        <f>(E4-$H$61)+$H$68</f>
        <v>24.827086611690682</v>
      </c>
      <c r="I4" s="105">
        <f t="shared" ref="I4:J4" si="1">(F4-$H$61)+$H$68</f>
        <v>24.621218844356697</v>
      </c>
      <c r="J4" s="105">
        <f t="shared" si="1"/>
        <v>23.838666125240486</v>
      </c>
      <c r="K4" s="99">
        <f>((H4-'CalibrationB. hydrogenotrophica'!$D$45)/('CalibrationB. hydrogenotrophica'!$D$44))+$B$24</f>
        <v>7.4904554858028458</v>
      </c>
      <c r="L4" s="99">
        <f>((I4-'CalibrationB. hydrogenotrophica'!$D$45)/('CalibrationB. hydrogenotrophica'!$D$44))+$B$24</f>
        <v>7.542060470971669</v>
      </c>
      <c r="M4" s="99">
        <f>((J4-'CalibrationB. hydrogenotrophica'!$D$45)/('CalibrationB. hydrogenotrophica'!$D$44))+$B$24</f>
        <v>7.7382233865498939</v>
      </c>
      <c r="N4" s="106">
        <f>AVERAGE(K4:M4)</f>
        <v>7.5902464477748026</v>
      </c>
      <c r="O4" s="106">
        <f>STDEV(K4:M4)</f>
        <v>0.13072356111468159</v>
      </c>
      <c r="P4" s="107">
        <f>(AVERAGE(POWER(10,K4),POWER(10,L4),POWER(10,M4)))*Calculation!$I4/Calculation!$K3</f>
        <v>40217288.181548953</v>
      </c>
      <c r="Q4" s="107">
        <f>(STDEV(POWER(10,K4),POWER(10,L4),POWER(10,M4)))*Calculation!$I4/Calculation!$K3</f>
        <v>12776728.230380254</v>
      </c>
      <c r="R4" s="106">
        <f>LOG(P4)</f>
        <v>7.6044127831305657</v>
      </c>
      <c r="S4" s="106">
        <f>O4*Calculation!$I4/Calculation!$K3</f>
        <v>0.1308842865813605</v>
      </c>
      <c r="T4" s="83"/>
      <c r="U4" s="83"/>
      <c r="V4" s="83"/>
      <c r="W4" s="83"/>
      <c r="X4" s="83"/>
      <c r="Y4" s="83"/>
      <c r="Z4" s="83"/>
      <c r="AA4" s="83"/>
      <c r="AB4" s="83"/>
      <c r="AC4" s="83"/>
    </row>
    <row r="5" spans="1:29">
      <c r="A5" s="39">
        <v>1</v>
      </c>
      <c r="B5" s="31">
        <v>110</v>
      </c>
      <c r="C5" s="31">
        <f>C4+B5</f>
        <v>120</v>
      </c>
      <c r="D5" s="13">
        <f t="shared" si="0"/>
        <v>2</v>
      </c>
      <c r="E5" s="98">
        <v>24.266195297241211</v>
      </c>
      <c r="F5" s="98">
        <v>23.911539077758789</v>
      </c>
      <c r="G5" s="99">
        <v>23.457468032836914</v>
      </c>
      <c r="H5" s="105">
        <f t="shared" ref="H5:H20" si="2">(E5-$H$61)+$H$68</f>
        <v>24.130387469234627</v>
      </c>
      <c r="I5" s="105">
        <f t="shared" ref="I5:I20" si="3">(F5-$H$61)+$H$68</f>
        <v>23.775731249752205</v>
      </c>
      <c r="J5" s="105">
        <f t="shared" ref="J5:J20" si="4">(G5-$H$61)+$H$68</f>
        <v>23.32166020483033</v>
      </c>
      <c r="K5" s="99">
        <f>((H5-'CalibrationB. hydrogenotrophica'!$D$45)/('CalibrationB. hydrogenotrophica'!$D$44))+$B$24</f>
        <v>7.6650974386407018</v>
      </c>
      <c r="L5" s="99">
        <f>((I5-'CalibrationB. hydrogenotrophica'!$D$45)/('CalibrationB. hydrogenotrophica'!$D$44))+$B$24</f>
        <v>7.7539993060065093</v>
      </c>
      <c r="M5" s="99">
        <f>((J5-'CalibrationB. hydrogenotrophica'!$D$45)/('CalibrationB. hydrogenotrophica'!$D$44))+$B$24</f>
        <v>7.8678215417175057</v>
      </c>
      <c r="N5" s="106">
        <f t="shared" ref="N5:N20" si="5">AVERAGE(K5:M5)</f>
        <v>7.7623060954549059</v>
      </c>
      <c r="O5" s="106">
        <f t="shared" ref="O5:O20" si="6">STDEV(K5:M5)</f>
        <v>0.10161701410334119</v>
      </c>
      <c r="P5" s="107">
        <f>(AVERAGE(POWER(10,K5),POWER(10,L5),POWER(10,M5)))*Calculation!$I5/Calculation!$K4</f>
        <v>59031587.414123327</v>
      </c>
      <c r="Q5" s="107">
        <f>(STDEV(POWER(10,K5),POWER(10,L5),POWER(10,M5)))*Calculation!$I5/Calculation!$K4</f>
        <v>13909256.053876203</v>
      </c>
      <c r="R5" s="106">
        <f t="shared" ref="R5:R20" si="7">LOG(P5)</f>
        <v>7.7710844619595445</v>
      </c>
      <c r="S5" s="106">
        <f>O5*Calculation!$I5/Calculation!$K4</f>
        <v>0.10180776268293855</v>
      </c>
      <c r="T5" s="83"/>
      <c r="U5" s="83"/>
      <c r="V5" s="83"/>
      <c r="W5" s="83"/>
      <c r="X5" s="83"/>
      <c r="Y5" s="83"/>
      <c r="Z5" s="83"/>
      <c r="AA5" s="83"/>
      <c r="AB5" s="83"/>
      <c r="AC5" s="83"/>
    </row>
    <row r="6" spans="1:29">
      <c r="A6" s="39">
        <v>2</v>
      </c>
      <c r="B6" s="31">
        <v>80</v>
      </c>
      <c r="C6" s="31">
        <f>C5+B6</f>
        <v>200</v>
      </c>
      <c r="D6" s="13">
        <f t="shared" si="0"/>
        <v>3.3333333333333335</v>
      </c>
      <c r="E6" s="98">
        <v>22.671323776245117</v>
      </c>
      <c r="F6" s="98">
        <v>22.742641448974609</v>
      </c>
      <c r="G6" s="99">
        <v>22.408130645751953</v>
      </c>
      <c r="H6" s="105">
        <f t="shared" si="2"/>
        <v>22.535515948238533</v>
      </c>
      <c r="I6" s="105">
        <f t="shared" si="3"/>
        <v>22.606833620968025</v>
      </c>
      <c r="J6" s="105">
        <f t="shared" si="4"/>
        <v>22.272322817745369</v>
      </c>
      <c r="K6" s="99">
        <f>((H6-'CalibrationB. hydrogenotrophica'!$D$45)/('CalibrationB. hydrogenotrophica'!$D$44))+$B$24</f>
        <v>8.0648847499474705</v>
      </c>
      <c r="L6" s="99">
        <f>((I6-'CalibrationB. hydrogenotrophica'!$D$45)/('CalibrationB. hydrogenotrophica'!$D$44))+$B$24</f>
        <v>8.0470075101486351</v>
      </c>
      <c r="M6" s="99">
        <f>((J6-'CalibrationB. hydrogenotrophica'!$D$45)/('CalibrationB. hydrogenotrophica'!$D$44))+$B$24</f>
        <v>8.1308595150674563</v>
      </c>
      <c r="N6" s="106">
        <f t="shared" si="5"/>
        <v>8.0809172583878546</v>
      </c>
      <c r="O6" s="106">
        <f t="shared" si="6"/>
        <v>4.4165265508029357E-2</v>
      </c>
      <c r="P6" s="107">
        <f>(AVERAGE(POWER(10,K6),POWER(10,L6),POWER(10,M6)))*Calculation!$I6/Calculation!$K5</f>
        <v>121210312.68923917</v>
      </c>
      <c r="Q6" s="107">
        <f>(STDEV(POWER(10,K6),POWER(10,L6),POWER(10,M6)))*Calculation!$I6/Calculation!$K5</f>
        <v>12601922.473764952</v>
      </c>
      <c r="R6" s="106">
        <f t="shared" si="7"/>
        <v>8.0835395715917926</v>
      </c>
      <c r="S6" s="106">
        <f>O6*Calculation!$I6/Calculation!$K5</f>
        <v>4.4277531312701977E-2</v>
      </c>
      <c r="T6" s="83"/>
      <c r="U6" s="83"/>
      <c r="V6" s="83"/>
      <c r="W6" s="83"/>
      <c r="X6" s="83"/>
      <c r="Y6" s="83"/>
      <c r="Z6" s="83"/>
      <c r="AA6" s="83"/>
      <c r="AB6" s="83"/>
      <c r="AC6" s="83"/>
    </row>
    <row r="7" spans="1:29">
      <c r="A7" s="39">
        <v>3</v>
      </c>
      <c r="B7" s="31">
        <v>80</v>
      </c>
      <c r="C7" s="31">
        <f>C6+B7</f>
        <v>280</v>
      </c>
      <c r="D7" s="13">
        <f t="shared" si="0"/>
        <v>4.666666666666667</v>
      </c>
      <c r="E7" s="98">
        <v>21.445468902587891</v>
      </c>
      <c r="F7" s="98">
        <v>21.448835372924805</v>
      </c>
      <c r="G7" s="99">
        <v>21.455558776855469</v>
      </c>
      <c r="H7" s="105">
        <f t="shared" si="2"/>
        <v>21.309661074581307</v>
      </c>
      <c r="I7" s="105">
        <f t="shared" si="3"/>
        <v>21.313027544918221</v>
      </c>
      <c r="J7" s="105">
        <f t="shared" si="4"/>
        <v>21.319750948848885</v>
      </c>
      <c r="K7" s="99">
        <f>((H7-'CalibrationB. hydrogenotrophica'!$D$45)/('CalibrationB. hydrogenotrophica'!$D$44))+$B$24</f>
        <v>8.3721704576298261</v>
      </c>
      <c r="L7" s="99">
        <f>((I7-'CalibrationB. hydrogenotrophica'!$D$45)/('CalibrationB. hydrogenotrophica'!$D$44))+$B$24</f>
        <v>8.3713265826801084</v>
      </c>
      <c r="M7" s="99">
        <f>((J7-'CalibrationB. hydrogenotrophica'!$D$45)/('CalibrationB. hydrogenotrophica'!$D$44))+$B$24</f>
        <v>8.3696412233612634</v>
      </c>
      <c r="N7" s="106">
        <f t="shared" si="5"/>
        <v>8.3710460878903987</v>
      </c>
      <c r="O7" s="106">
        <f t="shared" si="6"/>
        <v>1.2877361886693014E-3</v>
      </c>
      <c r="P7" s="107">
        <f>(AVERAGE(POWER(10,K7),POWER(10,L7),POWER(10,M7)))*Calculation!$I7/Calculation!$K6</f>
        <v>236228597.95770222</v>
      </c>
      <c r="Q7" s="107">
        <f>(STDEV(POWER(10,K7),POWER(10,L7),POWER(10,M7)))*Calculation!$I7/Calculation!$K6</f>
        <v>700122.60912855656</v>
      </c>
      <c r="R7" s="106">
        <f t="shared" si="7"/>
        <v>8.3733324723774594</v>
      </c>
      <c r="S7" s="106">
        <f>O7*Calculation!$I7/Calculation!$K6</f>
        <v>1.294529682089504E-3</v>
      </c>
      <c r="T7" s="83"/>
      <c r="U7" s="83"/>
      <c r="V7" s="83"/>
      <c r="W7" s="83"/>
      <c r="X7" s="83"/>
      <c r="Y7" s="83"/>
      <c r="Z7" s="83"/>
      <c r="AA7" s="83"/>
      <c r="AB7" s="83"/>
      <c r="AC7" s="83"/>
    </row>
    <row r="8" spans="1:29">
      <c r="A8" s="39">
        <v>4</v>
      </c>
      <c r="B8" s="31">
        <v>80</v>
      </c>
      <c r="C8" s="31">
        <f t="shared" ref="C8:C18" si="8">C7+B8</f>
        <v>360</v>
      </c>
      <c r="D8" s="13">
        <f t="shared" si="0"/>
        <v>6</v>
      </c>
      <c r="E8" s="98">
        <v>19.958477020263672</v>
      </c>
      <c r="F8" s="98">
        <v>20.349819183349609</v>
      </c>
      <c r="G8" s="99">
        <v>19.853376388549805</v>
      </c>
      <c r="H8" s="105">
        <f t="shared" si="2"/>
        <v>19.822669192257088</v>
      </c>
      <c r="I8" s="105">
        <f t="shared" si="3"/>
        <v>20.214011355343025</v>
      </c>
      <c r="J8" s="105">
        <f t="shared" si="4"/>
        <v>19.717568560543221</v>
      </c>
      <c r="K8" s="99">
        <f>((H8-'CalibrationB. hydrogenotrophica'!$D$45)/('CalibrationB. hydrogenotrophica'!$D$44))+$B$24</f>
        <v>8.7449155212560825</v>
      </c>
      <c r="L8" s="99">
        <f>((I8-'CalibrationB. hydrogenotrophica'!$D$45)/('CalibrationB. hydrogenotrophica'!$D$44))+$B$24</f>
        <v>8.6468175684608699</v>
      </c>
      <c r="M8" s="99">
        <f>((J8-'CalibrationB. hydrogenotrophica'!$D$45)/('CalibrationB. hydrogenotrophica'!$D$44))+$B$24</f>
        <v>8.7712611537514746</v>
      </c>
      <c r="N8" s="106">
        <f t="shared" si="5"/>
        <v>8.7209980811561412</v>
      </c>
      <c r="O8" s="106">
        <f t="shared" si="6"/>
        <v>6.5578841372013225E-2</v>
      </c>
      <c r="P8" s="107">
        <f>(AVERAGE(POWER(10,K8),POWER(10,L8),POWER(10,M8)))*Calculation!$I8/Calculation!$K7</f>
        <v>535346577.20525634</v>
      </c>
      <c r="Q8" s="107">
        <f>(STDEV(POWER(10,K8),POWER(10,L8),POWER(10,M8)))*Calculation!$I8/Calculation!$K7</f>
        <v>77689844.160646483</v>
      </c>
      <c r="R8" s="106">
        <f t="shared" si="7"/>
        <v>8.7286350303126916</v>
      </c>
      <c r="S8" s="106">
        <f>O8*Calculation!$I8/Calculation!$K7</f>
        <v>6.6249786076964898E-2</v>
      </c>
      <c r="T8" s="83"/>
      <c r="U8" s="83"/>
      <c r="V8" s="83"/>
      <c r="W8" s="83"/>
      <c r="X8" s="83"/>
      <c r="Y8" s="83"/>
      <c r="Z8" s="83"/>
      <c r="AA8" s="83"/>
      <c r="AB8" s="83"/>
      <c r="AC8" s="83"/>
    </row>
    <row r="9" spans="1:29">
      <c r="A9" s="39">
        <v>5</v>
      </c>
      <c r="B9" s="31">
        <v>80</v>
      </c>
      <c r="C9" s="31">
        <f t="shared" si="8"/>
        <v>440</v>
      </c>
      <c r="D9" s="13">
        <f t="shared" si="0"/>
        <v>7.333333333333333</v>
      </c>
      <c r="E9" s="98">
        <v>19.561916351318359</v>
      </c>
      <c r="F9" s="98">
        <v>19.556369781494141</v>
      </c>
      <c r="G9" s="99">
        <v>20.261980056762695</v>
      </c>
      <c r="H9" s="105">
        <f t="shared" si="2"/>
        <v>19.426108523311775</v>
      </c>
      <c r="I9" s="105">
        <f t="shared" si="3"/>
        <v>19.420561953487557</v>
      </c>
      <c r="J9" s="105">
        <f t="shared" si="4"/>
        <v>20.126172228756111</v>
      </c>
      <c r="K9" s="99">
        <f>((H9-'CalibrationB. hydrogenotrophica'!$D$45)/('CalibrationB. hydrogenotrophica'!$D$44))+$B$24</f>
        <v>8.8443215997523872</v>
      </c>
      <c r="L9" s="99">
        <f>((I9-'CalibrationB. hydrogenotrophica'!$D$45)/('CalibrationB. hydrogenotrophica'!$D$44))+$B$24</f>
        <v>8.8457119614259199</v>
      </c>
      <c r="M9" s="99">
        <f>((J9-'CalibrationB. hydrogenotrophica'!$D$45)/('CalibrationB. hydrogenotrophica'!$D$44))+$B$24</f>
        <v>8.6688362500809326</v>
      </c>
      <c r="N9" s="106">
        <f t="shared" si="5"/>
        <v>8.7862899370864138</v>
      </c>
      <c r="O9" s="106">
        <f t="shared" si="6"/>
        <v>0.10172025225972388</v>
      </c>
      <c r="P9" s="107">
        <f>(AVERAGE(POWER(10,K9),POWER(10,L9),POWER(10,M9)))*Calculation!$I9/Calculation!$K8</f>
        <v>634367627.8599447</v>
      </c>
      <c r="Q9" s="107">
        <f>(STDEV(POWER(10,K9),POWER(10,L9),POWER(10,M9)))*Calculation!$I9/Calculation!$K8</f>
        <v>137413283.66980165</v>
      </c>
      <c r="R9" s="106">
        <f t="shared" si="7"/>
        <v>8.802341012581131</v>
      </c>
      <c r="S9" s="106">
        <f>O9*Calculation!$I9/Calculation!$K8</f>
        <v>0.10373040697210491</v>
      </c>
      <c r="T9" s="83"/>
      <c r="U9" s="83"/>
      <c r="V9" s="83"/>
      <c r="W9" s="83"/>
      <c r="X9" s="83"/>
      <c r="Y9" s="83"/>
      <c r="Z9" s="83"/>
      <c r="AA9" s="83"/>
      <c r="AB9" s="83"/>
      <c r="AC9" s="83"/>
    </row>
    <row r="10" spans="1:29">
      <c r="A10" s="39">
        <v>6</v>
      </c>
      <c r="B10" s="31">
        <v>80</v>
      </c>
      <c r="C10" s="31">
        <f t="shared" si="8"/>
        <v>520</v>
      </c>
      <c r="D10" s="13">
        <f t="shared" si="0"/>
        <v>8.6666666666666661</v>
      </c>
      <c r="E10" s="98">
        <v>18.969003677368164</v>
      </c>
      <c r="F10" s="98">
        <v>18.829433441162109</v>
      </c>
      <c r="G10" s="99">
        <v>18.869321823120117</v>
      </c>
      <c r="H10" s="105">
        <f t="shared" si="2"/>
        <v>18.83319584936158</v>
      </c>
      <c r="I10" s="105">
        <f t="shared" si="3"/>
        <v>18.693625613155525</v>
      </c>
      <c r="J10" s="105">
        <f t="shared" si="4"/>
        <v>18.733513995113533</v>
      </c>
      <c r="K10" s="99">
        <f>((H10-'CalibrationB. hydrogenotrophica'!$D$45)/('CalibrationB. hydrogenotrophica'!$D$44))+$B$24</f>
        <v>8.9929473421007184</v>
      </c>
      <c r="L10" s="99">
        <f>((I10-'CalibrationB. hydrogenotrophica'!$D$45)/('CalibrationB. hydrogenotrophica'!$D$44))+$B$24</f>
        <v>9.0279334890954424</v>
      </c>
      <c r="M10" s="99">
        <f>((J10-'CalibrationB. hydrogenotrophica'!$D$45)/('CalibrationB. hydrogenotrophica'!$D$44))+$B$24</f>
        <v>9.0179346467025407</v>
      </c>
      <c r="N10" s="106">
        <f t="shared" si="5"/>
        <v>9.0129384926328999</v>
      </c>
      <c r="O10" s="106">
        <f t="shared" si="6"/>
        <v>1.8020232712143154E-2</v>
      </c>
      <c r="P10" s="107">
        <f>(AVERAGE(POWER(10,K10),POWER(10,L10),POWER(10,M10)))*Calculation!$I10/Calculation!$K9</f>
        <v>1062957590.4507729</v>
      </c>
      <c r="Q10" s="107">
        <f>(STDEV(POWER(10,K10),POWER(10,L10),POWER(10,M10)))*Calculation!$I10/Calculation!$K9</f>
        <v>43743511.925630562</v>
      </c>
      <c r="R10" s="106">
        <f t="shared" si="7"/>
        <v>9.0265159375236479</v>
      </c>
      <c r="S10" s="106">
        <f>O10*Calculation!$I10/Calculation!$K9</f>
        <v>1.8581893219247348E-2</v>
      </c>
      <c r="T10" s="83"/>
      <c r="U10" s="83"/>
      <c r="V10" s="83"/>
      <c r="W10" s="83"/>
      <c r="X10" s="83"/>
      <c r="Y10" s="83"/>
      <c r="Z10" s="83"/>
      <c r="AA10" s="83"/>
      <c r="AB10" s="83"/>
      <c r="AC10" s="83"/>
    </row>
    <row r="11" spans="1:29">
      <c r="A11" s="39">
        <v>7</v>
      </c>
      <c r="B11" s="31">
        <v>80</v>
      </c>
      <c r="C11" s="31">
        <f t="shared" si="8"/>
        <v>600</v>
      </c>
      <c r="D11" s="13">
        <f t="shared" si="0"/>
        <v>10</v>
      </c>
      <c r="E11" s="98">
        <v>18.586755752563477</v>
      </c>
      <c r="F11" s="98">
        <v>18.532859802246094</v>
      </c>
      <c r="G11" s="99">
        <v>18.432462692260742</v>
      </c>
      <c r="H11" s="105">
        <f t="shared" si="2"/>
        <v>18.450947924556893</v>
      </c>
      <c r="I11" s="105">
        <f t="shared" si="3"/>
        <v>18.39705197423951</v>
      </c>
      <c r="J11" s="105">
        <f t="shared" si="4"/>
        <v>18.296654864254158</v>
      </c>
      <c r="K11" s="99">
        <f>((H11-'CalibrationB. hydrogenotrophica'!$D$45)/('CalibrationB. hydrogenotrophica'!$D$44))+$B$24</f>
        <v>9.0887656372413907</v>
      </c>
      <c r="L11" s="99">
        <f>((I11-'CalibrationB. hydrogenotrophica'!$D$45)/('CalibrationB. hydrogenotrophica'!$D$44))+$B$24</f>
        <v>9.1022757644109156</v>
      </c>
      <c r="M11" s="99">
        <f>((J11-'CalibrationB. hydrogenotrophica'!$D$45)/('CalibrationB. hydrogenotrophica'!$D$44))+$B$24</f>
        <v>9.1274423625572947</v>
      </c>
      <c r="N11" s="106">
        <f t="shared" si="5"/>
        <v>9.1061612547365343</v>
      </c>
      <c r="O11" s="106">
        <f t="shared" si="6"/>
        <v>1.9628933913825402E-2</v>
      </c>
      <c r="P11" s="107">
        <f>(AVERAGE(POWER(10,K11),POWER(10,L11),POWER(10,M11)))*Calculation!$I11/Calculation!$K10</f>
        <v>1334698424.9496381</v>
      </c>
      <c r="Q11" s="107">
        <f>(STDEV(POWER(10,K11),POWER(10,L11),POWER(10,M11)))*Calculation!$I11/Calculation!$K10</f>
        <v>60696663.501674861</v>
      </c>
      <c r="R11" s="106">
        <f t="shared" si="7"/>
        <v>9.1253831479659571</v>
      </c>
      <c r="S11" s="106">
        <f>O11*Calculation!$I11/Calculation!$K10</f>
        <v>2.0503200616691395E-2</v>
      </c>
      <c r="T11" s="83"/>
      <c r="U11" s="83"/>
      <c r="V11" s="83"/>
      <c r="W11" s="83"/>
      <c r="X11" s="83"/>
      <c r="Y11" s="83"/>
      <c r="Z11" s="83"/>
      <c r="AA11" s="83"/>
      <c r="AB11" s="83"/>
      <c r="AC11" s="83"/>
    </row>
    <row r="12" spans="1:29">
      <c r="A12" s="39">
        <v>8</v>
      </c>
      <c r="B12" s="31">
        <v>80</v>
      </c>
      <c r="C12" s="31">
        <f t="shared" si="8"/>
        <v>680</v>
      </c>
      <c r="D12" s="13">
        <f t="shared" si="0"/>
        <v>11.333333333333334</v>
      </c>
      <c r="E12" s="98">
        <v>18.046100616455078</v>
      </c>
      <c r="F12" s="98">
        <v>18.100368499755859</v>
      </c>
      <c r="G12" s="99">
        <v>17.884227752685547</v>
      </c>
      <c r="H12" s="105">
        <f t="shared" si="2"/>
        <v>17.910292788448494</v>
      </c>
      <c r="I12" s="105">
        <f t="shared" si="3"/>
        <v>17.964560671749275</v>
      </c>
      <c r="J12" s="105">
        <f t="shared" si="4"/>
        <v>17.748419924678963</v>
      </c>
      <c r="K12" s="99">
        <f>((H12-'CalibrationB. hydrogenotrophica'!$D$45)/('CalibrationB. hydrogenotrophica'!$D$44))+$B$24</f>
        <v>9.2242919541662651</v>
      </c>
      <c r="L12" s="99">
        <f>((I12-'CalibrationB. hydrogenotrophica'!$D$45)/('CalibrationB. hydrogenotrophica'!$D$44))+$B$24</f>
        <v>9.2106885943535701</v>
      </c>
      <c r="M12" s="99">
        <f>((J12-'CalibrationB. hydrogenotrophica'!$D$45)/('CalibrationB. hydrogenotrophica'!$D$44))+$B$24</f>
        <v>9.2648687129383624</v>
      </c>
      <c r="N12" s="106">
        <f>AVERAGE(K12:M12)</f>
        <v>9.2332830871527332</v>
      </c>
      <c r="O12" s="106">
        <f>STDEV(K12:M12)</f>
        <v>2.8186905944973754E-2</v>
      </c>
      <c r="P12" s="107">
        <f>(AVERAGE(POWER(10,K12),POWER(10,L12),POWER(10,M12)))*Calculation!$I12/Calculation!$K11</f>
        <v>1805223207.5680587</v>
      </c>
      <c r="Q12" s="107">
        <f>(STDEV(POWER(10,K12),POWER(10,L12),POWER(10,M12)))*Calculation!$I12/Calculation!$K11</f>
        <v>118722029.20553428</v>
      </c>
      <c r="R12" s="106">
        <f t="shared" si="7"/>
        <v>9.2565309080820768</v>
      </c>
      <c r="S12" s="106">
        <f>O12*Calculation!$I12/Calculation!$K11</f>
        <v>2.9694770598359E-2</v>
      </c>
      <c r="T12" s="83"/>
      <c r="U12" s="83"/>
      <c r="V12" s="83"/>
      <c r="W12" s="83"/>
      <c r="X12" s="83"/>
      <c r="Y12" s="83"/>
      <c r="Z12" s="83"/>
      <c r="AA12" s="83"/>
      <c r="AB12" s="83"/>
      <c r="AC12" s="83"/>
    </row>
    <row r="13" spans="1:29">
      <c r="A13" s="39">
        <v>9</v>
      </c>
      <c r="B13" s="31">
        <v>80</v>
      </c>
      <c r="C13" s="31">
        <f t="shared" si="8"/>
        <v>760</v>
      </c>
      <c r="D13" s="13">
        <f>C13/60</f>
        <v>12.666666666666666</v>
      </c>
      <c r="E13" s="98">
        <v>17.423707962036133</v>
      </c>
      <c r="F13" s="98">
        <v>17.500947952270508</v>
      </c>
      <c r="G13" s="99">
        <v>17.039678573608398</v>
      </c>
      <c r="H13" s="105">
        <f t="shared" si="2"/>
        <v>17.287900134029549</v>
      </c>
      <c r="I13" s="105">
        <f t="shared" si="3"/>
        <v>17.365140124263924</v>
      </c>
      <c r="J13" s="105">
        <f t="shared" si="4"/>
        <v>16.903870745601814</v>
      </c>
      <c r="K13" s="99">
        <f>((H13-'CalibrationB. hydrogenotrophica'!$D$45)/('CalibrationB. hydrogenotrophica'!$D$44))+$B$24</f>
        <v>9.3803074592470921</v>
      </c>
      <c r="L13" s="99">
        <f>((I13-'CalibrationB. hydrogenotrophica'!$D$45)/('CalibrationB. hydrogenotrophica'!$D$44))+$B$24</f>
        <v>9.3609456688993191</v>
      </c>
      <c r="M13" s="99">
        <f>((J13-'CalibrationB. hydrogenotrophica'!$D$45)/('CalibrationB. hydrogenotrophica'!$D$44))+$B$24</f>
        <v>9.4765723148427448</v>
      </c>
      <c r="N13" s="106">
        <f t="shared" si="5"/>
        <v>9.4059418143297187</v>
      </c>
      <c r="O13" s="106">
        <f t="shared" si="6"/>
        <v>6.1929156569488449E-2</v>
      </c>
      <c r="P13" s="107">
        <f>(AVERAGE(POWER(10,K13),POWER(10,L13),POWER(10,M13)))*Calculation!$I13/Calculation!$K12</f>
        <v>2725126801.2905941</v>
      </c>
      <c r="Q13" s="107">
        <f>(STDEV(POWER(10,K13),POWER(10,L13),POWER(10,M13)))*Calculation!$I13/Calculation!$K12</f>
        <v>401482220.44144475</v>
      </c>
      <c r="R13" s="106">
        <f t="shared" si="7"/>
        <v>9.4353867149868229</v>
      </c>
      <c r="S13" s="106">
        <f>O13*Calculation!$I13/Calculation!$K12</f>
        <v>6.5815741527191579E-2</v>
      </c>
      <c r="T13" s="83"/>
      <c r="U13" s="83"/>
      <c r="V13" s="83"/>
      <c r="W13" s="83"/>
      <c r="X13" s="83"/>
      <c r="Y13" s="83"/>
      <c r="Z13" s="83"/>
      <c r="AA13" s="83"/>
      <c r="AB13" s="83"/>
      <c r="AC13" s="83"/>
    </row>
    <row r="14" spans="1:29">
      <c r="A14" s="39">
        <v>10</v>
      </c>
      <c r="B14" s="31">
        <v>80</v>
      </c>
      <c r="C14" s="31">
        <f t="shared" si="8"/>
        <v>840</v>
      </c>
      <c r="D14" s="13">
        <f t="shared" si="0"/>
        <v>14</v>
      </c>
      <c r="E14" s="98">
        <v>16.65321159362793</v>
      </c>
      <c r="F14" s="98">
        <v>16.506290435791016</v>
      </c>
      <c r="G14" s="99">
        <v>16.480043411254883</v>
      </c>
      <c r="H14" s="105">
        <f t="shared" si="2"/>
        <v>16.517403765621346</v>
      </c>
      <c r="I14" s="105">
        <f t="shared" si="3"/>
        <v>16.370482607784432</v>
      </c>
      <c r="J14" s="105">
        <f t="shared" si="4"/>
        <v>16.344235583248299</v>
      </c>
      <c r="K14" s="99">
        <f>((H14-'CalibrationB. hydrogenotrophica'!$D$45)/('CalibrationB. hydrogenotrophica'!$D$44))+$B$24</f>
        <v>9.5734482028382502</v>
      </c>
      <c r="L14" s="99">
        <f>((I14-'CalibrationB. hydrogenotrophica'!$D$45)/('CalibrationB. hydrogenotrophica'!$D$44))+$B$24</f>
        <v>9.6102770093549097</v>
      </c>
      <c r="M14" s="99">
        <f>((J14-'CalibrationB. hydrogenotrophica'!$D$45)/('CalibrationB. hydrogenotrophica'!$D$44))+$B$24</f>
        <v>9.6168563652660062</v>
      </c>
      <c r="N14" s="106">
        <f t="shared" si="5"/>
        <v>9.6001938591530553</v>
      </c>
      <c r="O14" s="106">
        <f t="shared" si="6"/>
        <v>2.339486225292808E-2</v>
      </c>
      <c r="P14" s="107">
        <f>(AVERAGE(POWER(10,K14),POWER(10,L14),POWER(10,M14)))*Calculation!$I14/Calculation!$K13</f>
        <v>4261213428.0647368</v>
      </c>
      <c r="Q14" s="107">
        <f>(STDEV(POWER(10,K14),POWER(10,L14),POWER(10,M14)))*Calculation!$I14/Calculation!$K13</f>
        <v>226188981.53263137</v>
      </c>
      <c r="R14" s="106">
        <f t="shared" si="7"/>
        <v>9.629533286913313</v>
      </c>
      <c r="S14" s="106">
        <f>O14*Calculation!$I14/Calculation!$K13</f>
        <v>2.5005981544195904E-2</v>
      </c>
      <c r="T14" s="83"/>
      <c r="U14" s="83"/>
      <c r="V14" s="83"/>
      <c r="W14" s="83"/>
      <c r="X14" s="83"/>
      <c r="Y14" s="83"/>
      <c r="Z14" s="83"/>
      <c r="AA14" s="83"/>
      <c r="AB14" s="83"/>
      <c r="AC14" s="83"/>
    </row>
    <row r="15" spans="1:29">
      <c r="A15" s="39">
        <v>11</v>
      </c>
      <c r="B15" s="31">
        <v>80</v>
      </c>
      <c r="C15" s="31">
        <f t="shared" si="8"/>
        <v>920</v>
      </c>
      <c r="D15" s="13">
        <f t="shared" si="0"/>
        <v>15.333333333333334</v>
      </c>
      <c r="E15" s="98">
        <v>16.102582931518555</v>
      </c>
      <c r="F15" s="98">
        <v>16.14171028137207</v>
      </c>
      <c r="G15" s="99">
        <v>16.044374465942383</v>
      </c>
      <c r="H15" s="105">
        <f t="shared" si="2"/>
        <v>15.966775103511972</v>
      </c>
      <c r="I15" s="105">
        <f t="shared" si="3"/>
        <v>16.005902453365486</v>
      </c>
      <c r="J15" s="105">
        <f t="shared" si="4"/>
        <v>15.908566637935801</v>
      </c>
      <c r="K15" s="99">
        <f>((H15-'CalibrationB. hydrogenotrophica'!$D$45)/('CalibrationB. hydrogenotrophica'!$D$44))+$B$24</f>
        <v>9.7114745889484375</v>
      </c>
      <c r="L15" s="99">
        <f>((I15-'CalibrationB. hydrogenotrophica'!$D$45)/('CalibrationB. hydrogenotrophica'!$D$44))+$B$24</f>
        <v>9.701666514886945</v>
      </c>
      <c r="M15" s="99">
        <f>((J15-'CalibrationB. hydrogenotrophica'!$D$45)/('CalibrationB. hydrogenotrophica'!$D$44))+$B$24</f>
        <v>9.7260657366626173</v>
      </c>
      <c r="N15" s="106">
        <f t="shared" si="5"/>
        <v>9.7130689468326654</v>
      </c>
      <c r="O15" s="106">
        <f t="shared" si="6"/>
        <v>1.2277499281688567E-2</v>
      </c>
      <c r="P15" s="107">
        <f>(AVERAGE(POWER(10,K15),POWER(10,L15),POWER(10,M15)))*Calculation!$I15/Calculation!$K14</f>
        <v>5522150728.593318</v>
      </c>
      <c r="Q15" s="107">
        <f>(STDEV(POWER(10,K15),POWER(10,L15),POWER(10,M15)))*Calculation!$I15/Calculation!$K14</f>
        <v>156517391.39601481</v>
      </c>
      <c r="R15" s="106">
        <f t="shared" si="7"/>
        <v>9.742108256650031</v>
      </c>
      <c r="S15" s="106">
        <f>O15*Calculation!$I15/Calculation!$K14</f>
        <v>1.3123006116796329E-2</v>
      </c>
      <c r="T15" s="83"/>
      <c r="U15" s="83"/>
      <c r="V15" s="83"/>
      <c r="W15" s="83"/>
      <c r="X15" s="83"/>
      <c r="Y15" s="83"/>
      <c r="Z15" s="83"/>
      <c r="AA15" s="83"/>
      <c r="AB15" s="83"/>
      <c r="AC15" s="83"/>
    </row>
    <row r="16" spans="1:29">
      <c r="A16" s="39">
        <v>12</v>
      </c>
      <c r="B16" s="31">
        <v>80</v>
      </c>
      <c r="C16" s="31">
        <f t="shared" si="8"/>
        <v>1000</v>
      </c>
      <c r="D16" s="13">
        <f t="shared" si="0"/>
        <v>16.666666666666668</v>
      </c>
      <c r="E16" s="98">
        <v>15.81297779083252</v>
      </c>
      <c r="F16" s="98">
        <v>15.924793243408203</v>
      </c>
      <c r="G16" s="99">
        <v>15.71171760559082</v>
      </c>
      <c r="H16" s="105">
        <f t="shared" si="2"/>
        <v>15.677169962825937</v>
      </c>
      <c r="I16" s="105">
        <f t="shared" si="3"/>
        <v>15.788985415401621</v>
      </c>
      <c r="J16" s="105">
        <f t="shared" si="4"/>
        <v>15.575909777584238</v>
      </c>
      <c r="K16" s="99">
        <f>((H16-'CalibrationB. hydrogenotrophica'!$D$45)/('CalibrationB. hydrogenotrophica'!$D$44))+$B$24</f>
        <v>9.7840700670237979</v>
      </c>
      <c r="L16" s="99">
        <f>((I16-'CalibrationB. hydrogenotrophica'!$D$45)/('CalibrationB. hydrogenotrophica'!$D$44))+$B$24</f>
        <v>9.7560412267320977</v>
      </c>
      <c r="M16" s="99">
        <f>((J16-'CalibrationB. hydrogenotrophica'!$D$45)/('CalibrationB. hydrogenotrophica'!$D$44))+$B$24</f>
        <v>9.809453012713945</v>
      </c>
      <c r="N16" s="106">
        <f t="shared" si="5"/>
        <v>9.7831881021566129</v>
      </c>
      <c r="O16" s="106">
        <f t="shared" si="6"/>
        <v>2.6716813375903845E-2</v>
      </c>
      <c r="P16" s="107">
        <f>(AVERAGE(POWER(10,K16),POWER(10,L16),POWER(10,M16)))*Calculation!$I16/Calculation!$K15</f>
        <v>6501922453.6611919</v>
      </c>
      <c r="Q16" s="107">
        <f>(STDEV(POWER(10,K16),POWER(10,L16),POWER(10,M16)))*Calculation!$I16/Calculation!$K15</f>
        <v>399186498.74933457</v>
      </c>
      <c r="R16" s="106">
        <f t="shared" si="7"/>
        <v>9.8130417855003316</v>
      </c>
      <c r="S16" s="106">
        <f>O16*Calculation!$I16/Calculation!$K15</f>
        <v>2.8581907893922523E-2</v>
      </c>
      <c r="T16" s="83"/>
      <c r="U16" s="83"/>
      <c r="V16" s="83"/>
      <c r="W16" s="83"/>
      <c r="X16" s="83"/>
      <c r="Y16" s="83"/>
      <c r="Z16" s="83"/>
      <c r="AA16" s="83"/>
      <c r="AB16" s="83"/>
      <c r="AC16" s="83"/>
    </row>
    <row r="17" spans="1:29">
      <c r="A17" s="39">
        <v>13</v>
      </c>
      <c r="B17" s="31">
        <v>80</v>
      </c>
      <c r="C17" s="31">
        <f t="shared" si="8"/>
        <v>1080</v>
      </c>
      <c r="D17" s="13">
        <f t="shared" si="0"/>
        <v>18</v>
      </c>
      <c r="E17" s="98">
        <v>15.811211585998535</v>
      </c>
      <c r="F17" s="98">
        <v>15.96492862701416</v>
      </c>
      <c r="G17" s="99">
        <v>15.786060333251953</v>
      </c>
      <c r="H17" s="105">
        <f t="shared" si="2"/>
        <v>15.675403757991953</v>
      </c>
      <c r="I17" s="105">
        <f t="shared" si="3"/>
        <v>15.829120799007578</v>
      </c>
      <c r="J17" s="105">
        <f t="shared" si="4"/>
        <v>15.650252505245371</v>
      </c>
      <c r="K17" s="99">
        <f>((H17-'CalibrationB. hydrogenotrophica'!$D$45)/('CalibrationB. hydrogenotrophica'!$D$44))+$B$24</f>
        <v>9.7845128025498269</v>
      </c>
      <c r="L17" s="99">
        <f>((I17-'CalibrationB. hydrogenotrophica'!$D$45)/('CalibrationB. hydrogenotrophica'!$D$44))+$B$24</f>
        <v>9.7459804683018074</v>
      </c>
      <c r="M17" s="99">
        <f>((J17-'CalibrationB. hydrogenotrophica'!$D$45)/('CalibrationB. hydrogenotrophica'!$D$44))+$B$24</f>
        <v>9.7908174807506594</v>
      </c>
      <c r="N17" s="106">
        <f t="shared" si="5"/>
        <v>9.7737702505340991</v>
      </c>
      <c r="O17" s="106">
        <f t="shared" si="6"/>
        <v>2.4272231854376495E-2</v>
      </c>
      <c r="P17" s="107">
        <f>(AVERAGE(POWER(10,K17),POWER(10,L17),POWER(10,M17)))*Calculation!$I17/Calculation!$K16</f>
        <v>6360985132.5194645</v>
      </c>
      <c r="Q17" s="107">
        <f>(STDEV(POWER(10,K17),POWER(10,L17),POWER(10,M17)))*Calculation!$I17/Calculation!$K16</f>
        <v>350033639.22813582</v>
      </c>
      <c r="R17" s="106">
        <f t="shared" si="7"/>
        <v>9.8035243805046406</v>
      </c>
      <c r="S17" s="106">
        <f>O17*Calculation!$I17/Calculation!$K16</f>
        <v>2.5966670705849154E-2</v>
      </c>
      <c r="T17" s="83"/>
      <c r="U17" s="83"/>
      <c r="V17" s="83"/>
      <c r="W17" s="83"/>
      <c r="X17" s="83"/>
      <c r="Y17" s="83"/>
      <c r="Z17" s="83"/>
      <c r="AA17" s="83"/>
      <c r="AB17" s="83"/>
      <c r="AC17" s="83"/>
    </row>
    <row r="18" spans="1:29">
      <c r="A18" s="39">
        <v>14</v>
      </c>
      <c r="B18" s="31">
        <v>360</v>
      </c>
      <c r="C18" s="31">
        <f t="shared" si="8"/>
        <v>1440</v>
      </c>
      <c r="D18" s="13">
        <f t="shared" si="0"/>
        <v>24</v>
      </c>
      <c r="E18" s="98">
        <v>15.213433265686035</v>
      </c>
      <c r="F18" s="98">
        <v>15.330923080444336</v>
      </c>
      <c r="G18" s="99">
        <v>15.094939231872559</v>
      </c>
      <c r="H18" s="105">
        <f t="shared" si="2"/>
        <v>15.077625437679453</v>
      </c>
      <c r="I18" s="105">
        <f t="shared" si="3"/>
        <v>15.195115252437754</v>
      </c>
      <c r="J18" s="105">
        <f t="shared" si="4"/>
        <v>14.959131403865976</v>
      </c>
      <c r="K18" s="99">
        <f>((H18-'CalibrationB. hydrogenotrophica'!$D$45)/('CalibrationB. hydrogenotrophica'!$D$44))+$B$24</f>
        <v>9.9343582191172697</v>
      </c>
      <c r="L18" s="99">
        <f>((I18-'CalibrationB. hydrogenotrophica'!$D$45)/('CalibrationB. hydrogenotrophica'!$D$44))+$B$24</f>
        <v>9.9049069833720758</v>
      </c>
      <c r="M18" s="99">
        <f>((J18-'CalibrationB. hydrogenotrophica'!$D$45)/('CalibrationB. hydrogenotrophica'!$D$44))+$B$24</f>
        <v>9.9640611829990231</v>
      </c>
      <c r="N18" s="106">
        <f t="shared" si="5"/>
        <v>9.9344421284961228</v>
      </c>
      <c r="O18" s="106">
        <f t="shared" si="6"/>
        <v>2.9577189081521574E-2</v>
      </c>
      <c r="P18" s="107">
        <f>(AVERAGE(POWER(10,K18),POWER(10,L18),POWER(10,M18)))*Calculation!$I18/Calculation!$K17</f>
        <v>9231290258.4753914</v>
      </c>
      <c r="Q18" s="107">
        <f>(STDEV(POWER(10,K18),POWER(10,L18),POWER(10,M18)))*Calculation!$I18/Calculation!$K17</f>
        <v>628414437.45175922</v>
      </c>
      <c r="R18" s="106">
        <f t="shared" si="7"/>
        <v>9.9652624066569011</v>
      </c>
      <c r="S18" s="106">
        <f>O18*Calculation!$I18/Calculation!$K17</f>
        <v>3.1703406471433208E-2</v>
      </c>
      <c r="T18" s="83"/>
      <c r="U18" s="83"/>
      <c r="V18" s="83"/>
      <c r="W18" s="83"/>
      <c r="X18" s="83"/>
      <c r="Y18" s="83"/>
      <c r="Z18" s="83"/>
      <c r="AA18" s="83"/>
      <c r="AB18" s="83"/>
      <c r="AC18" s="83"/>
    </row>
    <row r="19" spans="1:29">
      <c r="A19" s="39">
        <v>15</v>
      </c>
      <c r="B19" s="31">
        <v>375</v>
      </c>
      <c r="C19" s="31">
        <f>C18+B19</f>
        <v>1815</v>
      </c>
      <c r="D19" s="13">
        <f>C19/60</f>
        <v>30.25</v>
      </c>
      <c r="E19" s="98">
        <v>15.220172882080078</v>
      </c>
      <c r="F19" s="98">
        <v>15.494722366333008</v>
      </c>
      <c r="G19" s="99">
        <v>15.345211982727051</v>
      </c>
      <c r="H19" s="105">
        <f t="shared" si="2"/>
        <v>15.084365054073496</v>
      </c>
      <c r="I19" s="105">
        <f t="shared" si="3"/>
        <v>15.358914538326426</v>
      </c>
      <c r="J19" s="105">
        <f t="shared" si="4"/>
        <v>15.209404154720469</v>
      </c>
      <c r="K19" s="99">
        <f>((H19-'CalibrationB. hydrogenotrophica'!$D$45)/('CalibrationB. hydrogenotrophica'!$D$44))+$B$24</f>
        <v>9.9326687958114164</v>
      </c>
      <c r="L19" s="99">
        <f>((I19-'CalibrationB. hydrogenotrophica'!$D$45)/('CalibrationB. hydrogenotrophica'!$D$44))+$B$24</f>
        <v>9.8638473273199683</v>
      </c>
      <c r="M19" s="99">
        <f>((J19-'CalibrationB. hydrogenotrophica'!$D$45)/('CalibrationB. hydrogenotrophica'!$D$44))+$B$24</f>
        <v>9.9013251764679282</v>
      </c>
      <c r="N19" s="106">
        <f t="shared" si="5"/>
        <v>9.8992804331997704</v>
      </c>
      <c r="O19" s="106">
        <f t="shared" si="6"/>
        <v>3.4456267392222739E-2</v>
      </c>
      <c r="P19" s="107">
        <f>(AVERAGE(POWER(10,K19),POWER(10,L19),POWER(10,M19)))*Calculation!$I19/Calculation!$K18</f>
        <v>8518008882.3220625</v>
      </c>
      <c r="Q19" s="107">
        <f>(STDEV(POWER(10,K19),POWER(10,L19),POWER(10,M19)))*Calculation!$I19/Calculation!$K18</f>
        <v>672899456.95161724</v>
      </c>
      <c r="R19" s="106">
        <f t="shared" si="7"/>
        <v>9.9303380886071189</v>
      </c>
      <c r="S19" s="106">
        <f>O19*Calculation!$I19/Calculation!$K18</f>
        <v>3.693322741431488E-2</v>
      </c>
      <c r="T19" s="83"/>
      <c r="U19" s="83"/>
      <c r="V19" s="83"/>
      <c r="W19" s="83"/>
      <c r="X19" s="83"/>
      <c r="Y19" s="83"/>
      <c r="Z19" s="83"/>
      <c r="AA19" s="83"/>
      <c r="AB19" s="83"/>
      <c r="AC19" s="83"/>
    </row>
    <row r="20" spans="1:29">
      <c r="A20" s="39">
        <v>16</v>
      </c>
      <c r="B20" s="31">
        <v>1065</v>
      </c>
      <c r="C20" s="31">
        <f>C19+B20</f>
        <v>2880</v>
      </c>
      <c r="D20" s="13">
        <f t="shared" ref="D20" si="9">C20/60</f>
        <v>48</v>
      </c>
      <c r="E20" s="98">
        <v>17.483148574829102</v>
      </c>
      <c r="F20" s="98">
        <v>17.423337936401367</v>
      </c>
      <c r="G20" s="99">
        <v>17.832460403442383</v>
      </c>
      <c r="H20" s="105">
        <f t="shared" si="2"/>
        <v>17.347340746822518</v>
      </c>
      <c r="I20" s="105">
        <f t="shared" si="3"/>
        <v>17.287530108394783</v>
      </c>
      <c r="J20" s="105">
        <f t="shared" si="4"/>
        <v>17.696652575435799</v>
      </c>
      <c r="K20" s="99">
        <f>((H20-'CalibrationB. hydrogenotrophica'!$D$45)/('CalibrationB. hydrogenotrophica'!$D$44))+$B$24</f>
        <v>9.3654074485201555</v>
      </c>
      <c r="L20" s="99">
        <f>((I20-'CalibrationB. hydrogenotrophica'!$D$45)/('CalibrationB. hydrogenotrophica'!$D$44))+$B$24</f>
        <v>9.3804002137741431</v>
      </c>
      <c r="M20" s="99">
        <f>((J20-'CalibrationB. hydrogenotrophica'!$D$45)/('CalibrationB. hydrogenotrophica'!$D$44))+$B$24</f>
        <v>9.2778452625192838</v>
      </c>
      <c r="N20" s="106">
        <f t="shared" si="5"/>
        <v>9.3412176416045281</v>
      </c>
      <c r="O20" s="106">
        <f t="shared" si="6"/>
        <v>5.5391692298422959E-2</v>
      </c>
      <c r="P20" s="107">
        <f>(AVERAGE(POWER(10,K20),POWER(10,L20),POWER(10,M20)))*Calculation!$I20/Calculation!$K19</f>
        <v>2366662688.1152639</v>
      </c>
      <c r="Q20" s="107">
        <f>(STDEV(POWER(10,K20),POWER(10,L20),POWER(10,M20)))*Calculation!$I20/Calculation!$K19</f>
        <v>290934115.05176812</v>
      </c>
      <c r="R20" s="106">
        <f t="shared" si="7"/>
        <v>9.3741363639158752</v>
      </c>
      <c r="S20" s="106">
        <f>O20*Calculation!$I20/Calculation!$K19</f>
        <v>5.9438035196444229E-2</v>
      </c>
      <c r="T20" s="83"/>
      <c r="U20" s="83"/>
      <c r="V20" s="83"/>
      <c r="W20" s="83"/>
      <c r="X20" s="83"/>
      <c r="Y20" s="83"/>
      <c r="Z20" s="83"/>
      <c r="AA20" s="83"/>
      <c r="AB20" s="83"/>
      <c r="AC20" s="83"/>
    </row>
    <row r="21" spans="1:29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</row>
    <row r="22" spans="1:29">
      <c r="A22" s="119"/>
      <c r="B22" s="120"/>
      <c r="C22" s="119"/>
      <c r="D22" s="120"/>
      <c r="E22" s="109"/>
      <c r="F22" s="109"/>
      <c r="G22" s="110"/>
      <c r="H22" s="111"/>
      <c r="I22" s="111"/>
      <c r="J22" s="111"/>
      <c r="K22" s="110"/>
      <c r="L22" s="110"/>
      <c r="M22" s="110"/>
      <c r="N22" s="112"/>
      <c r="O22" s="112"/>
      <c r="P22" s="113"/>
      <c r="Q22" s="113"/>
      <c r="R22" s="112"/>
      <c r="S22" s="112"/>
    </row>
    <row r="23" spans="1:29">
      <c r="A23" s="119"/>
      <c r="B23" s="120"/>
      <c r="C23" s="119"/>
      <c r="D23" s="120"/>
      <c r="E23" s="109"/>
      <c r="F23" s="109"/>
      <c r="G23" s="110"/>
      <c r="H23" s="111"/>
      <c r="I23" s="111"/>
      <c r="J23" s="111"/>
      <c r="K23" s="110"/>
      <c r="L23" s="110"/>
      <c r="M23" s="110"/>
      <c r="N23" s="112"/>
      <c r="O23" s="112"/>
      <c r="P23" s="113"/>
      <c r="Q23" s="113"/>
      <c r="R23" s="112"/>
      <c r="S23" s="112"/>
    </row>
    <row r="24" spans="1:29">
      <c r="A24" s="101" t="s">
        <v>235</v>
      </c>
      <c r="B24" s="114">
        <f>LOG(B25)</f>
        <v>3.6532125137753435</v>
      </c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</row>
    <row r="25" spans="1:29">
      <c r="A25" s="94" t="s">
        <v>261</v>
      </c>
      <c r="B25" s="83">
        <f>20*1800/4/2</f>
        <v>4500</v>
      </c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</row>
    <row r="26" spans="1:29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</row>
    <row r="27" spans="1:29">
      <c r="A27" s="116" t="s">
        <v>262</v>
      </c>
      <c r="E27" s="98">
        <v>11.064262390136719</v>
      </c>
      <c r="F27" s="98">
        <v>11.419097900390625</v>
      </c>
      <c r="G27" s="98"/>
      <c r="H27" s="105">
        <f>AVERAGE(E27:G27)</f>
        <v>11.241680145263672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</row>
    <row r="28" spans="1:29">
      <c r="A28" s="116" t="s">
        <v>263</v>
      </c>
      <c r="E28" s="115">
        <v>10.746070861816406</v>
      </c>
      <c r="F28" s="105">
        <v>10.822755813598633</v>
      </c>
      <c r="G28" s="105">
        <v>10.731834411621094</v>
      </c>
      <c r="H28" s="105">
        <f t="shared" ref="H28:H63" si="10">AVERAGE(E28:G28)</f>
        <v>10.766887029012045</v>
      </c>
    </row>
    <row r="29" spans="1:29">
      <c r="A29" s="116" t="s">
        <v>264</v>
      </c>
      <c r="E29" s="115">
        <v>11.464282989501953</v>
      </c>
      <c r="F29" s="105">
        <v>11.464282989501953</v>
      </c>
      <c r="G29" s="105">
        <v>11.464282989501953</v>
      </c>
      <c r="H29" s="105">
        <f t="shared" si="10"/>
        <v>11.464282989501953</v>
      </c>
    </row>
    <row r="30" spans="1:29">
      <c r="A30" s="116" t="s">
        <v>265</v>
      </c>
      <c r="E30" s="115">
        <v>11.279656410217285</v>
      </c>
      <c r="F30" s="105">
        <v>11.587799072265625</v>
      </c>
      <c r="G30" s="105">
        <v>11.689614295959473</v>
      </c>
      <c r="H30" s="105">
        <f t="shared" si="10"/>
        <v>11.519023259480795</v>
      </c>
    </row>
    <row r="31" spans="1:29">
      <c r="A31" s="116" t="s">
        <v>266</v>
      </c>
      <c r="E31" s="115">
        <v>11.480988502502441</v>
      </c>
      <c r="F31" s="105">
        <v>11.470051765441895</v>
      </c>
      <c r="G31" s="105">
        <v>11.500860214233398</v>
      </c>
      <c r="H31" s="105">
        <f t="shared" si="10"/>
        <v>11.483966827392578</v>
      </c>
    </row>
    <row r="32" spans="1:29">
      <c r="A32" s="116" t="s">
        <v>267</v>
      </c>
      <c r="E32" s="115">
        <v>11.4913330078125</v>
      </c>
      <c r="F32" s="105">
        <v>11.453336715698242</v>
      </c>
      <c r="G32" s="105">
        <v>11.486644744873047</v>
      </c>
      <c r="H32" s="105">
        <f t="shared" si="10"/>
        <v>11.477104822794596</v>
      </c>
    </row>
    <row r="33" spans="1:8">
      <c r="A33" s="116" t="s">
        <v>268</v>
      </c>
      <c r="E33" s="115">
        <v>11.603283882141113</v>
      </c>
      <c r="F33" s="105">
        <v>11.571865081787109</v>
      </c>
      <c r="G33" s="105">
        <v>11.644859313964844</v>
      </c>
      <c r="H33" s="105">
        <f t="shared" si="10"/>
        <v>11.606669425964355</v>
      </c>
    </row>
    <row r="34" spans="1:8">
      <c r="A34" s="116" t="s">
        <v>269</v>
      </c>
      <c r="E34" s="115">
        <v>11.201085090637207</v>
      </c>
      <c r="F34" s="105">
        <v>11.201085090637207</v>
      </c>
      <c r="G34" s="105">
        <v>11.201085090637207</v>
      </c>
      <c r="H34" s="105">
        <f t="shared" si="10"/>
        <v>11.201085090637207</v>
      </c>
    </row>
    <row r="35" spans="1:8">
      <c r="A35" s="116" t="s">
        <v>270</v>
      </c>
      <c r="E35" s="115">
        <v>10.40058422088623</v>
      </c>
      <c r="F35" s="105">
        <v>11.156428337097168</v>
      </c>
      <c r="G35" s="105">
        <v>11.374870300292969</v>
      </c>
      <c r="H35" s="105">
        <f t="shared" si="10"/>
        <v>10.977294286092123</v>
      </c>
    </row>
    <row r="36" spans="1:8">
      <c r="A36" s="116" t="s">
        <v>270</v>
      </c>
      <c r="E36" s="115">
        <v>11.333348274230957</v>
      </c>
      <c r="F36" s="105">
        <v>11.546666145324707</v>
      </c>
      <c r="G36" s="105">
        <v>11.621123313903809</v>
      </c>
      <c r="H36" s="105">
        <f t="shared" si="10"/>
        <v>11.50037924448649</v>
      </c>
    </row>
    <row r="37" spans="1:8">
      <c r="A37" s="116" t="s">
        <v>271</v>
      </c>
      <c r="E37" s="115">
        <v>11.689837455749512</v>
      </c>
      <c r="F37" s="105">
        <v>11.664087295532227</v>
      </c>
      <c r="G37" s="105">
        <v>11.717653274536133</v>
      </c>
      <c r="H37" s="105">
        <f t="shared" si="10"/>
        <v>11.690526008605957</v>
      </c>
    </row>
    <row r="38" spans="1:8">
      <c r="A38" s="116" t="s">
        <v>271</v>
      </c>
      <c r="E38" s="115">
        <v>11.29168701171875</v>
      </c>
      <c r="F38" s="105">
        <v>11.470722198486328</v>
      </c>
      <c r="G38" s="105">
        <v>10.995722770690918</v>
      </c>
      <c r="H38" s="105">
        <f t="shared" si="10"/>
        <v>11.252710660298666</v>
      </c>
    </row>
    <row r="39" spans="1:8">
      <c r="A39" s="116" t="s">
        <v>272</v>
      </c>
      <c r="E39" s="115">
        <v>11.183300018310547</v>
      </c>
      <c r="F39" s="105">
        <v>11.342129707336426</v>
      </c>
      <c r="G39" s="105">
        <v>11.389498710632324</v>
      </c>
      <c r="H39" s="105">
        <f t="shared" si="10"/>
        <v>11.304976145426432</v>
      </c>
    </row>
    <row r="40" spans="1:8">
      <c r="A40" s="116" t="s">
        <v>273</v>
      </c>
      <c r="E40" s="115">
        <v>11.500882148742676</v>
      </c>
      <c r="F40" s="105">
        <v>11.500882148742676</v>
      </c>
      <c r="G40" s="105">
        <v>11.500882148742676</v>
      </c>
      <c r="H40" s="105">
        <f t="shared" si="10"/>
        <v>11.500882148742676</v>
      </c>
    </row>
    <row r="41" spans="1:8">
      <c r="A41" s="116" t="s">
        <v>277</v>
      </c>
      <c r="E41" s="115">
        <v>11.322457313537598</v>
      </c>
      <c r="F41" s="105">
        <v>11.33414363861084</v>
      </c>
      <c r="G41" s="105">
        <v>11.329196929931641</v>
      </c>
      <c r="H41" s="105">
        <f t="shared" si="10"/>
        <v>11.328599294026693</v>
      </c>
    </row>
    <row r="42" spans="1:8">
      <c r="A42" s="116" t="s">
        <v>278</v>
      </c>
      <c r="E42" s="115">
        <v>11.317984580993652</v>
      </c>
      <c r="F42" s="105">
        <v>11.273995399475098</v>
      </c>
      <c r="G42" s="105">
        <v>11.386194229125977</v>
      </c>
      <c r="H42" s="105">
        <f t="shared" si="10"/>
        <v>11.326058069864908</v>
      </c>
    </row>
    <row r="43" spans="1:8">
      <c r="A43" s="116" t="s">
        <v>281</v>
      </c>
      <c r="E43" s="115">
        <v>11.148730278015137</v>
      </c>
      <c r="F43" s="105">
        <v>11.235733032226562</v>
      </c>
      <c r="G43" s="105">
        <v>11.234542846679688</v>
      </c>
      <c r="H43" s="105">
        <f t="shared" si="10"/>
        <v>11.206335385640463</v>
      </c>
    </row>
    <row r="44" spans="1:8">
      <c r="A44" s="116" t="s">
        <v>281</v>
      </c>
      <c r="E44" s="115">
        <v>11.324759483337402</v>
      </c>
      <c r="F44" s="105">
        <v>11.279741287231445</v>
      </c>
      <c r="G44" s="105">
        <v>11.352234840393066</v>
      </c>
      <c r="H44" s="105">
        <f t="shared" si="10"/>
        <v>11.318911870320639</v>
      </c>
    </row>
    <row r="45" spans="1:8">
      <c r="A45" s="116" t="s">
        <v>282</v>
      </c>
      <c r="E45" s="115">
        <v>11.3</v>
      </c>
      <c r="F45" s="105">
        <v>11.4</v>
      </c>
      <c r="G45" s="105">
        <v>11.3</v>
      </c>
      <c r="H45" s="105">
        <f t="shared" si="10"/>
        <v>11.333333333333334</v>
      </c>
    </row>
    <row r="46" spans="1:8">
      <c r="A46" s="116" t="s">
        <v>283</v>
      </c>
      <c r="E46" s="115">
        <v>11.137722969055176</v>
      </c>
      <c r="F46" s="105">
        <v>11.360322952270508</v>
      </c>
      <c r="G46" s="105">
        <v>11.248004913330078</v>
      </c>
      <c r="H46" s="105">
        <f t="shared" si="10"/>
        <v>11.24868361155192</v>
      </c>
    </row>
    <row r="47" spans="1:8">
      <c r="A47" s="116" t="s">
        <v>283</v>
      </c>
      <c r="E47" s="115">
        <v>11.365866661071777</v>
      </c>
      <c r="F47" s="105">
        <v>11.445242881774902</v>
      </c>
      <c r="G47" s="105">
        <v>11.431737899780273</v>
      </c>
      <c r="H47" s="105">
        <f t="shared" si="10"/>
        <v>11.41428248087565</v>
      </c>
    </row>
    <row r="48" spans="1:8">
      <c r="A48" s="62" t="s">
        <v>284</v>
      </c>
      <c r="E48" s="115">
        <v>11.350344657897949</v>
      </c>
      <c r="F48" s="105">
        <v>11.447367668151855</v>
      </c>
      <c r="G48" s="105">
        <v>11.305245399475098</v>
      </c>
      <c r="H48" s="105">
        <f t="shared" si="10"/>
        <v>11.367652575174967</v>
      </c>
    </row>
    <row r="49" spans="1:8">
      <c r="A49" s="62" t="s">
        <v>285</v>
      </c>
      <c r="E49" s="115">
        <v>11.382972717285156</v>
      </c>
      <c r="F49" s="105">
        <v>11.286684036254883</v>
      </c>
      <c r="G49" s="105">
        <v>11.278195381164551</v>
      </c>
      <c r="H49" s="105">
        <f t="shared" si="10"/>
        <v>11.315950711568197</v>
      </c>
    </row>
    <row r="50" spans="1:8">
      <c r="A50" s="62" t="s">
        <v>286</v>
      </c>
      <c r="E50" s="115">
        <v>11.351459503173828</v>
      </c>
      <c r="F50" s="105">
        <v>11.372493743896484</v>
      </c>
      <c r="G50" s="105">
        <v>11.26507568359375</v>
      </c>
      <c r="H50" s="105">
        <f t="shared" si="10"/>
        <v>11.329676310221354</v>
      </c>
    </row>
    <row r="51" spans="1:8">
      <c r="A51" s="62" t="s">
        <v>295</v>
      </c>
      <c r="E51" s="115">
        <v>10.961522102355957</v>
      </c>
      <c r="F51" s="105">
        <v>10.991280555725098</v>
      </c>
      <c r="G51" s="105">
        <v>10.988773345947266</v>
      </c>
      <c r="H51" s="105">
        <f t="shared" si="10"/>
        <v>10.980525334676107</v>
      </c>
    </row>
    <row r="52" spans="1:8">
      <c r="A52" s="62" t="s">
        <v>296</v>
      </c>
      <c r="E52" s="115">
        <v>11.455920219421387</v>
      </c>
      <c r="F52" s="105">
        <v>11.47702693939209</v>
      </c>
      <c r="G52" s="105">
        <v>11.41429615020752</v>
      </c>
      <c r="H52" s="105">
        <f t="shared" si="10"/>
        <v>11.449081103006998</v>
      </c>
    </row>
    <row r="53" spans="1:8">
      <c r="A53" s="62" t="s">
        <v>297</v>
      </c>
      <c r="E53" s="115">
        <v>11.481462478637695</v>
      </c>
      <c r="F53" s="105">
        <v>11.294193267822266</v>
      </c>
      <c r="G53" s="105">
        <v>11.30172061920166</v>
      </c>
      <c r="H53" s="105">
        <f t="shared" si="10"/>
        <v>11.359125455220541</v>
      </c>
    </row>
    <row r="54" spans="1:8">
      <c r="A54" s="62" t="s">
        <v>297</v>
      </c>
      <c r="E54" s="115">
        <v>11.333268165588301</v>
      </c>
      <c r="F54" s="105">
        <v>11.3499765396118</v>
      </c>
      <c r="G54" s="105">
        <v>11.688117980956999</v>
      </c>
      <c r="H54" s="105">
        <f t="shared" si="10"/>
        <v>11.4571208953857</v>
      </c>
    </row>
    <row r="55" spans="1:8">
      <c r="A55" s="62" t="s">
        <v>298</v>
      </c>
      <c r="E55" s="115">
        <v>11.225685119628906</v>
      </c>
      <c r="F55" s="105">
        <v>11.295048713684082</v>
      </c>
      <c r="G55" s="105">
        <v>11.326059341430664</v>
      </c>
      <c r="H55" s="105">
        <f t="shared" si="10"/>
        <v>11.282264391581217</v>
      </c>
    </row>
    <row r="56" spans="1:8">
      <c r="A56" s="62" t="s">
        <v>299</v>
      </c>
      <c r="E56" s="115">
        <v>11.361672401428223</v>
      </c>
      <c r="F56" s="105">
        <v>11.304685592651367</v>
      </c>
      <c r="G56" s="105">
        <v>11.405701637268066</v>
      </c>
      <c r="H56" s="105">
        <f t="shared" si="10"/>
        <v>11.357353210449219</v>
      </c>
    </row>
    <row r="57" spans="1:8">
      <c r="A57" s="62" t="s">
        <v>299</v>
      </c>
      <c r="E57" s="115">
        <v>10.911848068237305</v>
      </c>
      <c r="F57" s="105">
        <v>10.950149536132812</v>
      </c>
      <c r="G57" s="105">
        <v>10.982019424438477</v>
      </c>
      <c r="H57" s="105">
        <f t="shared" si="10"/>
        <v>10.948005676269531</v>
      </c>
    </row>
    <row r="58" spans="1:8">
      <c r="A58" s="62" t="s">
        <v>308</v>
      </c>
      <c r="B58" s="94"/>
      <c r="C58" s="83"/>
      <c r="D58" s="83"/>
      <c r="E58" s="115">
        <v>11.097690582275391</v>
      </c>
      <c r="F58" s="105">
        <v>11.199633598327637</v>
      </c>
      <c r="G58" s="105">
        <v>11.211821556091309</v>
      </c>
      <c r="H58" s="105">
        <f t="shared" si="10"/>
        <v>11.169715245564779</v>
      </c>
    </row>
    <row r="59" spans="1:8">
      <c r="A59" s="62" t="s">
        <v>309</v>
      </c>
      <c r="B59" s="94"/>
      <c r="C59" s="83"/>
      <c r="D59" s="83"/>
      <c r="E59" s="115">
        <v>11.383224487304688</v>
      </c>
      <c r="F59" s="105">
        <v>11.329494476318359</v>
      </c>
      <c r="G59" s="105">
        <v>11.243021011352539</v>
      </c>
      <c r="H59" s="105">
        <f t="shared" si="10"/>
        <v>11.318579991658529</v>
      </c>
    </row>
    <row r="60" spans="1:8">
      <c r="A60" s="62" t="s">
        <v>309</v>
      </c>
      <c r="B60" s="94"/>
      <c r="C60" s="83"/>
      <c r="D60" s="83"/>
      <c r="E60" s="115">
        <v>11.171065330505371</v>
      </c>
      <c r="F60" s="105">
        <v>11.234642028808594</v>
      </c>
      <c r="G60" s="105">
        <v>11.325413703918457</v>
      </c>
      <c r="H60" s="105">
        <f t="shared" si="10"/>
        <v>11.243707021077475</v>
      </c>
    </row>
    <row r="61" spans="1:8">
      <c r="A61" s="62" t="s">
        <v>310</v>
      </c>
      <c r="B61" s="126"/>
      <c r="C61" s="83"/>
      <c r="D61" s="83"/>
      <c r="E61" s="115">
        <v>11.431556701660156</v>
      </c>
      <c r="F61" s="105">
        <v>11.393752098083496</v>
      </c>
      <c r="G61" s="105">
        <v>11.470895767211914</v>
      </c>
      <c r="H61" s="105">
        <f t="shared" si="10"/>
        <v>11.432068188985189</v>
      </c>
    </row>
    <row r="62" spans="1:8">
      <c r="A62" s="62" t="s">
        <v>310</v>
      </c>
      <c r="B62" s="126"/>
      <c r="C62" s="83"/>
      <c r="D62" s="83"/>
      <c r="E62" s="115">
        <v>11.38902759552002</v>
      </c>
      <c r="F62" s="105">
        <v>11.318164825439453</v>
      </c>
      <c r="G62" s="105">
        <v>11.357851982116699</v>
      </c>
      <c r="H62" s="105">
        <f t="shared" si="10"/>
        <v>11.355014801025391</v>
      </c>
    </row>
    <row r="63" spans="1:8">
      <c r="A63" s="62" t="s">
        <v>311</v>
      </c>
      <c r="B63" s="126"/>
      <c r="C63" s="83"/>
      <c r="D63" s="83"/>
      <c r="E63" s="115">
        <v>10.827228546142578</v>
      </c>
      <c r="F63" s="105">
        <v>10.980537414550781</v>
      </c>
      <c r="G63" s="105">
        <v>10.733705520629883</v>
      </c>
      <c r="H63" s="105">
        <f t="shared" si="10"/>
        <v>10.84715716044108</v>
      </c>
    </row>
    <row r="64" spans="1:8">
      <c r="A64" s="62" t="s">
        <v>312</v>
      </c>
      <c r="B64" s="126"/>
      <c r="C64" s="83"/>
      <c r="D64" s="83"/>
      <c r="E64" s="115">
        <v>11.185029029846191</v>
      </c>
      <c r="F64" s="105">
        <v>11.096076965332031</v>
      </c>
      <c r="G64" s="105">
        <v>11.32984447479248</v>
      </c>
      <c r="H64" s="105">
        <f>AVERAGE(E64:G64)</f>
        <v>11.2036501566569</v>
      </c>
    </row>
    <row r="65" spans="1:8">
      <c r="A65" s="62" t="s">
        <v>312</v>
      </c>
      <c r="B65" s="126"/>
      <c r="C65" s="83"/>
      <c r="D65" s="83"/>
      <c r="E65" s="115">
        <v>11.051477432250977</v>
      </c>
      <c r="F65" s="105">
        <v>10.973122596740723</v>
      </c>
      <c r="G65" s="105">
        <v>10.89690113067627</v>
      </c>
      <c r="H65" s="105">
        <f>AVERAGE(E65:G65)</f>
        <v>10.973833719889322</v>
      </c>
    </row>
    <row r="66" spans="1:8">
      <c r="A66" s="94"/>
      <c r="B66" s="94"/>
      <c r="C66" s="83"/>
      <c r="D66" s="83"/>
      <c r="E66" s="111"/>
      <c r="F66" s="111"/>
      <c r="G66" s="111"/>
      <c r="H66" s="111"/>
    </row>
    <row r="68" spans="1:8">
      <c r="G68" t="s">
        <v>287</v>
      </c>
      <c r="H68" s="80">
        <f>AVERAGE(H27:H65)</f>
        <v>11.296260360978607</v>
      </c>
    </row>
  </sheetData>
  <mergeCells count="19">
    <mergeCell ref="S2:S3"/>
    <mergeCell ref="M2:M3"/>
    <mergeCell ref="N2:N3"/>
    <mergeCell ref="O2:O3"/>
    <mergeCell ref="P2:P3"/>
    <mergeCell ref="Q2:Q3"/>
    <mergeCell ref="R2:R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2"/>
  <sheetViews>
    <sheetView topLeftCell="A2" workbookViewId="0">
      <selection activeCell="L11" sqref="L11"/>
    </sheetView>
  </sheetViews>
  <sheetFormatPr baseColWidth="10" defaultRowHeight="14" x14ac:dyDescent="0"/>
  <cols>
    <col min="5" max="5" width="17.33203125" customWidth="1"/>
    <col min="6" max="6" width="24.83203125" customWidth="1"/>
    <col min="12" max="12" width="21.1640625" customWidth="1"/>
    <col min="13" max="13" width="19.5" customWidth="1"/>
  </cols>
  <sheetData>
    <row r="2" spans="1:17">
      <c r="A2" s="104" t="s">
        <v>274</v>
      </c>
      <c r="B2" s="83"/>
      <c r="C2" s="83"/>
      <c r="D2" s="83"/>
      <c r="H2" s="104" t="s">
        <v>260</v>
      </c>
      <c r="I2" s="83"/>
      <c r="J2" s="83"/>
      <c r="K2" s="83"/>
      <c r="O2" s="104" t="s">
        <v>275</v>
      </c>
    </row>
    <row r="3" spans="1:17">
      <c r="A3" s="131" t="s">
        <v>4</v>
      </c>
      <c r="B3" s="131" t="s">
        <v>117</v>
      </c>
      <c r="C3" s="131" t="s">
        <v>117</v>
      </c>
      <c r="D3" s="131" t="s">
        <v>5</v>
      </c>
      <c r="E3" s="149" t="s">
        <v>233</v>
      </c>
      <c r="F3" s="147" t="s">
        <v>234</v>
      </c>
      <c r="H3" s="131" t="s">
        <v>4</v>
      </c>
      <c r="I3" s="131" t="s">
        <v>117</v>
      </c>
      <c r="J3" s="131" t="s">
        <v>117</v>
      </c>
      <c r="K3" s="131" t="s">
        <v>5</v>
      </c>
      <c r="L3" s="149" t="s">
        <v>233</v>
      </c>
      <c r="M3" s="147" t="s">
        <v>234</v>
      </c>
      <c r="O3" s="149" t="s">
        <v>233</v>
      </c>
      <c r="P3" s="149" t="s">
        <v>233</v>
      </c>
      <c r="Q3" s="147" t="s">
        <v>234</v>
      </c>
    </row>
    <row r="4" spans="1:17">
      <c r="A4" s="132"/>
      <c r="B4" s="132"/>
      <c r="C4" s="132"/>
      <c r="D4" s="132"/>
      <c r="E4" s="150"/>
      <c r="F4" s="151"/>
      <c r="H4" s="132"/>
      <c r="I4" s="132"/>
      <c r="J4" s="132"/>
      <c r="K4" s="132"/>
      <c r="L4" s="150"/>
      <c r="M4" s="151"/>
      <c r="O4" s="150"/>
      <c r="P4" s="150"/>
      <c r="Q4" s="151"/>
    </row>
    <row r="5" spans="1:17">
      <c r="A5" s="39">
        <v>0</v>
      </c>
      <c r="B5" s="31">
        <v>10</v>
      </c>
      <c r="C5" s="31">
        <f>B5</f>
        <v>10</v>
      </c>
      <c r="D5" s="13">
        <f t="shared" ref="D5:D19" si="0">C5/60</f>
        <v>0.16666666666666666</v>
      </c>
      <c r="E5" s="106"/>
      <c r="F5" s="106"/>
      <c r="H5" s="39">
        <v>0</v>
      </c>
      <c r="I5" s="31">
        <v>10</v>
      </c>
      <c r="J5" s="31">
        <f>I5</f>
        <v>10</v>
      </c>
      <c r="K5" s="13">
        <f t="shared" ref="K5:K13" si="1">J5/60</f>
        <v>0.16666666666666666</v>
      </c>
      <c r="L5" s="106">
        <f>'Determination cell counts BH'!R4</f>
        <v>7.6044127831305657</v>
      </c>
      <c r="M5" s="106">
        <f>'Determination cell counts BH'!S4</f>
        <v>0.1308842865813605</v>
      </c>
      <c r="O5" s="121">
        <f>POWER(10,L5)+POWER(10,E26)</f>
        <v>48221930.758121297</v>
      </c>
      <c r="P5" s="122">
        <f>LOG(O5)</f>
        <v>7.6832445951084409</v>
      </c>
      <c r="Q5" s="122">
        <f>M5+F26</f>
        <v>0.21105467738646039</v>
      </c>
    </row>
    <row r="6" spans="1:17">
      <c r="A6" s="39">
        <v>1</v>
      </c>
      <c r="B6" s="31">
        <v>110</v>
      </c>
      <c r="C6" s="31">
        <f>C5+B6</f>
        <v>120</v>
      </c>
      <c r="D6" s="13">
        <f t="shared" si="0"/>
        <v>2</v>
      </c>
      <c r="E6" s="106"/>
      <c r="F6" s="106"/>
      <c r="H6" s="39">
        <v>1</v>
      </c>
      <c r="I6" s="31">
        <v>110</v>
      </c>
      <c r="J6" s="31">
        <f>J5+I6</f>
        <v>120</v>
      </c>
      <c r="K6" s="13">
        <f t="shared" si="1"/>
        <v>2</v>
      </c>
      <c r="L6" s="106">
        <f>'Determination cell counts BH'!R5</f>
        <v>7.7710844619595445</v>
      </c>
      <c r="M6" s="106">
        <f>'Determination cell counts BH'!S5</f>
        <v>0.10180776268293855</v>
      </c>
      <c r="O6" s="121">
        <f t="shared" ref="O6:O20" si="2">POWER(10,L6)+POWER(10,E27)</f>
        <v>74626150.38393493</v>
      </c>
      <c r="P6" s="122">
        <f t="shared" ref="P6:P21" si="3">LOG(O6)</f>
        <v>7.8728910389654887</v>
      </c>
      <c r="Q6" s="122">
        <f t="shared" ref="Q6:Q21" si="4">M6+F27</f>
        <v>0.19340505649761114</v>
      </c>
    </row>
    <row r="7" spans="1:17">
      <c r="A7" s="39">
        <v>2</v>
      </c>
      <c r="B7" s="31">
        <v>80</v>
      </c>
      <c r="C7" s="31">
        <f>C6+B7</f>
        <v>200</v>
      </c>
      <c r="D7" s="13">
        <f t="shared" si="0"/>
        <v>3.3333333333333335</v>
      </c>
      <c r="E7" s="106"/>
      <c r="F7" s="106"/>
      <c r="H7" s="39">
        <v>2</v>
      </c>
      <c r="I7" s="31">
        <v>80</v>
      </c>
      <c r="J7" s="31">
        <f>J6+I7</f>
        <v>200</v>
      </c>
      <c r="K7" s="13">
        <f t="shared" si="1"/>
        <v>3.3333333333333335</v>
      </c>
      <c r="L7" s="106">
        <f>'Determination cell counts BH'!R6</f>
        <v>8.0835395715917926</v>
      </c>
      <c r="M7" s="106">
        <f>'Determination cell counts BH'!S6</f>
        <v>4.4277531312701977E-2</v>
      </c>
      <c r="O7" s="121">
        <f t="shared" si="2"/>
        <v>178995621.57533181</v>
      </c>
      <c r="P7" s="122">
        <f t="shared" si="3"/>
        <v>8.2528424078015163</v>
      </c>
      <c r="Q7" s="122">
        <f t="shared" si="4"/>
        <v>5.1890804679610145E-2</v>
      </c>
    </row>
    <row r="8" spans="1:17">
      <c r="A8" s="39">
        <v>3</v>
      </c>
      <c r="B8" s="31">
        <v>80</v>
      </c>
      <c r="C8" s="31">
        <f>C7+B8</f>
        <v>280</v>
      </c>
      <c r="D8" s="13">
        <f t="shared" si="0"/>
        <v>4.666666666666667</v>
      </c>
      <c r="E8" s="106"/>
      <c r="F8" s="106"/>
      <c r="H8" s="39">
        <v>3</v>
      </c>
      <c r="I8" s="31">
        <v>80</v>
      </c>
      <c r="J8" s="31">
        <f>J7+I8</f>
        <v>280</v>
      </c>
      <c r="K8" s="13">
        <f t="shared" si="1"/>
        <v>4.666666666666667</v>
      </c>
      <c r="L8" s="106">
        <f>'Determination cell counts BH'!R7</f>
        <v>8.3733324723774594</v>
      </c>
      <c r="M8" s="106">
        <f>'Determination cell counts BH'!S7</f>
        <v>1.294529682089504E-3</v>
      </c>
      <c r="O8" s="121">
        <f t="shared" si="2"/>
        <v>408394451.25263011</v>
      </c>
      <c r="P8" s="122">
        <f t="shared" si="3"/>
        <v>8.6110798328107236</v>
      </c>
      <c r="Q8" s="122">
        <f t="shared" si="4"/>
        <v>3.4750576045942248E-2</v>
      </c>
    </row>
    <row r="9" spans="1:17">
      <c r="A9" s="39">
        <v>4</v>
      </c>
      <c r="B9" s="31">
        <v>80</v>
      </c>
      <c r="C9" s="31">
        <f t="shared" ref="C9:C19" si="5">C8+B9</f>
        <v>360</v>
      </c>
      <c r="D9" s="13">
        <f t="shared" si="0"/>
        <v>6</v>
      </c>
      <c r="E9" s="106"/>
      <c r="F9" s="106"/>
      <c r="H9" s="39">
        <v>4</v>
      </c>
      <c r="I9" s="31">
        <v>80</v>
      </c>
      <c r="J9" s="31">
        <f t="shared" ref="J9:J19" si="6">J8+I9</f>
        <v>360</v>
      </c>
      <c r="K9" s="13">
        <f t="shared" si="1"/>
        <v>6</v>
      </c>
      <c r="L9" s="106">
        <f>'Determination cell counts BH'!R8</f>
        <v>8.7286350303126916</v>
      </c>
      <c r="M9" s="106">
        <f>'Determination cell counts BH'!S8</f>
        <v>6.6249786076964898E-2</v>
      </c>
      <c r="O9" s="121">
        <f t="shared" si="2"/>
        <v>1045651941.6791209</v>
      </c>
      <c r="P9" s="122">
        <f t="shared" si="3"/>
        <v>9.0193871482376959</v>
      </c>
      <c r="Q9" s="122">
        <f t="shared" si="4"/>
        <v>0.17262157727358901</v>
      </c>
    </row>
    <row r="10" spans="1:17">
      <c r="A10" s="39">
        <v>5</v>
      </c>
      <c r="B10" s="31">
        <v>80</v>
      </c>
      <c r="C10" s="31">
        <f t="shared" si="5"/>
        <v>440</v>
      </c>
      <c r="D10" s="13">
        <f t="shared" si="0"/>
        <v>7.333333333333333</v>
      </c>
      <c r="E10" s="106"/>
      <c r="F10" s="106"/>
      <c r="H10" s="39">
        <v>5</v>
      </c>
      <c r="I10" s="31">
        <v>80</v>
      </c>
      <c r="J10" s="31">
        <f t="shared" si="6"/>
        <v>440</v>
      </c>
      <c r="K10" s="13">
        <f t="shared" si="1"/>
        <v>7.333333333333333</v>
      </c>
      <c r="L10" s="106">
        <f>'Determination cell counts BH'!R9</f>
        <v>8.802341012581131</v>
      </c>
      <c r="M10" s="106">
        <f>'Determination cell counts BH'!S9</f>
        <v>0.10373040697210491</v>
      </c>
      <c r="O10" s="121">
        <f t="shared" si="2"/>
        <v>1965931891.342562</v>
      </c>
      <c r="P10" s="122">
        <f t="shared" si="3"/>
        <v>9.2935684678570176</v>
      </c>
      <c r="Q10" s="122">
        <f t="shared" si="4"/>
        <v>0.1336338185746424</v>
      </c>
    </row>
    <row r="11" spans="1:17">
      <c r="A11" s="39">
        <v>6</v>
      </c>
      <c r="B11" s="31">
        <v>80</v>
      </c>
      <c r="C11" s="31">
        <f t="shared" si="5"/>
        <v>520</v>
      </c>
      <c r="D11" s="13">
        <f t="shared" si="0"/>
        <v>8.6666666666666661</v>
      </c>
      <c r="E11" s="106"/>
      <c r="F11" s="106"/>
      <c r="H11" s="39">
        <v>6</v>
      </c>
      <c r="I11" s="31">
        <v>80</v>
      </c>
      <c r="J11" s="31">
        <f t="shared" si="6"/>
        <v>520</v>
      </c>
      <c r="K11" s="13">
        <f t="shared" si="1"/>
        <v>8.6666666666666661</v>
      </c>
      <c r="L11" s="106">
        <f>'Determination cell counts BH'!R10</f>
        <v>9.0265159375236479</v>
      </c>
      <c r="M11" s="106">
        <f>'Determination cell counts BH'!S10</f>
        <v>1.8581893219247348E-2</v>
      </c>
      <c r="O11" s="121">
        <f t="shared" si="2"/>
        <v>3735810480.0199862</v>
      </c>
      <c r="P11" s="122">
        <f t="shared" si="3"/>
        <v>9.5723848360887711</v>
      </c>
      <c r="Q11" s="122">
        <f t="shared" si="4"/>
        <v>3.2223754706558153E-2</v>
      </c>
    </row>
    <row r="12" spans="1:17">
      <c r="A12" s="39">
        <v>7</v>
      </c>
      <c r="B12" s="31">
        <v>80</v>
      </c>
      <c r="C12" s="31">
        <f t="shared" si="5"/>
        <v>600</v>
      </c>
      <c r="D12" s="13">
        <f t="shared" si="0"/>
        <v>10</v>
      </c>
      <c r="E12" s="106"/>
      <c r="F12" s="106"/>
      <c r="H12" s="39">
        <v>7</v>
      </c>
      <c r="I12" s="31">
        <v>80</v>
      </c>
      <c r="J12" s="31">
        <f t="shared" si="6"/>
        <v>600</v>
      </c>
      <c r="K12" s="13">
        <f t="shared" si="1"/>
        <v>10</v>
      </c>
      <c r="L12" s="106">
        <f>'Determination cell counts BH'!R11</f>
        <v>9.1253831479659571</v>
      </c>
      <c r="M12" s="106">
        <f>'Determination cell counts BH'!S11</f>
        <v>2.0503200616691395E-2</v>
      </c>
      <c r="O12" s="121">
        <f t="shared" si="2"/>
        <v>4642732993.2668762</v>
      </c>
      <c r="P12" s="122">
        <f t="shared" si="3"/>
        <v>9.6667737078132294</v>
      </c>
      <c r="Q12" s="122">
        <f t="shared" si="4"/>
        <v>3.9553284128016342E-2</v>
      </c>
    </row>
    <row r="13" spans="1:17">
      <c r="A13" s="39">
        <v>8</v>
      </c>
      <c r="B13" s="31">
        <v>80</v>
      </c>
      <c r="C13" s="31">
        <f t="shared" si="5"/>
        <v>680</v>
      </c>
      <c r="D13" s="13">
        <f t="shared" si="0"/>
        <v>11.333333333333334</v>
      </c>
      <c r="E13" s="106"/>
      <c r="F13" s="106"/>
      <c r="H13" s="39">
        <v>8</v>
      </c>
      <c r="I13" s="31">
        <v>80</v>
      </c>
      <c r="J13" s="31">
        <f t="shared" si="6"/>
        <v>680</v>
      </c>
      <c r="K13" s="13">
        <f t="shared" si="1"/>
        <v>11.333333333333334</v>
      </c>
      <c r="L13" s="106">
        <f>'Determination cell counts BH'!R12</f>
        <v>9.2565309080820768</v>
      </c>
      <c r="M13" s="106">
        <f>'Determination cell counts BH'!S12</f>
        <v>2.9694770598359E-2</v>
      </c>
      <c r="O13" s="121">
        <f t="shared" si="2"/>
        <v>5671652380.7496357</v>
      </c>
      <c r="P13" s="122">
        <f t="shared" si="3"/>
        <v>9.7537096048004255</v>
      </c>
      <c r="Q13" s="122">
        <f t="shared" si="4"/>
        <v>5.6475311842449749E-2</v>
      </c>
    </row>
    <row r="14" spans="1:17">
      <c r="A14" s="39">
        <v>9</v>
      </c>
      <c r="B14" s="31">
        <v>80</v>
      </c>
      <c r="C14" s="31">
        <f t="shared" si="5"/>
        <v>760</v>
      </c>
      <c r="D14" s="13">
        <f>C14/60</f>
        <v>12.666666666666666</v>
      </c>
      <c r="E14" s="106"/>
      <c r="F14" s="106"/>
      <c r="H14" s="39">
        <v>9</v>
      </c>
      <c r="I14" s="31">
        <v>80</v>
      </c>
      <c r="J14" s="31">
        <f t="shared" si="6"/>
        <v>760</v>
      </c>
      <c r="K14" s="13">
        <f>J14/60</f>
        <v>12.666666666666666</v>
      </c>
      <c r="L14" s="106">
        <f>'Determination cell counts BH'!R13</f>
        <v>9.4353867149868229</v>
      </c>
      <c r="M14" s="106">
        <f>'Determination cell counts BH'!S13</f>
        <v>6.5815741527191579E-2</v>
      </c>
      <c r="O14" s="121">
        <f t="shared" si="2"/>
        <v>6609597018.1075745</v>
      </c>
      <c r="P14" s="122">
        <f t="shared" si="3"/>
        <v>9.820174981702392</v>
      </c>
      <c r="Q14" s="122">
        <f t="shared" si="4"/>
        <v>9.5819404436186223E-2</v>
      </c>
    </row>
    <row r="15" spans="1:17">
      <c r="A15" s="39">
        <v>10</v>
      </c>
      <c r="B15" s="31">
        <v>80</v>
      </c>
      <c r="C15" s="31">
        <f t="shared" si="5"/>
        <v>840</v>
      </c>
      <c r="D15" s="13">
        <f t="shared" si="0"/>
        <v>14</v>
      </c>
      <c r="E15" s="106"/>
      <c r="F15" s="106"/>
      <c r="H15" s="39">
        <v>10</v>
      </c>
      <c r="I15" s="31">
        <v>80</v>
      </c>
      <c r="J15" s="31">
        <f t="shared" si="6"/>
        <v>840</v>
      </c>
      <c r="K15" s="13">
        <f t="shared" ref="K15:K19" si="7">J15/60</f>
        <v>14</v>
      </c>
      <c r="L15" s="106">
        <f>'Determination cell counts BH'!R14</f>
        <v>9.629533286913313</v>
      </c>
      <c r="M15" s="106">
        <f>'Determination cell counts BH'!S14</f>
        <v>2.5005981544195904E-2</v>
      </c>
      <c r="O15" s="121">
        <f t="shared" si="2"/>
        <v>7886116765.4975023</v>
      </c>
      <c r="P15" s="122">
        <f t="shared" si="3"/>
        <v>9.8968632031500654</v>
      </c>
      <c r="Q15" s="122">
        <f t="shared" si="4"/>
        <v>6.2961319625304268E-2</v>
      </c>
    </row>
    <row r="16" spans="1:17">
      <c r="A16" s="39">
        <v>11</v>
      </c>
      <c r="B16" s="31">
        <v>80</v>
      </c>
      <c r="C16" s="31">
        <f t="shared" si="5"/>
        <v>920</v>
      </c>
      <c r="D16" s="13">
        <f t="shared" si="0"/>
        <v>15.333333333333334</v>
      </c>
      <c r="E16" s="106"/>
      <c r="F16" s="106"/>
      <c r="H16" s="39">
        <v>11</v>
      </c>
      <c r="I16" s="31">
        <v>80</v>
      </c>
      <c r="J16" s="31">
        <f t="shared" si="6"/>
        <v>920</v>
      </c>
      <c r="K16" s="13">
        <f t="shared" si="7"/>
        <v>15.333333333333334</v>
      </c>
      <c r="L16" s="106">
        <f>'Determination cell counts BH'!R15</f>
        <v>9.742108256650031</v>
      </c>
      <c r="M16" s="106">
        <f>'Determination cell counts BH'!S15</f>
        <v>1.3123006116796329E-2</v>
      </c>
      <c r="O16" s="121">
        <f t="shared" si="2"/>
        <v>8641180222.6151867</v>
      </c>
      <c r="P16" s="122">
        <f t="shared" si="3"/>
        <v>9.936573062984019</v>
      </c>
      <c r="Q16" s="122">
        <f t="shared" si="4"/>
        <v>4.1769261714052069E-2</v>
      </c>
    </row>
    <row r="17" spans="1:17">
      <c r="A17" s="39">
        <v>12</v>
      </c>
      <c r="B17" s="31">
        <v>80</v>
      </c>
      <c r="C17" s="31">
        <f t="shared" si="5"/>
        <v>1000</v>
      </c>
      <c r="D17" s="13">
        <f t="shared" si="0"/>
        <v>16.666666666666668</v>
      </c>
      <c r="E17" s="106"/>
      <c r="F17" s="106"/>
      <c r="H17" s="39">
        <v>12</v>
      </c>
      <c r="I17" s="31">
        <v>80</v>
      </c>
      <c r="J17" s="31">
        <f t="shared" si="6"/>
        <v>1000</v>
      </c>
      <c r="K17" s="13">
        <f t="shared" si="7"/>
        <v>16.666666666666668</v>
      </c>
      <c r="L17" s="106">
        <f>'Determination cell counts BH'!R16</f>
        <v>9.8130417855003316</v>
      </c>
      <c r="M17" s="106">
        <f>'Determination cell counts BH'!S16</f>
        <v>2.8581907893922523E-2</v>
      </c>
      <c r="O17" s="121">
        <f t="shared" si="2"/>
        <v>9880767228.4240227</v>
      </c>
      <c r="P17" s="122">
        <f t="shared" si="3"/>
        <v>9.99479066828542</v>
      </c>
      <c r="Q17" s="122">
        <f t="shared" si="4"/>
        <v>5.9635546716465496E-2</v>
      </c>
    </row>
    <row r="18" spans="1:17">
      <c r="A18" s="39">
        <v>13</v>
      </c>
      <c r="B18" s="31">
        <v>80</v>
      </c>
      <c r="C18" s="31">
        <f t="shared" si="5"/>
        <v>1080</v>
      </c>
      <c r="D18" s="13">
        <f t="shared" si="0"/>
        <v>18</v>
      </c>
      <c r="E18" s="106"/>
      <c r="F18" s="106"/>
      <c r="H18" s="39">
        <v>13</v>
      </c>
      <c r="I18" s="31">
        <v>80</v>
      </c>
      <c r="J18" s="31">
        <f t="shared" si="6"/>
        <v>1080</v>
      </c>
      <c r="K18" s="13">
        <f t="shared" si="7"/>
        <v>18</v>
      </c>
      <c r="L18" s="106">
        <f>'Determination cell counts BH'!R17</f>
        <v>9.8035243805046406</v>
      </c>
      <c r="M18" s="106">
        <f>'Determination cell counts BH'!S17</f>
        <v>2.5966670705849154E-2</v>
      </c>
      <c r="O18" s="121">
        <f t="shared" si="2"/>
        <v>9765167911.4309349</v>
      </c>
      <c r="P18" s="122">
        <f t="shared" si="3"/>
        <v>9.989679715353617</v>
      </c>
      <c r="Q18" s="122">
        <f t="shared" si="4"/>
        <v>4.496185199115664E-2</v>
      </c>
    </row>
    <row r="19" spans="1:17">
      <c r="A19" s="39">
        <v>14</v>
      </c>
      <c r="B19" s="31">
        <v>360</v>
      </c>
      <c r="C19" s="31">
        <f t="shared" si="5"/>
        <v>1440</v>
      </c>
      <c r="D19" s="13">
        <f t="shared" si="0"/>
        <v>24</v>
      </c>
      <c r="E19" s="106"/>
      <c r="F19" s="106"/>
      <c r="H19" s="39">
        <v>14</v>
      </c>
      <c r="I19" s="31">
        <v>360</v>
      </c>
      <c r="J19" s="31">
        <f t="shared" si="6"/>
        <v>1440</v>
      </c>
      <c r="K19" s="13">
        <f t="shared" si="7"/>
        <v>24</v>
      </c>
      <c r="L19" s="106">
        <f>'Determination cell counts BH'!R18</f>
        <v>9.9652624066569011</v>
      </c>
      <c r="M19" s="106">
        <f>'Determination cell counts BH'!S18</f>
        <v>3.1703406471433208E-2</v>
      </c>
      <c r="O19" s="121">
        <f t="shared" si="2"/>
        <v>11717707568.656738</v>
      </c>
      <c r="P19" s="122">
        <f t="shared" si="3"/>
        <v>10.068842655396754</v>
      </c>
      <c r="Q19" s="122">
        <f t="shared" si="4"/>
        <v>5.9959310397711942E-2</v>
      </c>
    </row>
    <row r="20" spans="1:17">
      <c r="A20" s="39">
        <v>15</v>
      </c>
      <c r="B20" s="31">
        <v>375</v>
      </c>
      <c r="C20" s="31">
        <f>C19+B20</f>
        <v>1815</v>
      </c>
      <c r="D20" s="13">
        <f>C20/60</f>
        <v>30.25</v>
      </c>
      <c r="E20" s="106"/>
      <c r="F20" s="106"/>
      <c r="H20" s="39">
        <v>15</v>
      </c>
      <c r="I20" s="31">
        <v>375</v>
      </c>
      <c r="J20" s="31">
        <f>J19+I20</f>
        <v>1815</v>
      </c>
      <c r="K20" s="13">
        <f>J20/60</f>
        <v>30.25</v>
      </c>
      <c r="L20" s="106">
        <f>'Determination cell counts BH'!R19</f>
        <v>9.9303380886071189</v>
      </c>
      <c r="M20" s="106">
        <f>'Determination cell counts BH'!S19</f>
        <v>3.693322741431488E-2</v>
      </c>
      <c r="O20" s="121">
        <f t="shared" si="2"/>
        <v>10397252358.629856</v>
      </c>
      <c r="P20" s="122">
        <f t="shared" si="3"/>
        <v>10.016918585150332</v>
      </c>
      <c r="Q20" s="122">
        <f t="shared" si="4"/>
        <v>8.1242720862006707E-2</v>
      </c>
    </row>
    <row r="21" spans="1:17">
      <c r="A21" s="39">
        <v>16</v>
      </c>
      <c r="B21" s="31">
        <v>1065</v>
      </c>
      <c r="C21" s="31">
        <f>C20+B21</f>
        <v>2880</v>
      </c>
      <c r="D21" s="13">
        <f t="shared" ref="D21" si="8">C21/60</f>
        <v>48</v>
      </c>
      <c r="E21" s="106"/>
      <c r="F21" s="106"/>
      <c r="H21" s="39">
        <v>16</v>
      </c>
      <c r="I21" s="31">
        <v>1065</v>
      </c>
      <c r="J21" s="31">
        <f>J20+I21</f>
        <v>2880</v>
      </c>
      <c r="K21" s="13">
        <f t="shared" ref="K21" si="9">J21/60</f>
        <v>48</v>
      </c>
      <c r="L21" s="106">
        <f>'Determination cell counts BH'!R20</f>
        <v>9.3741363639158752</v>
      </c>
      <c r="M21" s="106">
        <f>'Determination cell counts BH'!S20</f>
        <v>5.9438035196444229E-2</v>
      </c>
      <c r="O21" s="121">
        <f>POWER(10,L21)+POWER(10,E42)</f>
        <v>3118022887.8460994</v>
      </c>
      <c r="P21" s="122">
        <f t="shared" si="3"/>
        <v>9.4938792988030407</v>
      </c>
      <c r="Q21" s="122">
        <f t="shared" si="4"/>
        <v>0.35658754793586983</v>
      </c>
    </row>
    <row r="23" spans="1:17">
      <c r="A23" s="104" t="s">
        <v>219</v>
      </c>
      <c r="B23" s="83"/>
      <c r="C23" s="83"/>
      <c r="D23" s="83"/>
    </row>
    <row r="24" spans="1:17">
      <c r="A24" s="131" t="s">
        <v>4</v>
      </c>
      <c r="B24" s="131" t="s">
        <v>117</v>
      </c>
      <c r="C24" s="131" t="s">
        <v>117</v>
      </c>
      <c r="D24" s="131" t="s">
        <v>5</v>
      </c>
      <c r="E24" s="149" t="s">
        <v>233</v>
      </c>
      <c r="F24" s="147" t="s">
        <v>234</v>
      </c>
    </row>
    <row r="25" spans="1:17">
      <c r="A25" s="132"/>
      <c r="B25" s="132"/>
      <c r="C25" s="132"/>
      <c r="D25" s="132"/>
      <c r="E25" s="150"/>
      <c r="F25" s="151"/>
    </row>
    <row r="26" spans="1:17">
      <c r="A26" s="39">
        <v>0</v>
      </c>
      <c r="B26" s="31">
        <v>10</v>
      </c>
      <c r="C26" s="31">
        <f>B26</f>
        <v>10</v>
      </c>
      <c r="D26" s="13">
        <f t="shared" ref="D26:D34" si="10">C26/60</f>
        <v>0.16666666666666666</v>
      </c>
      <c r="E26" s="106">
        <f>'Determination cell counts FP'!R4</f>
        <v>6.9033419445641391</v>
      </c>
      <c r="F26" s="106">
        <f>'Determination cell counts FP'!S4</f>
        <v>8.017039080509987E-2</v>
      </c>
    </row>
    <row r="27" spans="1:17">
      <c r="A27" s="39">
        <v>1</v>
      </c>
      <c r="B27" s="31">
        <v>110</v>
      </c>
      <c r="C27" s="31">
        <f>C26+B27</f>
        <v>120</v>
      </c>
      <c r="D27" s="13">
        <f t="shared" si="10"/>
        <v>2</v>
      </c>
      <c r="E27" s="106">
        <f>'Determination cell counts FP'!R5</f>
        <v>7.1929732083680094</v>
      </c>
      <c r="F27" s="106">
        <f>'Determination cell counts FP'!S5</f>
        <v>9.1597293814672576E-2</v>
      </c>
    </row>
    <row r="28" spans="1:17">
      <c r="A28" s="39">
        <v>2</v>
      </c>
      <c r="B28" s="31">
        <v>80</v>
      </c>
      <c r="C28" s="31">
        <f>C27+B28</f>
        <v>200</v>
      </c>
      <c r="D28" s="13">
        <f t="shared" si="10"/>
        <v>3.3333333333333335</v>
      </c>
      <c r="E28" s="106">
        <f>'Determination cell counts FP'!R6</f>
        <v>7.7618174391007715</v>
      </c>
      <c r="F28" s="106">
        <f>'Determination cell counts FP'!S6</f>
        <v>7.6132733669081673E-3</v>
      </c>
    </row>
    <row r="29" spans="1:17">
      <c r="A29" s="39">
        <v>3</v>
      </c>
      <c r="B29" s="31">
        <v>80</v>
      </c>
      <c r="C29" s="31">
        <f>C28+B29</f>
        <v>280</v>
      </c>
      <c r="D29" s="13">
        <f t="shared" si="10"/>
        <v>4.666666666666667</v>
      </c>
      <c r="E29" s="106">
        <f>'Determination cell counts FP'!R7</f>
        <v>8.2359470193817117</v>
      </c>
      <c r="F29" s="106">
        <f>'Determination cell counts FP'!S7</f>
        <v>3.3456046363852743E-2</v>
      </c>
    </row>
    <row r="30" spans="1:17">
      <c r="A30" s="39">
        <v>4</v>
      </c>
      <c r="B30" s="31">
        <v>80</v>
      </c>
      <c r="C30" s="31">
        <f t="shared" ref="C30:C40" si="11">C29+B30</f>
        <v>360</v>
      </c>
      <c r="D30" s="13">
        <f t="shared" si="10"/>
        <v>6</v>
      </c>
      <c r="E30" s="106">
        <f>'Determination cell counts FP'!R8</f>
        <v>8.7078301337822648</v>
      </c>
      <c r="F30" s="106">
        <f>'Determination cell counts FP'!S8</f>
        <v>0.1063717911966241</v>
      </c>
    </row>
    <row r="31" spans="1:17">
      <c r="A31" s="39">
        <v>5</v>
      </c>
      <c r="B31" s="31">
        <v>80</v>
      </c>
      <c r="C31" s="31">
        <f t="shared" si="11"/>
        <v>440</v>
      </c>
      <c r="D31" s="13">
        <f t="shared" si="10"/>
        <v>7.333333333333333</v>
      </c>
      <c r="E31" s="106">
        <f>'Determination cell counts FP'!R9</f>
        <v>9.1243621310471354</v>
      </c>
      <c r="F31" s="106">
        <f>'Determination cell counts FP'!S9</f>
        <v>2.99034116025375E-2</v>
      </c>
    </row>
    <row r="32" spans="1:17">
      <c r="A32" s="39">
        <v>6</v>
      </c>
      <c r="B32" s="31">
        <v>80</v>
      </c>
      <c r="C32" s="31">
        <f t="shared" si="11"/>
        <v>520</v>
      </c>
      <c r="D32" s="13">
        <f t="shared" si="10"/>
        <v>8.6666666666666661</v>
      </c>
      <c r="E32" s="106">
        <f>'Determination cell counts FP'!R10</f>
        <v>9.4269750563972092</v>
      </c>
      <c r="F32" s="106">
        <f>'Determination cell counts FP'!S10</f>
        <v>1.3641861487310808E-2</v>
      </c>
    </row>
    <row r="33" spans="1:6">
      <c r="A33" s="39">
        <v>7</v>
      </c>
      <c r="B33" s="31">
        <v>80</v>
      </c>
      <c r="C33" s="31">
        <f t="shared" si="11"/>
        <v>600</v>
      </c>
      <c r="D33" s="13">
        <f t="shared" si="10"/>
        <v>10</v>
      </c>
      <c r="E33" s="106">
        <f>'Determination cell counts FP'!R11</f>
        <v>9.5195700391970082</v>
      </c>
      <c r="F33" s="106">
        <f>'Determination cell counts FP'!S11</f>
        <v>1.9050083511324947E-2</v>
      </c>
    </row>
    <row r="34" spans="1:6">
      <c r="A34" s="39">
        <v>8</v>
      </c>
      <c r="B34" s="31">
        <v>80</v>
      </c>
      <c r="C34" s="31">
        <f t="shared" si="11"/>
        <v>680</v>
      </c>
      <c r="D34" s="13">
        <f t="shared" si="10"/>
        <v>11.333333333333334</v>
      </c>
      <c r="E34" s="106">
        <f>'Determination cell counts FP'!R12</f>
        <v>9.5873100590043947</v>
      </c>
      <c r="F34" s="106">
        <f>'Determination cell counts FP'!S12</f>
        <v>2.6780541244090749E-2</v>
      </c>
    </row>
    <row r="35" spans="1:6">
      <c r="A35" s="39">
        <v>9</v>
      </c>
      <c r="B35" s="31">
        <v>80</v>
      </c>
      <c r="C35" s="31">
        <f t="shared" si="11"/>
        <v>760</v>
      </c>
      <c r="D35" s="13">
        <f>C35/60</f>
        <v>12.666666666666666</v>
      </c>
      <c r="E35" s="106">
        <f>'Determination cell counts FP'!R13</f>
        <v>9.5893317959549158</v>
      </c>
      <c r="F35" s="106">
        <f>'Determination cell counts FP'!S13</f>
        <v>3.0003662908994644E-2</v>
      </c>
    </row>
    <row r="36" spans="1:6">
      <c r="A36" s="39">
        <v>10</v>
      </c>
      <c r="B36" s="31">
        <v>80</v>
      </c>
      <c r="C36" s="31">
        <f t="shared" si="11"/>
        <v>840</v>
      </c>
      <c r="D36" s="13">
        <f t="shared" ref="D36:D40" si="12">C36/60</f>
        <v>14</v>
      </c>
      <c r="E36" s="106">
        <f>'Determination cell counts FP'!R14</f>
        <v>9.5592964300575556</v>
      </c>
      <c r="F36" s="106">
        <f>'Determination cell counts FP'!S14</f>
        <v>3.7955338081108361E-2</v>
      </c>
    </row>
    <row r="37" spans="1:6">
      <c r="A37" s="39">
        <v>11</v>
      </c>
      <c r="B37" s="31">
        <v>80</v>
      </c>
      <c r="C37" s="31">
        <f t="shared" si="11"/>
        <v>920</v>
      </c>
      <c r="D37" s="13">
        <f t="shared" si="12"/>
        <v>15.333333333333334</v>
      </c>
      <c r="E37" s="106">
        <f>'Determination cell counts FP'!R15</f>
        <v>9.4940194815318719</v>
      </c>
      <c r="F37" s="106">
        <f>'Determination cell counts FP'!S15</f>
        <v>2.864625559725574E-2</v>
      </c>
    </row>
    <row r="38" spans="1:6">
      <c r="A38" s="39">
        <v>12</v>
      </c>
      <c r="B38" s="31">
        <v>80</v>
      </c>
      <c r="C38" s="31">
        <f t="shared" si="11"/>
        <v>1000</v>
      </c>
      <c r="D38" s="13">
        <f t="shared" si="12"/>
        <v>16.666666666666668</v>
      </c>
      <c r="E38" s="106">
        <f>'Determination cell counts FP'!R16</f>
        <v>9.5287682406022292</v>
      </c>
      <c r="F38" s="106">
        <f>'Determination cell counts FP'!S16</f>
        <v>3.1053638822542973E-2</v>
      </c>
    </row>
    <row r="39" spans="1:6">
      <c r="A39" s="39">
        <v>13</v>
      </c>
      <c r="B39" s="31">
        <v>80</v>
      </c>
      <c r="C39" s="31">
        <f t="shared" si="11"/>
        <v>1080</v>
      </c>
      <c r="D39" s="13">
        <f t="shared" si="12"/>
        <v>18</v>
      </c>
      <c r="E39" s="106">
        <f>'Determination cell counts FP'!R17</f>
        <v>9.5320128703730571</v>
      </c>
      <c r="F39" s="106">
        <f>'Determination cell counts FP'!S17</f>
        <v>1.8995181285307482E-2</v>
      </c>
    </row>
    <row r="40" spans="1:6">
      <c r="A40" s="39">
        <v>14</v>
      </c>
      <c r="B40" s="31">
        <v>360</v>
      </c>
      <c r="C40" s="31">
        <f t="shared" si="11"/>
        <v>1440</v>
      </c>
      <c r="D40" s="13">
        <f t="shared" si="12"/>
        <v>24</v>
      </c>
      <c r="E40" s="106">
        <f>'Determination cell counts FP'!R18</f>
        <v>9.3955740206448155</v>
      </c>
      <c r="F40" s="106">
        <f>'Determination cell counts FP'!S18</f>
        <v>2.8255903926278733E-2</v>
      </c>
    </row>
    <row r="41" spans="1:6">
      <c r="A41" s="39">
        <v>15</v>
      </c>
      <c r="B41" s="31">
        <v>375</v>
      </c>
      <c r="C41" s="31">
        <f>C40+B41</f>
        <v>1815</v>
      </c>
      <c r="D41" s="13">
        <f>C41/60</f>
        <v>30.25</v>
      </c>
      <c r="E41" s="106">
        <f>'Determination cell counts FP'!R19</f>
        <v>9.2739830512909105</v>
      </c>
      <c r="F41" s="106">
        <f>'Determination cell counts FP'!S19</f>
        <v>4.4309493447691826E-2</v>
      </c>
    </row>
    <row r="42" spans="1:6">
      <c r="A42" s="39">
        <v>16</v>
      </c>
      <c r="B42" s="31">
        <v>1065</v>
      </c>
      <c r="C42" s="31">
        <f>C41+B42</f>
        <v>2880</v>
      </c>
      <c r="D42" s="13">
        <f t="shared" ref="D42" si="13">C42/60</f>
        <v>48</v>
      </c>
      <c r="E42" s="106">
        <f>'Determination cell counts FP'!R20</f>
        <v>8.8758481863421199</v>
      </c>
      <c r="F42" s="106">
        <f>'Determination cell counts FP'!S20</f>
        <v>0.29714951273942558</v>
      </c>
    </row>
  </sheetData>
  <mergeCells count="21">
    <mergeCell ref="O3:O4"/>
    <mergeCell ref="P3:P4"/>
    <mergeCell ref="Q3:Q4"/>
    <mergeCell ref="A24:A25"/>
    <mergeCell ref="B24:B25"/>
    <mergeCell ref="C24:C25"/>
    <mergeCell ref="D24:D25"/>
    <mergeCell ref="E24:E25"/>
    <mergeCell ref="F24:F25"/>
    <mergeCell ref="H3:H4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Fermentation</vt:lpstr>
      <vt:lpstr>Calculation</vt:lpstr>
      <vt:lpstr>Plate Count</vt:lpstr>
      <vt:lpstr>Flow cytometer</vt:lpstr>
      <vt:lpstr>Calibration F. prausnitzii</vt:lpstr>
      <vt:lpstr>Determination cell counts FP</vt:lpstr>
      <vt:lpstr>CalibrationB. hydrogenotrophica</vt:lpstr>
      <vt:lpstr>Determination cell counts BH</vt:lpstr>
      <vt:lpstr>Total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2016-04-13T14:10:36Z</dcterms:modified>
</cp:coreProperties>
</file>