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7" r:id="rId5"/>
    <sheet name="Determination cell counts" sheetId="28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6" r:id="rId20"/>
    <sheet name="Carbon recovery" sheetId="23" r:id="rId21"/>
  </sheets>
  <definedNames>
    <definedName name="_2012_05_10_FPRAU_fruc1" localSheetId="9">'CO2'!$I$108:$I$293</definedName>
    <definedName name="_2012_06_08_BIF_REC_OLI_1" localSheetId="9">'CO2'!$N$108:$N$201</definedName>
    <definedName name="_2012_06_08_BIF_REC_OLI_1" localSheetId="8">'H2'!$K$105:$K$244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28" l="1"/>
  <c r="H70" i="28"/>
  <c r="H69" i="28"/>
  <c r="H68" i="28"/>
  <c r="H67" i="28"/>
  <c r="H66" i="28"/>
  <c r="H65" i="28"/>
  <c r="H64" i="28"/>
  <c r="H63" i="28"/>
  <c r="H62" i="28"/>
  <c r="H61" i="28"/>
  <c r="H60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I8" i="28"/>
  <c r="J8" i="28"/>
  <c r="H8" i="28"/>
  <c r="H4" i="28"/>
  <c r="H5" i="28"/>
  <c r="I5" i="28"/>
  <c r="J5" i="28"/>
  <c r="H6" i="28"/>
  <c r="I6" i="28"/>
  <c r="J6" i="28"/>
  <c r="H7" i="28"/>
  <c r="I7" i="28"/>
  <c r="J7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Q3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4" i="8"/>
  <c r="P3" i="8"/>
  <c r="T3" i="8"/>
  <c r="C5" i="17"/>
  <c r="D5" i="17"/>
  <c r="E5" i="17"/>
  <c r="F5" i="17"/>
  <c r="G5" i="17"/>
  <c r="C6" i="17"/>
  <c r="D6" i="17"/>
  <c r="E6" i="17"/>
  <c r="F6" i="17"/>
  <c r="G6" i="17"/>
  <c r="C7" i="17"/>
  <c r="D7" i="17"/>
  <c r="E7" i="17"/>
  <c r="F7" i="17"/>
  <c r="G7" i="17"/>
  <c r="C8" i="17"/>
  <c r="D8" i="17"/>
  <c r="E8" i="17"/>
  <c r="F8" i="17"/>
  <c r="G8" i="17"/>
  <c r="C9" i="17"/>
  <c r="D9" i="17"/>
  <c r="E9" i="17"/>
  <c r="F9" i="17"/>
  <c r="G9" i="17"/>
  <c r="C10" i="17"/>
  <c r="D10" i="17"/>
  <c r="E10" i="17"/>
  <c r="F10" i="17"/>
  <c r="G10" i="17"/>
  <c r="C11" i="17"/>
  <c r="D11" i="17"/>
  <c r="E11" i="17"/>
  <c r="F11" i="17"/>
  <c r="G11" i="17"/>
  <c r="C12" i="17"/>
  <c r="D12" i="17"/>
  <c r="E12" i="17"/>
  <c r="F12" i="17"/>
  <c r="G12" i="17"/>
  <c r="C13" i="17"/>
  <c r="D13" i="17"/>
  <c r="E13" i="17"/>
  <c r="F13" i="17"/>
  <c r="G13" i="17"/>
  <c r="C14" i="17"/>
  <c r="D14" i="17"/>
  <c r="E14" i="17"/>
  <c r="F14" i="17"/>
  <c r="G14" i="17"/>
  <c r="C15" i="17"/>
  <c r="D15" i="17"/>
  <c r="E15" i="17"/>
  <c r="F15" i="17"/>
  <c r="G15" i="17"/>
  <c r="C16" i="17"/>
  <c r="D16" i="17"/>
  <c r="E16" i="17"/>
  <c r="F16" i="17"/>
  <c r="G16" i="17"/>
  <c r="C17" i="17"/>
  <c r="D17" i="17"/>
  <c r="E17" i="17"/>
  <c r="F17" i="17"/>
  <c r="G17" i="17"/>
  <c r="C18" i="17"/>
  <c r="D18" i="17"/>
  <c r="E18" i="17"/>
  <c r="F18" i="17"/>
  <c r="G18" i="17"/>
  <c r="C19" i="17"/>
  <c r="D19" i="17"/>
  <c r="E19" i="17"/>
  <c r="F19" i="17"/>
  <c r="G19" i="17"/>
  <c r="C20" i="17"/>
  <c r="D20" i="17"/>
  <c r="E20" i="17"/>
  <c r="F20" i="17"/>
  <c r="G20" i="17"/>
  <c r="C21" i="17"/>
  <c r="D21" i="17"/>
  <c r="E21" i="17"/>
  <c r="F21" i="17"/>
  <c r="G21" i="17"/>
  <c r="C22" i="17"/>
  <c r="D22" i="17"/>
  <c r="E22" i="17"/>
  <c r="F22" i="17"/>
  <c r="G22" i="17"/>
  <c r="C23" i="17"/>
  <c r="D23" i="17"/>
  <c r="E23" i="17"/>
  <c r="F23" i="17"/>
  <c r="G23" i="17"/>
  <c r="C24" i="17"/>
  <c r="D24" i="17"/>
  <c r="E24" i="17"/>
  <c r="F24" i="17"/>
  <c r="G24" i="17"/>
  <c r="C25" i="17"/>
  <c r="D25" i="17"/>
  <c r="E25" i="17"/>
  <c r="F25" i="17"/>
  <c r="G25" i="17"/>
  <c r="C26" i="17"/>
  <c r="D26" i="17"/>
  <c r="E26" i="17"/>
  <c r="F26" i="17"/>
  <c r="G26" i="17"/>
  <c r="C27" i="17"/>
  <c r="D27" i="17"/>
  <c r="E27" i="17"/>
  <c r="F27" i="17"/>
  <c r="G27" i="17"/>
  <c r="C28" i="17"/>
  <c r="D28" i="17"/>
  <c r="E28" i="17"/>
  <c r="F28" i="17"/>
  <c r="G28" i="17"/>
  <c r="C29" i="17"/>
  <c r="D29" i="17"/>
  <c r="E29" i="17"/>
  <c r="F29" i="17"/>
  <c r="G29" i="17"/>
  <c r="C30" i="17"/>
  <c r="D30" i="17"/>
  <c r="E30" i="17"/>
  <c r="F30" i="17"/>
  <c r="G30" i="17"/>
  <c r="C31" i="17"/>
  <c r="D31" i="17"/>
  <c r="E31" i="17"/>
  <c r="F31" i="17"/>
  <c r="G31" i="17"/>
  <c r="C32" i="17"/>
  <c r="D32" i="17"/>
  <c r="E32" i="17"/>
  <c r="F32" i="17"/>
  <c r="G32" i="17"/>
  <c r="C33" i="17"/>
  <c r="D33" i="17"/>
  <c r="E33" i="17"/>
  <c r="F33" i="17"/>
  <c r="G33" i="17"/>
  <c r="C34" i="17"/>
  <c r="D34" i="17"/>
  <c r="E34" i="17"/>
  <c r="F34" i="17"/>
  <c r="G34" i="17"/>
  <c r="C35" i="17"/>
  <c r="D35" i="17"/>
  <c r="E35" i="17"/>
  <c r="F35" i="17"/>
  <c r="G35" i="17"/>
  <c r="C36" i="17"/>
  <c r="D36" i="17"/>
  <c r="E36" i="17"/>
  <c r="F36" i="17"/>
  <c r="G36" i="17"/>
  <c r="C37" i="17"/>
  <c r="D37" i="17"/>
  <c r="E37" i="17"/>
  <c r="F37" i="17"/>
  <c r="G37" i="17"/>
  <c r="C38" i="17"/>
  <c r="D38" i="17"/>
  <c r="E38" i="17"/>
  <c r="F38" i="17"/>
  <c r="G38" i="17"/>
  <c r="C39" i="17"/>
  <c r="D39" i="17"/>
  <c r="E39" i="17"/>
  <c r="F39" i="17"/>
  <c r="G39" i="17"/>
  <c r="C40" i="17"/>
  <c r="D40" i="17"/>
  <c r="E40" i="17"/>
  <c r="F40" i="17"/>
  <c r="G40" i="17"/>
  <c r="C41" i="17"/>
  <c r="D41" i="17"/>
  <c r="E41" i="17"/>
  <c r="F41" i="17"/>
  <c r="G41" i="17"/>
  <c r="C42" i="17"/>
  <c r="D42" i="17"/>
  <c r="E42" i="17"/>
  <c r="F42" i="17"/>
  <c r="G42" i="17"/>
  <c r="C43" i="17"/>
  <c r="D43" i="17"/>
  <c r="E43" i="17"/>
  <c r="F43" i="17"/>
  <c r="G43" i="17"/>
  <c r="C44" i="17"/>
  <c r="D44" i="17"/>
  <c r="E44" i="17"/>
  <c r="F44" i="17"/>
  <c r="G44" i="17"/>
  <c r="C45" i="17"/>
  <c r="D45" i="17"/>
  <c r="E45" i="17"/>
  <c r="F45" i="17"/>
  <c r="G45" i="17"/>
  <c r="C46" i="17"/>
  <c r="D46" i="17"/>
  <c r="E46" i="17"/>
  <c r="F46" i="17"/>
  <c r="G46" i="17"/>
  <c r="C47" i="17"/>
  <c r="D47" i="17"/>
  <c r="E47" i="17"/>
  <c r="F47" i="17"/>
  <c r="G47" i="17"/>
  <c r="C48" i="17"/>
  <c r="D48" i="17"/>
  <c r="E48" i="17"/>
  <c r="F48" i="17"/>
  <c r="G48" i="17"/>
  <c r="C49" i="17"/>
  <c r="D49" i="17"/>
  <c r="E49" i="17"/>
  <c r="F49" i="17"/>
  <c r="G49" i="17"/>
  <c r="C50" i="17"/>
  <c r="D50" i="17"/>
  <c r="E50" i="17"/>
  <c r="F50" i="17"/>
  <c r="G50" i="17"/>
  <c r="C51" i="17"/>
  <c r="D51" i="17"/>
  <c r="E51" i="17"/>
  <c r="F51" i="17"/>
  <c r="G51" i="17"/>
  <c r="C52" i="17"/>
  <c r="D52" i="17"/>
  <c r="E52" i="17"/>
  <c r="F52" i="17"/>
  <c r="G52" i="17"/>
  <c r="C53" i="17"/>
  <c r="D53" i="17"/>
  <c r="E53" i="17"/>
  <c r="F53" i="17"/>
  <c r="G53" i="17"/>
  <c r="C54" i="17"/>
  <c r="D54" i="17"/>
  <c r="E54" i="17"/>
  <c r="F54" i="17"/>
  <c r="G54" i="17"/>
  <c r="C55" i="17"/>
  <c r="D55" i="17"/>
  <c r="E55" i="17"/>
  <c r="F55" i="17"/>
  <c r="G55" i="17"/>
  <c r="C56" i="17"/>
  <c r="D56" i="17"/>
  <c r="E56" i="17"/>
  <c r="F56" i="17"/>
  <c r="G56" i="17"/>
  <c r="C57" i="17"/>
  <c r="D57" i="17"/>
  <c r="E57" i="17"/>
  <c r="F57" i="17"/>
  <c r="G57" i="17"/>
  <c r="C58" i="17"/>
  <c r="D58" i="17"/>
  <c r="E58" i="17"/>
  <c r="F58" i="17"/>
  <c r="G58" i="17"/>
  <c r="C59" i="17"/>
  <c r="D59" i="17"/>
  <c r="E59" i="17"/>
  <c r="F59" i="17"/>
  <c r="G59" i="17"/>
  <c r="C60" i="17"/>
  <c r="D60" i="17"/>
  <c r="E60" i="17"/>
  <c r="F60" i="17"/>
  <c r="G60" i="17"/>
  <c r="C61" i="17"/>
  <c r="D61" i="17"/>
  <c r="E61" i="17"/>
  <c r="F61" i="17"/>
  <c r="G61" i="17"/>
  <c r="C62" i="17"/>
  <c r="D62" i="17"/>
  <c r="E62" i="17"/>
  <c r="F62" i="17"/>
  <c r="G62" i="17"/>
  <c r="C63" i="17"/>
  <c r="D63" i="17"/>
  <c r="E63" i="17"/>
  <c r="F63" i="17"/>
  <c r="G63" i="17"/>
  <c r="C64" i="17"/>
  <c r="D64" i="17"/>
  <c r="E64" i="17"/>
  <c r="F64" i="17"/>
  <c r="G64" i="17"/>
  <c r="C65" i="17"/>
  <c r="D65" i="17"/>
  <c r="E65" i="17"/>
  <c r="F65" i="17"/>
  <c r="G65" i="17"/>
  <c r="C66" i="17"/>
  <c r="D66" i="17"/>
  <c r="E66" i="17"/>
  <c r="F66" i="17"/>
  <c r="G66" i="17"/>
  <c r="C67" i="17"/>
  <c r="D67" i="17"/>
  <c r="E67" i="17"/>
  <c r="F67" i="17"/>
  <c r="G67" i="17"/>
  <c r="C68" i="17"/>
  <c r="D68" i="17"/>
  <c r="E68" i="17"/>
  <c r="F68" i="17"/>
  <c r="G68" i="17"/>
  <c r="C69" i="17"/>
  <c r="D69" i="17"/>
  <c r="E69" i="17"/>
  <c r="F69" i="17"/>
  <c r="G69" i="17"/>
  <c r="C70" i="17"/>
  <c r="D70" i="17"/>
  <c r="E70" i="17"/>
  <c r="F70" i="17"/>
  <c r="G70" i="17"/>
  <c r="C71" i="17"/>
  <c r="D71" i="17"/>
  <c r="E71" i="17"/>
  <c r="F71" i="17"/>
  <c r="G71" i="17"/>
  <c r="C72" i="17"/>
  <c r="D72" i="17"/>
  <c r="E72" i="17"/>
  <c r="F72" i="17"/>
  <c r="G72" i="17"/>
  <c r="C73" i="17"/>
  <c r="D73" i="17"/>
  <c r="E73" i="17"/>
  <c r="F73" i="17"/>
  <c r="G73" i="17"/>
  <c r="C74" i="17"/>
  <c r="D74" i="17"/>
  <c r="E74" i="17"/>
  <c r="F74" i="17"/>
  <c r="G74" i="17"/>
  <c r="C75" i="17"/>
  <c r="D75" i="17"/>
  <c r="E75" i="17"/>
  <c r="F75" i="17"/>
  <c r="G75" i="17"/>
  <c r="C76" i="17"/>
  <c r="D76" i="17"/>
  <c r="E76" i="17"/>
  <c r="F76" i="17"/>
  <c r="G76" i="17"/>
  <c r="C77" i="17"/>
  <c r="D77" i="17"/>
  <c r="E77" i="17"/>
  <c r="F77" i="17"/>
  <c r="G77" i="17"/>
  <c r="C78" i="17"/>
  <c r="D78" i="17"/>
  <c r="E78" i="17"/>
  <c r="F78" i="17"/>
  <c r="G78" i="17"/>
  <c r="C79" i="17"/>
  <c r="D79" i="17"/>
  <c r="E79" i="17"/>
  <c r="F79" i="17"/>
  <c r="G79" i="17"/>
  <c r="C80" i="17"/>
  <c r="D80" i="17"/>
  <c r="E80" i="17"/>
  <c r="F80" i="17"/>
  <c r="G80" i="17"/>
  <c r="C81" i="17"/>
  <c r="D81" i="17"/>
  <c r="E81" i="17"/>
  <c r="F81" i="17"/>
  <c r="G81" i="17"/>
  <c r="C82" i="17"/>
  <c r="D82" i="17"/>
  <c r="E82" i="17"/>
  <c r="F82" i="17"/>
  <c r="G82" i="17"/>
  <c r="C83" i="17"/>
  <c r="D83" i="17"/>
  <c r="E83" i="17"/>
  <c r="F83" i="17"/>
  <c r="G83" i="17"/>
  <c r="C84" i="17"/>
  <c r="D84" i="17"/>
  <c r="E84" i="17"/>
  <c r="F84" i="17"/>
  <c r="G84" i="17"/>
  <c r="C85" i="17"/>
  <c r="D85" i="17"/>
  <c r="E85" i="17"/>
  <c r="F85" i="17"/>
  <c r="G85" i="17"/>
  <c r="C86" i="17"/>
  <c r="D86" i="17"/>
  <c r="E86" i="17"/>
  <c r="F86" i="17"/>
  <c r="G86" i="17"/>
  <c r="C87" i="17"/>
  <c r="D87" i="17"/>
  <c r="E87" i="17"/>
  <c r="F87" i="17"/>
  <c r="G87" i="17"/>
  <c r="C88" i="17"/>
  <c r="D88" i="17"/>
  <c r="E88" i="17"/>
  <c r="F88" i="17"/>
  <c r="G88" i="17"/>
  <c r="C89" i="17"/>
  <c r="D89" i="17"/>
  <c r="E89" i="17"/>
  <c r="F89" i="17"/>
  <c r="G89" i="17"/>
  <c r="C90" i="17"/>
  <c r="D90" i="17"/>
  <c r="E90" i="17"/>
  <c r="F90" i="17"/>
  <c r="G90" i="17"/>
  <c r="C91" i="17"/>
  <c r="D91" i="17"/>
  <c r="E91" i="17"/>
  <c r="F91" i="17"/>
  <c r="G91" i="17"/>
  <c r="C92" i="17"/>
  <c r="D92" i="17"/>
  <c r="E92" i="17"/>
  <c r="F92" i="17"/>
  <c r="G92" i="17"/>
  <c r="C93" i="17"/>
  <c r="D93" i="17"/>
  <c r="E93" i="17"/>
  <c r="F93" i="17"/>
  <c r="G93" i="17"/>
  <c r="C94" i="17"/>
  <c r="D94" i="17"/>
  <c r="E94" i="17"/>
  <c r="F94" i="17"/>
  <c r="G94" i="17"/>
  <c r="C95" i="17"/>
  <c r="D95" i="17"/>
  <c r="E95" i="17"/>
  <c r="F95" i="17"/>
  <c r="G95" i="17"/>
  <c r="C96" i="17"/>
  <c r="D96" i="17"/>
  <c r="E96" i="17"/>
  <c r="F96" i="17"/>
  <c r="G96" i="17"/>
  <c r="C97" i="17"/>
  <c r="D97" i="17"/>
  <c r="E97" i="17"/>
  <c r="F97" i="17"/>
  <c r="G97" i="17"/>
  <c r="C98" i="17"/>
  <c r="D98" i="17"/>
  <c r="E98" i="17"/>
  <c r="F98" i="17"/>
  <c r="G98" i="17"/>
  <c r="C99" i="17"/>
  <c r="D99" i="17"/>
  <c r="E99" i="17"/>
  <c r="F99" i="17"/>
  <c r="G99" i="17"/>
  <c r="C100" i="17"/>
  <c r="D100" i="17"/>
  <c r="E100" i="17"/>
  <c r="F100" i="17"/>
  <c r="G100" i="17"/>
  <c r="C101" i="17"/>
  <c r="D101" i="17"/>
  <c r="E101" i="17"/>
  <c r="F101" i="17"/>
  <c r="G101" i="17"/>
  <c r="B7" i="23"/>
  <c r="D25" i="23"/>
  <c r="D26" i="23"/>
  <c r="E26" i="23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B25" i="28"/>
  <c r="B24" i="28"/>
  <c r="G12" i="27"/>
  <c r="G4" i="27"/>
  <c r="H4" i="22"/>
  <c r="H20" i="22"/>
  <c r="K5" i="28"/>
  <c r="L5" i="28"/>
  <c r="M5" i="28"/>
  <c r="F3" i="2"/>
  <c r="F4" i="2"/>
  <c r="I5" i="2"/>
  <c r="I3" i="2"/>
  <c r="J3" i="2"/>
  <c r="K3" i="2"/>
  <c r="I4" i="2"/>
  <c r="J4" i="2"/>
  <c r="K4" i="2"/>
  <c r="Q5" i="28"/>
  <c r="P5" i="28"/>
  <c r="R5" i="28"/>
  <c r="O5" i="28"/>
  <c r="S5" i="28"/>
  <c r="K6" i="28"/>
  <c r="L6" i="28"/>
  <c r="M6" i="28"/>
  <c r="O6" i="28"/>
  <c r="F5" i="2"/>
  <c r="I6" i="2"/>
  <c r="J5" i="2"/>
  <c r="K5" i="2"/>
  <c r="S6" i="28"/>
  <c r="K7" i="28"/>
  <c r="L7" i="28"/>
  <c r="M7" i="28"/>
  <c r="O7" i="28"/>
  <c r="F6" i="2"/>
  <c r="I7" i="2"/>
  <c r="J6" i="2"/>
  <c r="K6" i="2"/>
  <c r="S7" i="28"/>
  <c r="K8" i="28"/>
  <c r="L8" i="28"/>
  <c r="M8" i="28"/>
  <c r="O8" i="28"/>
  <c r="F7" i="2"/>
  <c r="I8" i="2"/>
  <c r="J7" i="2"/>
  <c r="K7" i="2"/>
  <c r="S8" i="28"/>
  <c r="L9" i="28"/>
  <c r="K9" i="28"/>
  <c r="M9" i="28"/>
  <c r="O9" i="28"/>
  <c r="F8" i="2"/>
  <c r="I9" i="2"/>
  <c r="J8" i="2"/>
  <c r="K8" i="2"/>
  <c r="S9" i="28"/>
  <c r="M10" i="28"/>
  <c r="K10" i="28"/>
  <c r="L10" i="28"/>
  <c r="O10" i="28"/>
  <c r="F9" i="2"/>
  <c r="I10" i="2"/>
  <c r="J9" i="2"/>
  <c r="K9" i="2"/>
  <c r="S10" i="28"/>
  <c r="K11" i="28"/>
  <c r="L11" i="28"/>
  <c r="M11" i="28"/>
  <c r="O11" i="28"/>
  <c r="F10" i="2"/>
  <c r="I11" i="2"/>
  <c r="J10" i="2"/>
  <c r="K10" i="2"/>
  <c r="S11" i="28"/>
  <c r="K12" i="28"/>
  <c r="L12" i="28"/>
  <c r="M12" i="28"/>
  <c r="O12" i="28"/>
  <c r="F11" i="2"/>
  <c r="I12" i="2"/>
  <c r="J11" i="2"/>
  <c r="K11" i="2"/>
  <c r="S12" i="28"/>
  <c r="K13" i="28"/>
  <c r="L13" i="28"/>
  <c r="M13" i="28"/>
  <c r="O13" i="28"/>
  <c r="F12" i="2"/>
  <c r="I13" i="2"/>
  <c r="J12" i="2"/>
  <c r="K12" i="2"/>
  <c r="S13" i="28"/>
  <c r="K14" i="28"/>
  <c r="L14" i="28"/>
  <c r="M14" i="28"/>
  <c r="O14" i="28"/>
  <c r="F13" i="2"/>
  <c r="I14" i="2"/>
  <c r="J13" i="2"/>
  <c r="K13" i="2"/>
  <c r="S14" i="28"/>
  <c r="K15" i="28"/>
  <c r="L15" i="28"/>
  <c r="M15" i="28"/>
  <c r="O15" i="28"/>
  <c r="F14" i="2"/>
  <c r="I15" i="2"/>
  <c r="J14" i="2"/>
  <c r="K14" i="2"/>
  <c r="S15" i="28"/>
  <c r="K16" i="28"/>
  <c r="L16" i="28"/>
  <c r="M16" i="28"/>
  <c r="O16" i="28"/>
  <c r="F15" i="2"/>
  <c r="I16" i="2"/>
  <c r="J15" i="2"/>
  <c r="K15" i="2"/>
  <c r="S16" i="28"/>
  <c r="K17" i="28"/>
  <c r="L17" i="28"/>
  <c r="M17" i="28"/>
  <c r="O17" i="28"/>
  <c r="F16" i="2"/>
  <c r="I17" i="2"/>
  <c r="J16" i="2"/>
  <c r="K16" i="2"/>
  <c r="S17" i="28"/>
  <c r="K18" i="28"/>
  <c r="L18" i="28"/>
  <c r="M18" i="28"/>
  <c r="O18" i="28"/>
  <c r="F17" i="2"/>
  <c r="I18" i="2"/>
  <c r="J17" i="2"/>
  <c r="K17" i="2"/>
  <c r="S18" i="28"/>
  <c r="K19" i="28"/>
  <c r="L19" i="28"/>
  <c r="M19" i="28"/>
  <c r="O19" i="28"/>
  <c r="F18" i="2"/>
  <c r="I19" i="2"/>
  <c r="J18" i="2"/>
  <c r="K18" i="2"/>
  <c r="S19" i="28"/>
  <c r="K20" i="28"/>
  <c r="L20" i="28"/>
  <c r="M20" i="28"/>
  <c r="O20" i="28"/>
  <c r="F19" i="2"/>
  <c r="I20" i="2"/>
  <c r="J19" i="2"/>
  <c r="K19" i="2"/>
  <c r="S20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K4" i="28"/>
  <c r="L4" i="28"/>
  <c r="M4" i="28"/>
  <c r="Q4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4" i="28"/>
  <c r="O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4" i="28"/>
  <c r="D48" i="27"/>
  <c r="G28" i="27"/>
  <c r="G29" i="27"/>
  <c r="G33" i="27"/>
  <c r="G27" i="27"/>
  <c r="H27" i="27"/>
  <c r="O13" i="27"/>
  <c r="O14" i="27"/>
  <c r="O15" i="27"/>
  <c r="O16" i="27"/>
  <c r="O17" i="27"/>
  <c r="O18" i="27"/>
  <c r="O19" i="27"/>
  <c r="K19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G11" i="27"/>
  <c r="G13" i="27"/>
  <c r="G14" i="27"/>
  <c r="G15" i="27"/>
  <c r="G16" i="27"/>
  <c r="G17" i="27"/>
  <c r="G18" i="27"/>
  <c r="G19" i="27"/>
  <c r="O12" i="27"/>
  <c r="O11" i="27"/>
  <c r="R19" i="28"/>
  <c r="S4" i="28"/>
  <c r="Q6" i="28"/>
  <c r="P6" i="28"/>
  <c r="F40" i="27"/>
  <c r="R4" i="28"/>
  <c r="G23" i="27"/>
  <c r="G24" i="27"/>
  <c r="G25" i="27"/>
  <c r="G26" i="27"/>
  <c r="G30" i="27"/>
  <c r="G31" i="27"/>
  <c r="G32" i="27"/>
  <c r="G34" i="27"/>
  <c r="G35" i="27"/>
  <c r="G36" i="27"/>
  <c r="G37" i="27"/>
  <c r="G38" i="27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20" i="28"/>
  <c r="H23" i="27"/>
  <c r="I23" i="27"/>
  <c r="J23" i="27"/>
  <c r="K23" i="27"/>
  <c r="L23" i="27"/>
  <c r="H24" i="27"/>
  <c r="K24" i="27"/>
  <c r="H25" i="27"/>
  <c r="K25" i="27"/>
  <c r="H26" i="27"/>
  <c r="K26" i="27"/>
  <c r="K27" i="27"/>
  <c r="H28" i="27"/>
  <c r="K28" i="27"/>
  <c r="H29" i="27"/>
  <c r="K29" i="27"/>
  <c r="H30" i="27"/>
  <c r="K30" i="27"/>
  <c r="H31" i="27"/>
  <c r="K31" i="27"/>
  <c r="H32" i="27"/>
  <c r="K32" i="27"/>
  <c r="H33" i="27"/>
  <c r="K33" i="27"/>
  <c r="H34" i="27"/>
  <c r="K34" i="27"/>
  <c r="H35" i="27"/>
  <c r="K35" i="27"/>
  <c r="H36" i="27"/>
  <c r="H37" i="27"/>
  <c r="K37" i="27"/>
  <c r="H38" i="27"/>
  <c r="K38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U4" i="22"/>
  <c r="O5" i="27"/>
  <c r="G5" i="27"/>
  <c r="P5" i="27"/>
  <c r="R5" i="27"/>
  <c r="O6" i="27"/>
  <c r="G6" i="27"/>
  <c r="P6" i="27"/>
  <c r="R6" i="27"/>
  <c r="O7" i="27"/>
  <c r="G7" i="27"/>
  <c r="P7" i="27"/>
  <c r="R7" i="27"/>
  <c r="O8" i="27"/>
  <c r="G8" i="27"/>
  <c r="P8" i="27"/>
  <c r="R8" i="27"/>
  <c r="G9" i="27"/>
  <c r="O9" i="27"/>
  <c r="P9" i="27"/>
  <c r="R9" i="27"/>
  <c r="G10" i="27"/>
  <c r="O10" i="27"/>
  <c r="P10" i="27"/>
  <c r="R10" i="27"/>
  <c r="P11" i="27"/>
  <c r="R11" i="27"/>
  <c r="P12" i="27"/>
  <c r="R12" i="27"/>
  <c r="P13" i="27"/>
  <c r="R13" i="27"/>
  <c r="P14" i="27"/>
  <c r="R14" i="27"/>
  <c r="P15" i="27"/>
  <c r="R15" i="27"/>
  <c r="P16" i="27"/>
  <c r="R16" i="27"/>
  <c r="P17" i="27"/>
  <c r="R17" i="27"/>
  <c r="P18" i="27"/>
  <c r="R18" i="27"/>
  <c r="P19" i="27"/>
  <c r="R19" i="27"/>
  <c r="K4" i="27"/>
  <c r="O4" i="27"/>
  <c r="P4" i="27"/>
  <c r="R4" i="27"/>
  <c r="L4" i="22"/>
  <c r="P4" i="22"/>
  <c r="Q4" i="22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23" i="27"/>
  <c r="Q11" i="27"/>
  <c r="Q12" i="27"/>
  <c r="Q13" i="27"/>
  <c r="Q14" i="27"/>
  <c r="Q15" i="27"/>
  <c r="Q16" i="27"/>
  <c r="Q17" i="27"/>
  <c r="Q18" i="27"/>
  <c r="Q19" i="27"/>
  <c r="Q4" i="27"/>
  <c r="Q5" i="27"/>
  <c r="Q6" i="27"/>
  <c r="Q7" i="27"/>
  <c r="Q8" i="27"/>
  <c r="Q9" i="27"/>
  <c r="Q10" i="2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D3" i="5"/>
  <c r="I20" i="4"/>
  <c r="J20" i="4"/>
  <c r="D3" i="4"/>
  <c r="L20" i="22"/>
  <c r="P20" i="22"/>
  <c r="Q20" i="22"/>
  <c r="R20" i="22"/>
  <c r="S20" i="22"/>
  <c r="T20" i="22"/>
  <c r="U20" i="22"/>
  <c r="V20" i="22"/>
  <c r="W20" i="22"/>
  <c r="X20" i="22"/>
  <c r="D3" i="3"/>
  <c r="F20" i="2"/>
  <c r="C18" i="2"/>
  <c r="C19" i="2"/>
  <c r="C20" i="2"/>
  <c r="D20" i="2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B9" i="23"/>
  <c r="B10" i="23"/>
  <c r="L41" i="8"/>
  <c r="L25" i="8"/>
  <c r="B6" i="23"/>
  <c r="M41" i="8"/>
  <c r="M25" i="8"/>
  <c r="C6" i="23"/>
  <c r="M20" i="8"/>
  <c r="M4" i="8"/>
  <c r="C5" i="23"/>
  <c r="L20" i="8"/>
  <c r="L4" i="8"/>
  <c r="B5" i="23"/>
  <c r="U20" i="8"/>
  <c r="U4" i="8"/>
  <c r="C4" i="23"/>
  <c r="T20" i="8"/>
  <c r="T4" i="8"/>
  <c r="B4" i="23"/>
  <c r="Q20" i="8"/>
  <c r="Q4" i="8"/>
  <c r="C3" i="23"/>
  <c r="B3" i="23"/>
  <c r="I20" i="8"/>
  <c r="I4" i="8"/>
  <c r="C2" i="23"/>
  <c r="H20" i="8"/>
  <c r="H4" i="8"/>
  <c r="B2" i="23"/>
  <c r="H41" i="8"/>
  <c r="I41" i="8"/>
  <c r="P41" i="8"/>
  <c r="Q41" i="8"/>
  <c r="G20" i="5"/>
  <c r="Q20" i="3"/>
  <c r="R20" i="3"/>
  <c r="S20" i="3"/>
  <c r="L40" i="8"/>
  <c r="L19" i="8"/>
  <c r="T19" i="8"/>
  <c r="H19" i="8"/>
  <c r="B12" i="23"/>
  <c r="H5" i="22"/>
  <c r="U5" i="22"/>
  <c r="L5" i="22"/>
  <c r="V5" i="22"/>
  <c r="P5" i="22"/>
  <c r="W5" i="22"/>
  <c r="X5" i="22"/>
  <c r="H6" i="22"/>
  <c r="U6" i="22"/>
  <c r="L6" i="22"/>
  <c r="V6" i="22"/>
  <c r="P6" i="22"/>
  <c r="W6" i="22"/>
  <c r="X6" i="22"/>
  <c r="H7" i="22"/>
  <c r="U7" i="22"/>
  <c r="L7" i="22"/>
  <c r="V7" i="22"/>
  <c r="P7" i="22"/>
  <c r="W7" i="22"/>
  <c r="X7" i="22"/>
  <c r="H8" i="22"/>
  <c r="U8" i="22"/>
  <c r="L8" i="22"/>
  <c r="V8" i="22"/>
  <c r="P8" i="22"/>
  <c r="W8" i="22"/>
  <c r="X8" i="22"/>
  <c r="H9" i="22"/>
  <c r="U9" i="22"/>
  <c r="L9" i="22"/>
  <c r="V9" i="22"/>
  <c r="P9" i="22"/>
  <c r="W9" i="22"/>
  <c r="X9" i="22"/>
  <c r="H10" i="22"/>
  <c r="U10" i="22"/>
  <c r="L10" i="22"/>
  <c r="V10" i="22"/>
  <c r="P10" i="22"/>
  <c r="W10" i="22"/>
  <c r="X10" i="22"/>
  <c r="H11" i="22"/>
  <c r="U11" i="22"/>
  <c r="L11" i="22"/>
  <c r="V11" i="22"/>
  <c r="P11" i="22"/>
  <c r="W11" i="22"/>
  <c r="X11" i="22"/>
  <c r="H12" i="22"/>
  <c r="U12" i="22"/>
  <c r="L12" i="22"/>
  <c r="V12" i="22"/>
  <c r="P12" i="22"/>
  <c r="W12" i="22"/>
  <c r="X12" i="22"/>
  <c r="H13" i="22"/>
  <c r="U13" i="22"/>
  <c r="L13" i="22"/>
  <c r="V13" i="22"/>
  <c r="P13" i="22"/>
  <c r="W13" i="22"/>
  <c r="X13" i="22"/>
  <c r="H14" i="22"/>
  <c r="U14" i="22"/>
  <c r="L14" i="22"/>
  <c r="V14" i="22"/>
  <c r="P14" i="22"/>
  <c r="W14" i="22"/>
  <c r="X14" i="22"/>
  <c r="H15" i="22"/>
  <c r="U15" i="22"/>
  <c r="L15" i="22"/>
  <c r="V15" i="22"/>
  <c r="P15" i="22"/>
  <c r="W15" i="22"/>
  <c r="X15" i="22"/>
  <c r="H16" i="22"/>
  <c r="U16" i="22"/>
  <c r="L16" i="22"/>
  <c r="V16" i="22"/>
  <c r="P16" i="22"/>
  <c r="W16" i="22"/>
  <c r="X16" i="22"/>
  <c r="H17" i="22"/>
  <c r="U17" i="22"/>
  <c r="L17" i="22"/>
  <c r="V17" i="22"/>
  <c r="P17" i="22"/>
  <c r="W17" i="22"/>
  <c r="X17" i="22"/>
  <c r="H18" i="22"/>
  <c r="U18" i="22"/>
  <c r="L18" i="22"/>
  <c r="V18" i="22"/>
  <c r="P18" i="22"/>
  <c r="W18" i="22"/>
  <c r="X18" i="22"/>
  <c r="H19" i="22"/>
  <c r="U19" i="22"/>
  <c r="L19" i="22"/>
  <c r="V19" i="22"/>
  <c r="P19" i="22"/>
  <c r="W19" i="22"/>
  <c r="X19" i="22"/>
  <c r="V4" i="22"/>
  <c r="W4" i="22"/>
  <c r="X4" i="22"/>
  <c r="C16" i="23"/>
  <c r="C17" i="23"/>
  <c r="C18" i="23"/>
  <c r="C20" i="23"/>
  <c r="C22" i="23"/>
  <c r="C25" i="23"/>
  <c r="C19" i="23"/>
  <c r="C26" i="23"/>
  <c r="C23" i="23"/>
  <c r="M40" i="8"/>
  <c r="M19" i="8"/>
  <c r="U19" i="8"/>
  <c r="Q19" i="8"/>
  <c r="I19" i="8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G7" i="19"/>
  <c r="D21" i="23"/>
  <c r="D20" i="23"/>
  <c r="D18" i="23"/>
  <c r="D19" i="23"/>
  <c r="D17" i="23"/>
  <c r="D16" i="2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T13" i="8"/>
  <c r="C21" i="23"/>
  <c r="D24" i="23"/>
  <c r="C24" i="23"/>
  <c r="D22" i="2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L39" i="8"/>
  <c r="M39" i="8"/>
  <c r="P39" i="8"/>
  <c r="Q39" i="8"/>
  <c r="H40" i="8"/>
  <c r="I40" i="8"/>
  <c r="P40" i="8"/>
  <c r="Q40" i="8"/>
  <c r="H14" i="8"/>
  <c r="I14" i="8"/>
  <c r="L14" i="8"/>
  <c r="M14" i="8"/>
  <c r="Q14" i="8"/>
  <c r="T14" i="8"/>
  <c r="U14" i="8"/>
  <c r="H15" i="8"/>
  <c r="I15" i="8"/>
  <c r="L15" i="8"/>
  <c r="M15" i="8"/>
  <c r="Q15" i="8"/>
  <c r="T15" i="8"/>
  <c r="U15" i="8"/>
  <c r="H16" i="8"/>
  <c r="I16" i="8"/>
  <c r="L16" i="8"/>
  <c r="M16" i="8"/>
  <c r="Q16" i="8"/>
  <c r="T16" i="8"/>
  <c r="U16" i="8"/>
  <c r="H17" i="8"/>
  <c r="I17" i="8"/>
  <c r="L17" i="8"/>
  <c r="M17" i="8"/>
  <c r="Q17" i="8"/>
  <c r="T17" i="8"/>
  <c r="U17" i="8"/>
  <c r="H18" i="8"/>
  <c r="I18" i="8"/>
  <c r="L18" i="8"/>
  <c r="M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4" i="8"/>
  <c r="L24" i="8"/>
  <c r="H24" i="8"/>
  <c r="U3" i="8"/>
  <c r="M3" i="8"/>
  <c r="Q24" i="8"/>
  <c r="M24" i="8"/>
  <c r="I24" i="8"/>
  <c r="L3" i="8"/>
  <c r="G3" i="5"/>
  <c r="P25" i="8"/>
  <c r="I25" i="8"/>
  <c r="Q25" i="8"/>
  <c r="H25" i="8"/>
  <c r="G4" i="5"/>
  <c r="L26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L27" i="8"/>
  <c r="Q27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L28" i="8"/>
  <c r="H7" i="8"/>
  <c r="G6" i="5"/>
  <c r="U8" i="8"/>
  <c r="M8" i="8"/>
  <c r="I29" i="8"/>
  <c r="P29" i="8"/>
  <c r="L29" i="8"/>
  <c r="H8" i="8"/>
  <c r="H29" i="8"/>
  <c r="G7" i="5"/>
  <c r="T8" i="8"/>
  <c r="Q8" i="8"/>
  <c r="M29" i="8"/>
  <c r="T9" i="8"/>
  <c r="L8" i="8"/>
  <c r="I8" i="8"/>
  <c r="Q29" i="8"/>
  <c r="L9" i="8"/>
  <c r="M30" i="8"/>
  <c r="U9" i="8"/>
  <c r="M9" i="8"/>
  <c r="H30" i="8"/>
  <c r="I30" i="8"/>
  <c r="P30" i="8"/>
  <c r="H9" i="8"/>
  <c r="Q9" i="8"/>
  <c r="L30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M10" i="8"/>
  <c r="L31" i="8"/>
  <c r="I31" i="8"/>
  <c r="H10" i="8"/>
  <c r="P32" i="8"/>
  <c r="L32" i="8"/>
  <c r="T11" i="8"/>
  <c r="L11" i="8"/>
  <c r="I32" i="8"/>
  <c r="Q11" i="8"/>
  <c r="I11" i="8"/>
  <c r="G10" i="5"/>
  <c r="M32" i="8"/>
  <c r="H32" i="8"/>
  <c r="Q32" i="8"/>
  <c r="U11" i="8"/>
  <c r="M11" i="8"/>
  <c r="H11" i="8"/>
  <c r="Q33" i="8"/>
  <c r="U12" i="8"/>
  <c r="M12" i="8"/>
  <c r="H12" i="8"/>
  <c r="M33" i="8"/>
  <c r="H33" i="8"/>
  <c r="G11" i="5"/>
  <c r="I33" i="8"/>
  <c r="Q12" i="8"/>
  <c r="I12" i="8"/>
  <c r="P33" i="8"/>
  <c r="L33" i="8"/>
  <c r="T12" i="8"/>
  <c r="L12" i="8"/>
  <c r="G12" i="5"/>
  <c r="H34" i="8"/>
  <c r="H13" i="8"/>
  <c r="U13" i="8"/>
  <c r="L34" i="8"/>
  <c r="L13" i="8"/>
  <c r="Q34" i="8"/>
  <c r="I34" i="8"/>
  <c r="Q13" i="8"/>
  <c r="I13" i="8"/>
  <c r="P34" i="8"/>
  <c r="M34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<sst xmlns="http://schemas.openxmlformats.org/spreadsheetml/2006/main" count="589" uniqueCount="272">
  <si>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</si>
  <si>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</si>
  <si>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</si>
  <si>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</si>
  <si>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</si>
  <si>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</si>
  <si>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</si>
  <si>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</si>
  <si>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</si>
  <si>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</si>
  <si>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</si>
  <si>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</si>
  <si>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</si>
  <si>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</si>
  <si>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</si>
  <si>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</si>
  <si>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</si>
  <si>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</si>
  <si>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</si>
  <si>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</si>
  <si>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</si>
  <si>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</si>
  <si>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</si>
  <si>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</si>
  <si>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</si>
  <si>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</si>
  <si>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</si>
  <si>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</si>
  <si>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</si>
  <si>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</si>
  <si>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</si>
  <si>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</si>
  <si>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</si>
  <si>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</si>
  <si>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</si>
  <si>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</si>
  <si>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</si>
  <si>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</si>
  <si>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</si>
  <si>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</si>
  <si>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</si>
  <si>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</si>
  <si>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</si>
  <si>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</si>
  <si>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</si>
  <si>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</si>
  <si>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</si>
  <si>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</si>
  <si>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</si>
  <si>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</si>
  <si>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</si>
  <si>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</si>
  <si>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</si>
  <si>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</si>
  <si>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</si>
  <si>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</si>
  <si>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</si>
  <si>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</si>
  <si>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</si>
  <si>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</si>
  <si>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</si>
  <si>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</si>
  <si>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</si>
  <si>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</si>
  <si>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</si>
  <si>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</si>
  <si>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</si>
  <si>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</si>
  <si>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</si>
  <si>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</si>
  <si>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</si>
  <si>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</si>
  <si>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</si>
  <si>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</si>
  <si>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</si>
  <si>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</si>
  <si>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</si>
  <si>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</si>
  <si>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</si>
  <si>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</si>
  <si>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</si>
  <si>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</si>
  <si>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</si>
  <si>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</si>
  <si>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</si>
  <si>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</si>
  <si>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</si>
  <si>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</si>
  <si>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Na-acetate trihydrate (50 mM)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</si>
  <si>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</si>
  <si>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</si>
  <si>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</si>
  <si>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</si>
  <si>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</si>
  <si>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</si>
  <si>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</si>
  <si>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</si>
  <si>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</si>
  <si>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</si>
  <si>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</si>
  <si>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</si>
  <si>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</si>
  <si>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</si>
  <si>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</si>
  <si>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</si>
  <si>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</si>
  <si>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</si>
  <si>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</si>
  <si>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</si>
  <si>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</si>
  <si>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</si>
  <si>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</si>
  <si>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</si>
  <si>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</si>
  <si>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</si>
  <si>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</si>
  <si>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</si>
  <si>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Roseburia intestinalis 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</si>
  <si>
    <t>x</t>
  </si>
  <si>
    <t>2x</t>
  </si>
  <si>
    <t>z</t>
  </si>
  <si>
    <t>2x-z</t>
  </si>
  <si>
    <t>y</t>
  </si>
  <si>
    <t>(2x-2+Y)/2</t>
  </si>
  <si>
    <t>2x NAD + H2 wordt NADH + H+</t>
  </si>
  <si>
    <t>2x-z+y NADH + H+ wordt NAD + H2</t>
  </si>
  <si>
    <t>Theoretical</t>
  </si>
  <si>
    <t>Experimental</t>
  </si>
  <si>
    <t>2x-z-y</t>
  </si>
  <si>
    <t>f</t>
  </si>
  <si>
    <t>2x-z -f</t>
  </si>
  <si>
    <t>LN(Count/mL)</t>
  </si>
  <si>
    <t>D - Fructose (50 mM)</t>
  </si>
  <si>
    <t>D-Fructose</t>
  </si>
  <si>
    <t>D Fructose</t>
  </si>
  <si>
    <t>D-Fructose consumed</t>
  </si>
  <si>
    <t>10 ml of a 0,1 g/l stock solution</t>
  </si>
  <si>
    <t>2x-z-y-f</t>
  </si>
  <si>
    <t>2x-z+y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</si>
  <si>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</si>
  <si>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</si>
  <si>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</si>
  <si>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t>13,5 g in 100 ml MilliQ,H20 per 1.5l</t>
  </si>
  <si>
    <t xml:space="preserve">2x-z-y </t>
  </si>
  <si>
    <t>LOG</t>
  </si>
  <si>
    <t>STDEV LOG(Count/mL)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</si>
  <si>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</si>
  <si>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</si>
  <si>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</si>
  <si>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</si>
  <si>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</si>
  <si>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</si>
  <si>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</si>
  <si>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</si>
  <si>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</si>
  <si>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</si>
  <si>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</si>
  <si>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</si>
  <si>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</si>
  <si>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</si>
  <si>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</si>
  <si>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</si>
  <si>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</si>
  <si>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</si>
  <si>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x moles D-fructose consumed</t>
  </si>
  <si>
    <t>2x moles pyruvate produced</t>
  </si>
  <si>
    <t>z moles lactate produced</t>
  </si>
  <si>
    <t>f moles formate produced</t>
  </si>
  <si>
    <t xml:space="preserve">2x-z moles </t>
  </si>
  <si>
    <t>2x-z-f moles CO2 produced</t>
  </si>
  <si>
    <t>y moles acetate consumed</t>
  </si>
  <si>
    <t>2x-z+y  moles acetyl-CoA produced</t>
  </si>
  <si>
    <t>(2x-2+Y)/2 moles butyrate produced</t>
  </si>
  <si>
    <t>2x-z-y-f moles H2</t>
  </si>
  <si>
    <t>intercept</t>
  </si>
  <si>
    <t>Rico</t>
  </si>
  <si>
    <t>AUTO</t>
  </si>
  <si>
    <t>Average CT</t>
  </si>
  <si>
    <t>CT3</t>
  </si>
  <si>
    <t>CT2</t>
  </si>
  <si>
    <t>CT1</t>
  </si>
  <si>
    <t xml:space="preserve">Dilution </t>
  </si>
  <si>
    <t>Dilution log (10x)</t>
  </si>
  <si>
    <t>STDV Log (cells/ml)</t>
  </si>
  <si>
    <t>Log (cells/ml)</t>
  </si>
  <si>
    <t>Log (cells/ml) 3</t>
  </si>
  <si>
    <t>Log (cells/ml) 2</t>
  </si>
  <si>
    <t>Log (cells/ml) 1</t>
  </si>
  <si>
    <t>Ct3</t>
  </si>
  <si>
    <t>Ct2</t>
  </si>
  <si>
    <t>Ct1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</si>
  <si>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</si>
  <si>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</si>
  <si>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</si>
  <si>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</si>
  <si>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</si>
  <si>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</si>
  <si>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</si>
  <si>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</si>
  <si>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</si>
  <si>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</si>
  <si>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</si>
  <si>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</si>
  <si>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</si>
  <si>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</si>
  <si>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</si>
  <si>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</si>
  <si>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 xml:space="preserve">Volume (ul) </t>
  </si>
  <si>
    <t>Log (cells/ml medium)</t>
  </si>
  <si>
    <t>STDV Log (cells/ml medium)</t>
  </si>
  <si>
    <t>cells/ml medium</t>
  </si>
  <si>
    <t>CT1 normalized</t>
  </si>
  <si>
    <t>CT2 normalized</t>
  </si>
  <si>
    <t>CT3 normalized</t>
  </si>
  <si>
    <t>Average CT normalized</t>
  </si>
  <si>
    <t>Dilution for 1 ml</t>
  </si>
  <si>
    <t>Log Dilution for 1 ml</t>
  </si>
  <si>
    <t>Efficiency E (%)</t>
  </si>
  <si>
    <t>Ct1 IPC corrected</t>
  </si>
  <si>
    <t>Ct2 IPC corrected</t>
  </si>
  <si>
    <t>Ct3 IPC corrected</t>
  </si>
  <si>
    <t>IPC RI10 epp</t>
  </si>
  <si>
    <t>R. Intestinalis</t>
  </si>
  <si>
    <t>IPC value epp 10</t>
  </si>
  <si>
    <t>STDV(cells/ml medium)</t>
  </si>
  <si>
    <t>Total average</t>
  </si>
  <si>
    <t>Threshold</t>
  </si>
  <si>
    <t>Baseline</t>
  </si>
  <si>
    <t>plate 20150701</t>
  </si>
  <si>
    <t>plate 20150629</t>
  </si>
  <si>
    <t>plate 20150630</t>
  </si>
  <si>
    <t>outliers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</si>
  <si>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</si>
  <si>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</si>
  <si>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</si>
  <si>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</si>
  <si>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</si>
  <si>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</si>
  <si>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</si>
  <si>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plate 20150807</t>
  </si>
  <si>
    <t>IPC value epp 7</t>
  </si>
  <si>
    <t>plate 20150831</t>
  </si>
  <si>
    <t>plate 20150902</t>
  </si>
  <si>
    <t>plate 20150903</t>
  </si>
  <si>
    <t>IPC value epp 6</t>
  </si>
  <si>
    <t>plate 20150908</t>
  </si>
  <si>
    <t>plate 20150910</t>
  </si>
  <si>
    <t>R. intestinalis</t>
  </si>
  <si>
    <t>plate 20150911</t>
  </si>
  <si>
    <t>IPC value epp 5</t>
  </si>
  <si>
    <t>plate 20150922</t>
  </si>
  <si>
    <t>plate 20151007</t>
  </si>
  <si>
    <t>plate 20151009</t>
  </si>
  <si>
    <t>IPC value epp 4</t>
  </si>
  <si>
    <t>plate 20151013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</si>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</sst>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  <font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45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" fontId="25" fillId="0" borderId="16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5" fontId="0" fillId="0" borderId="0" xfId="0" applyNumberFormat="1"/>
    <xf numFmtId="165" fontId="24" fillId="0" borderId="0" xfId="0" applyNumberFormat="1" applyFont="1"/>
    <xf numFmtId="0" fontId="0" fillId="12" borderId="0" xfId="0" applyFill="1"/>
    <xf numFmtId="0" fontId="27" fillId="0" borderId="0" xfId="0" applyFont="1"/>
    <xf numFmtId="165" fontId="27" fillId="0" borderId="0" xfId="0" applyNumberFormat="1" applyFont="1"/>
    <xf numFmtId="165" fontId="18" fillId="0" borderId="0" xfId="0" applyNumberFormat="1" applyFont="1"/>
    <xf numFmtId="164" fontId="24" fillId="0" borderId="18" xfId="0" applyNumberFormat="1" applyFont="1" applyBorder="1" applyAlignment="1">
      <alignment horizontal="center"/>
    </xf>
    <xf numFmtId="164" fontId="24" fillId="0" borderId="18" xfId="0" applyNumberFormat="1" applyFont="1" applyBorder="1" applyAlignment="1">
      <alignment horizontal="center" vertical="center"/>
    </xf>
    <xf numFmtId="0" fontId="28" fillId="0" borderId="0" xfId="315"/>
    <xf numFmtId="0" fontId="28" fillId="0" borderId="16" xfId="315" applyBorder="1"/>
    <xf numFmtId="0" fontId="28" fillId="2" borderId="16" xfId="315" applyFill="1" applyBorder="1"/>
    <xf numFmtId="2" fontId="28" fillId="0" borderId="16" xfId="315" applyNumberFormat="1" applyBorder="1" applyAlignment="1">
      <alignment horizontal="center" vertical="center"/>
    </xf>
    <xf numFmtId="11" fontId="28" fillId="0" borderId="16" xfId="315" applyNumberFormat="1" applyBorder="1" applyAlignment="1">
      <alignment horizontal="center" vertical="center"/>
    </xf>
    <xf numFmtId="11" fontId="28" fillId="0" borderId="16" xfId="315" applyNumberFormat="1" applyFill="1" applyBorder="1" applyAlignment="1">
      <alignment horizontal="center" vertical="center"/>
    </xf>
    <xf numFmtId="0" fontId="28" fillId="0" borderId="16" xfId="315" applyBorder="1" applyAlignment="1">
      <alignment horizontal="center" vertical="center"/>
    </xf>
    <xf numFmtId="0" fontId="28" fillId="0" borderId="16" xfId="315" applyFill="1" applyBorder="1" applyAlignment="1">
      <alignment horizontal="center" vertical="center"/>
    </xf>
    <xf numFmtId="0" fontId="28" fillId="0" borderId="3" xfId="315" applyFill="1" applyBorder="1" applyAlignment="1">
      <alignment horizontal="center" vertical="center"/>
    </xf>
    <xf numFmtId="0" fontId="28" fillId="2" borderId="3" xfId="315" applyFill="1" applyBorder="1" applyAlignment="1">
      <alignment horizontal="center" vertical="center"/>
    </xf>
    <xf numFmtId="0" fontId="28" fillId="2" borderId="16" xfId="315" applyFill="1" applyBorder="1" applyAlignment="1">
      <alignment horizontal="center" vertical="center"/>
    </xf>
    <xf numFmtId="0" fontId="28" fillId="2" borderId="4" xfId="315" applyFill="1" applyBorder="1" applyAlignment="1">
      <alignment horizontal="center" vertical="center"/>
    </xf>
    <xf numFmtId="165" fontId="28" fillId="0" borderId="16" xfId="315" applyNumberFormat="1" applyBorder="1"/>
    <xf numFmtId="0" fontId="0" fillId="0" borderId="16" xfId="315" applyFont="1" applyBorder="1" applyAlignment="1">
      <alignment horizontal="center" vertical="center"/>
    </xf>
    <xf numFmtId="0" fontId="29" fillId="13" borderId="0" xfId="315" applyFont="1" applyFill="1"/>
    <xf numFmtId="0" fontId="0" fillId="0" borderId="16" xfId="315" applyFont="1" applyBorder="1"/>
    <xf numFmtId="0" fontId="28" fillId="2" borderId="21" xfId="315" applyFill="1" applyBorder="1" applyAlignment="1">
      <alignment wrapText="1"/>
    </xf>
    <xf numFmtId="0" fontId="0" fillId="2" borderId="21" xfId="315" applyFont="1" applyFill="1" applyBorder="1" applyAlignment="1">
      <alignment wrapText="1"/>
    </xf>
    <xf numFmtId="0" fontId="0" fillId="0" borderId="0" xfId="315" applyFont="1"/>
    <xf numFmtId="0" fontId="0" fillId="2" borderId="21" xfId="315" applyFont="1" applyFill="1" applyBorder="1" applyAlignment="1">
      <alignment horizontal="center" vertical="center" wrapText="1"/>
    </xf>
    <xf numFmtId="165" fontId="28" fillId="0" borderId="16" xfId="315" applyNumberFormat="1" applyBorder="1" applyAlignment="1">
      <alignment horizontal="center" vertical="center"/>
    </xf>
    <xf numFmtId="0" fontId="28" fillId="0" borderId="0" xfId="315" applyFont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2" fontId="28" fillId="0" borderId="16" xfId="315" applyNumberFormat="1" applyBorder="1"/>
    <xf numFmtId="1" fontId="28" fillId="0" borderId="16" xfId="315" applyNumberFormat="1" applyBorder="1"/>
    <xf numFmtId="165" fontId="28" fillId="0" borderId="0" xfId="315" applyNumberFormat="1"/>
    <xf numFmtId="165" fontId="0" fillId="0" borderId="16" xfId="315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24" fillId="0" borderId="0" xfId="315" applyFont="1"/>
    <xf numFmtId="164" fontId="24" fillId="0" borderId="1" xfId="0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15" applyNumberFormat="1" applyFill="1" applyBorder="1" applyAlignment="1">
      <alignment horizontal="center" vertical="center"/>
    </xf>
    <xf numFmtId="0" fontId="28" fillId="0" borderId="5" xfId="315" applyNumberFormat="1" applyFill="1" applyBorder="1" applyAlignment="1">
      <alignment horizontal="center" vertical="center"/>
    </xf>
    <xf numFmtId="0" fontId="28" fillId="0" borderId="18" xfId="315" applyNumberFormat="1" applyFill="1" applyBorder="1" applyAlignment="1">
      <alignment horizontal="center" vertical="center"/>
    </xf>
    <xf numFmtId="0" fontId="28" fillId="2" borderId="4" xfId="315" applyFill="1" applyBorder="1" applyAlignment="1">
      <alignment horizontal="center" vertical="center"/>
    </xf>
    <xf numFmtId="0" fontId="28" fillId="2" borderId="3" xfId="315" applyFill="1" applyBorder="1" applyAlignment="1">
      <alignment horizontal="center" vertical="center"/>
    </xf>
    <xf numFmtId="0" fontId="0" fillId="2" borderId="4" xfId="315" applyFont="1" applyFill="1" applyBorder="1" applyAlignment="1">
      <alignment horizontal="center" vertical="center"/>
    </xf>
    <xf numFmtId="0" fontId="28" fillId="2" borderId="16" xfId="315" applyFill="1" applyBorder="1" applyAlignment="1">
      <alignment horizontal="center" vertical="center"/>
    </xf>
    <xf numFmtId="0" fontId="21" fillId="0" borderId="23" xfId="315" applyFont="1" applyBorder="1" applyAlignment="1">
      <alignment horizontal="center"/>
    </xf>
    <xf numFmtId="0" fontId="28" fillId="0" borderId="23" xfId="315" applyBorder="1" applyAlignment="1">
      <alignment horizontal="center"/>
    </xf>
    <xf numFmtId="0" fontId="25" fillId="11" borderId="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5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Input" xfId="10"/>
    <cellStyle name="Linked Cell" xfId="11"/>
    <cellStyle name="Neutral" xfId="12"/>
    <cellStyle name="Normal" xfId="0" builtinId="0"/>
    <cellStyle name="Normal 2" xfId="31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C97A36"/>
      <color rgb="FFFBC008"/>
      <color rgb="FF67FE66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 R. intestinalis '!$R$4:$R$19</c:f>
              <c:numCache>
                <c:formatCode>0.00</c:formatCode>
                <c:ptCount val="16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5.493035601019859</c:v>
                </c:pt>
                <c:pt idx="5">
                  <c:v>9.318402644082718</c:v>
                </c:pt>
                <c:pt idx="6">
                  <c:v>8.99449689289361</c:v>
                </c:pt>
                <c:pt idx="7">
                  <c:v>8.717506452759563</c:v>
                </c:pt>
                <c:pt idx="8">
                  <c:v>8.435095941696934</c:v>
                </c:pt>
                <c:pt idx="9">
                  <c:v>8.129456020849723</c:v>
                </c:pt>
                <c:pt idx="10">
                  <c:v>7.827516967148737</c:v>
                </c:pt>
                <c:pt idx="11">
                  <c:v>7.53584943027753</c:v>
                </c:pt>
                <c:pt idx="12">
                  <c:v>7.244489178658548</c:v>
                </c:pt>
                <c:pt idx="13">
                  <c:v>6.918410814648132</c:v>
                </c:pt>
                <c:pt idx="14">
                  <c:v>6.624850565395643</c:v>
                </c:pt>
                <c:pt idx="15">
                  <c:v>6.118853089115321</c:v>
                </c:pt>
              </c:numCache>
            </c:numRef>
          </c:xVal>
          <c:yVal>
            <c:numRef>
              <c:f>'Calibration R. intestinalis '!$L$23:$L$38</c:f>
              <c:numCache>
                <c:formatCode>General</c:formatCode>
                <c:ptCount val="16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22.25891762298264</c:v>
                </c:pt>
                <c:pt idx="5">
                  <c:v>7.554405467811155</c:v>
                </c:pt>
                <c:pt idx="6">
                  <c:v>8.5896399191051</c:v>
                </c:pt>
                <c:pt idx="7">
                  <c:v>9.44354082852893</c:v>
                </c:pt>
                <c:pt idx="8">
                  <c:v>10.11613553474638</c:v>
                </c:pt>
                <c:pt idx="9">
                  <c:v>11.36988919685575</c:v>
                </c:pt>
                <c:pt idx="10">
                  <c:v>12.6170091004202</c:v>
                </c:pt>
                <c:pt idx="11">
                  <c:v>13.73197898974312</c:v>
                </c:pt>
                <c:pt idx="12">
                  <c:v>14.64585393379423</c:v>
                </c:pt>
                <c:pt idx="13">
                  <c:v>16.3368634552786</c:v>
                </c:pt>
                <c:pt idx="14">
                  <c:v>17.33992220670276</c:v>
                </c:pt>
                <c:pt idx="15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75512"/>
        <c:axId val="-2078034184"/>
      </c:scatterChart>
      <c:valAx>
        <c:axId val="-2126875512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78034184"/>
        <c:crosses val="autoZero"/>
        <c:crossBetween val="midCat"/>
        <c:majorUnit val="2.0"/>
      </c:valAx>
      <c:valAx>
        <c:axId val="-2078034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687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4106320726302"/>
          <c:y val="0.0345387605837973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0.0170245616881686</c:v>
                  </c:pt>
                  <c:pt idx="2">
                    <c:v>0.0111841610034566</c:v>
                  </c:pt>
                  <c:pt idx="3">
                    <c:v>0.0</c:v>
                  </c:pt>
                  <c:pt idx="4">
                    <c:v>0.00652832490346517</c:v>
                  </c:pt>
                  <c:pt idx="5">
                    <c:v>0.0173649726545494</c:v>
                  </c:pt>
                  <c:pt idx="6">
                    <c:v>0.0228442673990266</c:v>
                  </c:pt>
                  <c:pt idx="7">
                    <c:v>0.0114976519388489</c:v>
                  </c:pt>
                  <c:pt idx="8">
                    <c:v>0.0291334784421302</c:v>
                  </c:pt>
                  <c:pt idx="9">
                    <c:v>0.0373454594655911</c:v>
                  </c:pt>
                  <c:pt idx="10">
                    <c:v>0.0484575435291132</c:v>
                  </c:pt>
                  <c:pt idx="11">
                    <c:v>0.0470846788627847</c:v>
                  </c:pt>
                  <c:pt idx="12">
                    <c:v>0.0116623857440653</c:v>
                  </c:pt>
                  <c:pt idx="13">
                    <c:v>0.0233247714881306</c:v>
                  </c:pt>
                  <c:pt idx="14">
                    <c:v>0.0269638017372807</c:v>
                  </c:pt>
                  <c:pt idx="15">
                    <c:v>0.0375320235998114</c:v>
                  </c:pt>
                  <c:pt idx="16">
                    <c:v>0.0350270059306381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0.0170245616881686</c:v>
                  </c:pt>
                  <c:pt idx="2">
                    <c:v>0.0111841610034566</c:v>
                  </c:pt>
                  <c:pt idx="3">
                    <c:v>0.0</c:v>
                  </c:pt>
                  <c:pt idx="4">
                    <c:v>0.00652832490346517</c:v>
                  </c:pt>
                  <c:pt idx="5">
                    <c:v>0.0173649726545494</c:v>
                  </c:pt>
                  <c:pt idx="6">
                    <c:v>0.0228442673990266</c:v>
                  </c:pt>
                  <c:pt idx="7">
                    <c:v>0.0114976519388489</c:v>
                  </c:pt>
                  <c:pt idx="8">
                    <c:v>0.0291334784421302</c:v>
                  </c:pt>
                  <c:pt idx="9">
                    <c:v>0.0373454594655911</c:v>
                  </c:pt>
                  <c:pt idx="10">
                    <c:v>0.0484575435291132</c:v>
                  </c:pt>
                  <c:pt idx="11">
                    <c:v>0.0470846788627847</c:v>
                  </c:pt>
                  <c:pt idx="12">
                    <c:v>0.0116623857440653</c:v>
                  </c:pt>
                  <c:pt idx="13">
                    <c:v>0.0233247714881306</c:v>
                  </c:pt>
                  <c:pt idx="14">
                    <c:v>0.0269638017372807</c:v>
                  </c:pt>
                  <c:pt idx="15">
                    <c:v>0.0375320235998114</c:v>
                  </c:pt>
                  <c:pt idx="16">
                    <c:v>0.0350270059306381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2.383455143697406</c:v>
                </c:pt>
                <c:pt idx="1">
                  <c:v>2.381355981555959</c:v>
                </c:pt>
                <c:pt idx="2">
                  <c:v>2.382226293736251</c:v>
                </c:pt>
                <c:pt idx="3">
                  <c:v>2.350981653472626</c:v>
                </c:pt>
                <c:pt idx="4">
                  <c:v>2.370782858294585</c:v>
                </c:pt>
                <c:pt idx="5">
                  <c:v>2.425182525876137</c:v>
                </c:pt>
                <c:pt idx="6">
                  <c:v>2.478603012794382</c:v>
                </c:pt>
                <c:pt idx="7">
                  <c:v>2.678952901751795</c:v>
                </c:pt>
                <c:pt idx="8">
                  <c:v>3.858823487045833</c:v>
                </c:pt>
                <c:pt idx="9">
                  <c:v>4.457297854331405</c:v>
                </c:pt>
                <c:pt idx="10">
                  <c:v>4.616853105031691</c:v>
                </c:pt>
                <c:pt idx="11">
                  <c:v>4.815513785715491</c:v>
                </c:pt>
                <c:pt idx="12">
                  <c:v>5.038150641436213</c:v>
                </c:pt>
                <c:pt idx="13">
                  <c:v>5.154774498876867</c:v>
                </c:pt>
                <c:pt idx="14">
                  <c:v>5.191780656830131</c:v>
                </c:pt>
                <c:pt idx="15">
                  <c:v>5.211240104569372</c:v>
                </c:pt>
                <c:pt idx="16">
                  <c:v>5.21902388366507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BC008"/>
              </a:solidFill>
            </a:ln>
          </c:spPr>
          <c:marker>
            <c:symbol val="circle"/>
            <c:size val="8"/>
            <c:spPr>
              <a:solidFill>
                <a:srgbClr val="FBC008"/>
              </a:solidFill>
              <a:ln>
                <a:solidFill>
                  <a:srgbClr val="FBC008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0.391585454697516</c:v>
                  </c:pt>
                  <c:pt idx="1">
                    <c:v>0.336596094574002</c:v>
                  </c:pt>
                  <c:pt idx="2">
                    <c:v>0.426527515888026</c:v>
                  </c:pt>
                  <c:pt idx="3">
                    <c:v>0.758830345226842</c:v>
                  </c:pt>
                  <c:pt idx="4">
                    <c:v>0.434770869971251</c:v>
                  </c:pt>
                  <c:pt idx="5">
                    <c:v>0.326391842353832</c:v>
                  </c:pt>
                  <c:pt idx="6">
                    <c:v>0.138493698550055</c:v>
                  </c:pt>
                  <c:pt idx="7">
                    <c:v>0.584125589207616</c:v>
                  </c:pt>
                  <c:pt idx="8">
                    <c:v>0.400541343189866</c:v>
                  </c:pt>
                  <c:pt idx="9">
                    <c:v>0.326502500338716</c:v>
                  </c:pt>
                  <c:pt idx="10">
                    <c:v>0.254416225209971</c:v>
                  </c:pt>
                  <c:pt idx="11">
                    <c:v>0.332055873648079</c:v>
                  </c:pt>
                  <c:pt idx="12">
                    <c:v>0.358673824548666</c:v>
                  </c:pt>
                  <c:pt idx="13">
                    <c:v>0.247616383552937</c:v>
                  </c:pt>
                  <c:pt idx="14">
                    <c:v>0.218989312896257</c:v>
                  </c:pt>
                  <c:pt idx="15">
                    <c:v>0.249132763314086</c:v>
                  </c:pt>
                  <c:pt idx="16">
                    <c:v>0.192659226403279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0.391585454697516</c:v>
                  </c:pt>
                  <c:pt idx="1">
                    <c:v>0.336596094574002</c:v>
                  </c:pt>
                  <c:pt idx="2">
                    <c:v>0.426527515888026</c:v>
                  </c:pt>
                  <c:pt idx="3">
                    <c:v>0.758830345226842</c:v>
                  </c:pt>
                  <c:pt idx="4">
                    <c:v>0.434770869971251</c:v>
                  </c:pt>
                  <c:pt idx="5">
                    <c:v>0.326391842353832</c:v>
                  </c:pt>
                  <c:pt idx="6">
                    <c:v>0.138493698550055</c:v>
                  </c:pt>
                  <c:pt idx="7">
                    <c:v>0.584125589207616</c:v>
                  </c:pt>
                  <c:pt idx="8">
                    <c:v>0.400541343189866</c:v>
                  </c:pt>
                  <c:pt idx="9">
                    <c:v>0.326502500338716</c:v>
                  </c:pt>
                  <c:pt idx="10">
                    <c:v>0.254416225209971</c:v>
                  </c:pt>
                  <c:pt idx="11">
                    <c:v>0.332055873648079</c:v>
                  </c:pt>
                  <c:pt idx="12">
                    <c:v>0.358673824548666</c:v>
                  </c:pt>
                  <c:pt idx="13">
                    <c:v>0.247616383552937</c:v>
                  </c:pt>
                  <c:pt idx="14">
                    <c:v>0.218989312896257</c:v>
                  </c:pt>
                  <c:pt idx="15">
                    <c:v>0.249132763314086</c:v>
                  </c:pt>
                  <c:pt idx="16">
                    <c:v>0.192659226403279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47.97805107765387</c:v>
                </c:pt>
                <c:pt idx="1">
                  <c:v>46.98516400730245</c:v>
                </c:pt>
                <c:pt idx="2">
                  <c:v>45.82964354178887</c:v>
                </c:pt>
                <c:pt idx="3">
                  <c:v>42.59562762775512</c:v>
                </c:pt>
                <c:pt idx="4">
                  <c:v>38.55468766565294</c:v>
                </c:pt>
                <c:pt idx="5">
                  <c:v>35.1348873744544</c:v>
                </c:pt>
                <c:pt idx="6">
                  <c:v>31.10419654004798</c:v>
                </c:pt>
                <c:pt idx="7">
                  <c:v>28.51001046519475</c:v>
                </c:pt>
                <c:pt idx="8">
                  <c:v>26.10060140027172</c:v>
                </c:pt>
                <c:pt idx="9">
                  <c:v>26.21083095278113</c:v>
                </c:pt>
                <c:pt idx="10">
                  <c:v>26.04398885331014</c:v>
                </c:pt>
                <c:pt idx="11">
                  <c:v>26.09260101876755</c:v>
                </c:pt>
                <c:pt idx="12">
                  <c:v>25.99106929657409</c:v>
                </c:pt>
                <c:pt idx="13">
                  <c:v>25.67616740247156</c:v>
                </c:pt>
                <c:pt idx="14">
                  <c:v>25.56529552787749</c:v>
                </c:pt>
                <c:pt idx="15">
                  <c:v>25.24419681720535</c:v>
                </c:pt>
                <c:pt idx="16">
                  <c:v>24.60783755423695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0.136117171446271</c:v>
                  </c:pt>
                  <c:pt idx="1">
                    <c:v>0.0333168046245975</c:v>
                  </c:pt>
                  <c:pt idx="2">
                    <c:v>0.0828637175714154</c:v>
                  </c:pt>
                  <c:pt idx="3">
                    <c:v>0.183299549094613</c:v>
                  </c:pt>
                  <c:pt idx="4">
                    <c:v>0.033801671984568</c:v>
                  </c:pt>
                  <c:pt idx="5">
                    <c:v>0.100317662439434</c:v>
                  </c:pt>
                  <c:pt idx="6">
                    <c:v>0.0785009435265393</c:v>
                  </c:pt>
                  <c:pt idx="7">
                    <c:v>0.234194996960783</c:v>
                  </c:pt>
                  <c:pt idx="8">
                    <c:v>0.138424178415408</c:v>
                  </c:pt>
                  <c:pt idx="9">
                    <c:v>0.151380586379458</c:v>
                  </c:pt>
                  <c:pt idx="10">
                    <c:v>0.159984527521332</c:v>
                  </c:pt>
                  <c:pt idx="11">
                    <c:v>0.193909390919833</c:v>
                  </c:pt>
                  <c:pt idx="12">
                    <c:v>0.0475100900325266</c:v>
                  </c:pt>
                  <c:pt idx="13">
                    <c:v>0.0950201800650543</c:v>
                  </c:pt>
                  <c:pt idx="14">
                    <c:v>0.0698051640549257</c:v>
                  </c:pt>
                  <c:pt idx="15">
                    <c:v>0.217966554900441</c:v>
                  </c:pt>
                  <c:pt idx="16">
                    <c:v>0.0131919360226713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0.136117171446271</c:v>
                  </c:pt>
                  <c:pt idx="1">
                    <c:v>0.0333168046245975</c:v>
                  </c:pt>
                  <c:pt idx="2">
                    <c:v>0.0828637175714154</c:v>
                  </c:pt>
                  <c:pt idx="3">
                    <c:v>0.183299549094613</c:v>
                  </c:pt>
                  <c:pt idx="4">
                    <c:v>0.033801671984568</c:v>
                  </c:pt>
                  <c:pt idx="5">
                    <c:v>0.100317662439434</c:v>
                  </c:pt>
                  <c:pt idx="6">
                    <c:v>0.0785009435265393</c:v>
                  </c:pt>
                  <c:pt idx="7">
                    <c:v>0.234194996960783</c:v>
                  </c:pt>
                  <c:pt idx="8">
                    <c:v>0.138424178415408</c:v>
                  </c:pt>
                  <c:pt idx="9">
                    <c:v>0.151380586379458</c:v>
                  </c:pt>
                  <c:pt idx="10">
                    <c:v>0.159984527521332</c:v>
                  </c:pt>
                  <c:pt idx="11">
                    <c:v>0.193909390919833</c:v>
                  </c:pt>
                  <c:pt idx="12">
                    <c:v>0.0475100900325266</c:v>
                  </c:pt>
                  <c:pt idx="13">
                    <c:v>0.0950201800650543</c:v>
                  </c:pt>
                  <c:pt idx="14">
                    <c:v>0.0698051640549257</c:v>
                  </c:pt>
                  <c:pt idx="15">
                    <c:v>0.217966554900441</c:v>
                  </c:pt>
                  <c:pt idx="16">
                    <c:v>0.0131919360226713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1.220586716432263</c:v>
                </c:pt>
                <c:pt idx="1">
                  <c:v>1.323198752254365</c:v>
                </c:pt>
                <c:pt idx="2">
                  <c:v>1.364304038936823</c:v>
                </c:pt>
                <c:pt idx="3">
                  <c:v>2.340775616588575</c:v>
                </c:pt>
                <c:pt idx="4">
                  <c:v>3.238120871098525</c:v>
                </c:pt>
                <c:pt idx="5">
                  <c:v>4.575483810537254</c:v>
                </c:pt>
                <c:pt idx="6">
                  <c:v>6.094901494586601</c:v>
                </c:pt>
                <c:pt idx="7">
                  <c:v>8.070260928648157</c:v>
                </c:pt>
                <c:pt idx="8">
                  <c:v>9.13750623186698</c:v>
                </c:pt>
                <c:pt idx="9">
                  <c:v>9.647441171015735</c:v>
                </c:pt>
                <c:pt idx="10">
                  <c:v>9.50584715269674</c:v>
                </c:pt>
                <c:pt idx="11">
                  <c:v>9.309887577283626</c:v>
                </c:pt>
                <c:pt idx="12">
                  <c:v>9.304220773918951</c:v>
                </c:pt>
                <c:pt idx="13">
                  <c:v>9.136851307830467</c:v>
                </c:pt>
                <c:pt idx="14">
                  <c:v>9.033012227192424</c:v>
                </c:pt>
                <c:pt idx="15">
                  <c:v>9.048244962820068</c:v>
                </c:pt>
                <c:pt idx="16">
                  <c:v>9.375748778814394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0.0916004503284643</c:v>
                </c:pt>
                <c:pt idx="1">
                  <c:v>0.320815729766205</c:v>
                </c:pt>
                <c:pt idx="2">
                  <c:v>0.656883692201207</c:v>
                </c:pt>
                <c:pt idx="3">
                  <c:v>1.159132645174255</c:v>
                </c:pt>
                <c:pt idx="4">
                  <c:v>1.787491354132267</c:v>
                </c:pt>
                <c:pt idx="5">
                  <c:v>2.520921392753121</c:v>
                </c:pt>
                <c:pt idx="6">
                  <c:v>3.448420515560309</c:v>
                </c:pt>
                <c:pt idx="7">
                  <c:v>4.677690173406375</c:v>
                </c:pt>
                <c:pt idx="8">
                  <c:v>6.253177004865881</c:v>
                </c:pt>
                <c:pt idx="9">
                  <c:v>8.106467947499857</c:v>
                </c:pt>
                <c:pt idx="10">
                  <c:v>10.2333276977427</c:v>
                </c:pt>
                <c:pt idx="11">
                  <c:v>12.61049686566533</c:v>
                </c:pt>
                <c:pt idx="12">
                  <c:v>15.22135639908656</c:v>
                </c:pt>
                <c:pt idx="13">
                  <c:v>18.04585069440156</c:v>
                </c:pt>
                <c:pt idx="14">
                  <c:v>20.9879188416455</c:v>
                </c:pt>
                <c:pt idx="15">
                  <c:v>24.11370998281627</c:v>
                </c:pt>
                <c:pt idx="16">
                  <c:v>27.43539129541758</c:v>
                </c:pt>
                <c:pt idx="17">
                  <c:v>30.86694611686275</c:v>
                </c:pt>
                <c:pt idx="18">
                  <c:v>34.48918420119583</c:v>
                </c:pt>
                <c:pt idx="19">
                  <c:v>38.3114922314384</c:v>
                </c:pt>
                <c:pt idx="20">
                  <c:v>42.33512563386041</c:v>
                </c:pt>
                <c:pt idx="21">
                  <c:v>46.57248428465117</c:v>
                </c:pt>
                <c:pt idx="22">
                  <c:v>50.92401531286456</c:v>
                </c:pt>
                <c:pt idx="23">
                  <c:v>55.48314220962268</c:v>
                </c:pt>
                <c:pt idx="24">
                  <c:v>59.8607975691718</c:v>
                </c:pt>
                <c:pt idx="25">
                  <c:v>63.58652437727123</c:v>
                </c:pt>
                <c:pt idx="26">
                  <c:v>66.81362369117904</c:v>
                </c:pt>
                <c:pt idx="27">
                  <c:v>69.60247541211724</c:v>
                </c:pt>
                <c:pt idx="28">
                  <c:v>72.0132356579882</c:v>
                </c:pt>
                <c:pt idx="29">
                  <c:v>74.08550553215531</c:v>
                </c:pt>
                <c:pt idx="30">
                  <c:v>75.79426519391918</c:v>
                </c:pt>
                <c:pt idx="31">
                  <c:v>77.22867564647889</c:v>
                </c:pt>
                <c:pt idx="32">
                  <c:v>78.42112297548647</c:v>
                </c:pt>
                <c:pt idx="33">
                  <c:v>79.36989941711198</c:v>
                </c:pt>
                <c:pt idx="34">
                  <c:v>80.1417695951903</c:v>
                </c:pt>
                <c:pt idx="35">
                  <c:v>80.76138523800464</c:v>
                </c:pt>
                <c:pt idx="36">
                  <c:v>81.25491049866542</c:v>
                </c:pt>
                <c:pt idx="37">
                  <c:v>81.65704999023634</c:v>
                </c:pt>
                <c:pt idx="38">
                  <c:v>81.97436402680135</c:v>
                </c:pt>
                <c:pt idx="39">
                  <c:v>82.22483709499033</c:v>
                </c:pt>
                <c:pt idx="40">
                  <c:v>82.42316539825415</c:v>
                </c:pt>
                <c:pt idx="41">
                  <c:v>82.58266077560965</c:v>
                </c:pt>
                <c:pt idx="42">
                  <c:v>82.71123682439078</c:v>
                </c:pt>
                <c:pt idx="43">
                  <c:v>82.81549739730201</c:v>
                </c:pt>
                <c:pt idx="44">
                  <c:v>82.90673848490834</c:v>
                </c:pt>
                <c:pt idx="45">
                  <c:v>82.9906217256655</c:v>
                </c:pt>
                <c:pt idx="46">
                  <c:v>83.06483947427395</c:v>
                </c:pt>
                <c:pt idx="47">
                  <c:v>83.12981550439994</c:v>
                </c:pt>
                <c:pt idx="48">
                  <c:v>83.18957177758702</c:v>
                </c:pt>
                <c:pt idx="49">
                  <c:v>83.24578604423371</c:v>
                </c:pt>
                <c:pt idx="50">
                  <c:v>83.29818565298221</c:v>
                </c:pt>
                <c:pt idx="51">
                  <c:v>83.34715058992573</c:v>
                </c:pt>
                <c:pt idx="52">
                  <c:v>83.39281106836722</c:v>
                </c:pt>
                <c:pt idx="53">
                  <c:v>83.43684920742952</c:v>
                </c:pt>
                <c:pt idx="54">
                  <c:v>83.48161831662435</c:v>
                </c:pt>
                <c:pt idx="55">
                  <c:v>83.52766943497472</c:v>
                </c:pt>
                <c:pt idx="56">
                  <c:v>83.57409106935991</c:v>
                </c:pt>
                <c:pt idx="57">
                  <c:v>83.62021202939097</c:v>
                </c:pt>
                <c:pt idx="58">
                  <c:v>83.66427029232735</c:v>
                </c:pt>
                <c:pt idx="59">
                  <c:v>83.7073874682105</c:v>
                </c:pt>
                <c:pt idx="60">
                  <c:v>83.7506845752032</c:v>
                </c:pt>
                <c:pt idx="61">
                  <c:v>83.79668010660194</c:v>
                </c:pt>
                <c:pt idx="62">
                  <c:v>83.84471013646903</c:v>
                </c:pt>
                <c:pt idx="63">
                  <c:v>83.89072033576628</c:v>
                </c:pt>
                <c:pt idx="64">
                  <c:v>83.93618547134188</c:v>
                </c:pt>
                <c:pt idx="65">
                  <c:v>83.98091353928928</c:v>
                </c:pt>
                <c:pt idx="66">
                  <c:v>84.02396409942133</c:v>
                </c:pt>
                <c:pt idx="67">
                  <c:v>84.06498409192295</c:v>
                </c:pt>
                <c:pt idx="68">
                  <c:v>84.10354656073874</c:v>
                </c:pt>
                <c:pt idx="69">
                  <c:v>84.1398334043065</c:v>
                </c:pt>
                <c:pt idx="70">
                  <c:v>84.17428231574222</c:v>
                </c:pt>
                <c:pt idx="71">
                  <c:v>84.20859227698239</c:v>
                </c:pt>
                <c:pt idx="72">
                  <c:v>84.24228264666877</c:v>
                </c:pt>
                <c:pt idx="73">
                  <c:v>84.2739538173771</c:v>
                </c:pt>
                <c:pt idx="74">
                  <c:v>84.30519740043822</c:v>
                </c:pt>
                <c:pt idx="75">
                  <c:v>84.33624834800095</c:v>
                </c:pt>
                <c:pt idx="76">
                  <c:v>84.3655043116739</c:v>
                </c:pt>
                <c:pt idx="77">
                  <c:v>84.39261286323382</c:v>
                </c:pt>
                <c:pt idx="78">
                  <c:v>84.41919782519323</c:v>
                </c:pt>
                <c:pt idx="79">
                  <c:v>84.44537667362657</c:v>
                </c:pt>
                <c:pt idx="80">
                  <c:v>84.46994180501613</c:v>
                </c:pt>
                <c:pt idx="81">
                  <c:v>84.49308585486031</c:v>
                </c:pt>
                <c:pt idx="82">
                  <c:v>84.51444565787527</c:v>
                </c:pt>
                <c:pt idx="83">
                  <c:v>84.52459660125195</c:v>
                </c:pt>
                <c:pt idx="84">
                  <c:v>84.52459660125195</c:v>
                </c:pt>
                <c:pt idx="85">
                  <c:v>84.52459660125195</c:v>
                </c:pt>
                <c:pt idx="86">
                  <c:v>84.52459660125195</c:v>
                </c:pt>
                <c:pt idx="87">
                  <c:v>84.52459660125195</c:v>
                </c:pt>
                <c:pt idx="88">
                  <c:v>84.52459660125195</c:v>
                </c:pt>
                <c:pt idx="89">
                  <c:v>84.52459660125195</c:v>
                </c:pt>
                <c:pt idx="90">
                  <c:v>84.52459660125195</c:v>
                </c:pt>
                <c:pt idx="91">
                  <c:v>84.52459660125195</c:v>
                </c:pt>
                <c:pt idx="92">
                  <c:v>84.52459660125195</c:v>
                </c:pt>
                <c:pt idx="93">
                  <c:v>84.52459660125195</c:v>
                </c:pt>
                <c:pt idx="94">
                  <c:v>84.52459660125195</c:v>
                </c:pt>
                <c:pt idx="95">
                  <c:v>84.53518523774463</c:v>
                </c:pt>
                <c:pt idx="96">
                  <c:v>84.5457738742373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E66"/>
              </a:solidFill>
            </a:ln>
          </c:spPr>
          <c:marker>
            <c:symbol val="circle"/>
            <c:size val="8"/>
            <c:spPr>
              <a:solidFill>
                <a:srgbClr val="67FE66"/>
              </a:solidFill>
              <a:ln>
                <a:solidFill>
                  <a:srgbClr val="67FE6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0.451738557634641</c:v>
                  </c:pt>
                  <c:pt idx="1">
                    <c:v>0.454397274315477</c:v>
                  </c:pt>
                  <c:pt idx="2">
                    <c:v>0.302024121178078</c:v>
                  </c:pt>
                  <c:pt idx="3">
                    <c:v>1.042601857388702</c:v>
                  </c:pt>
                  <c:pt idx="4">
                    <c:v>0.317329645303278</c:v>
                  </c:pt>
                  <c:pt idx="5">
                    <c:v>0.190591381772266</c:v>
                  </c:pt>
                  <c:pt idx="6">
                    <c:v>0.114648866887741</c:v>
                  </c:pt>
                  <c:pt idx="7">
                    <c:v>0.0916813085646755</c:v>
                  </c:pt>
                  <c:pt idx="8">
                    <c:v>0.0261005982827229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0.451738557634641</c:v>
                  </c:pt>
                  <c:pt idx="1">
                    <c:v>0.454397274315477</c:v>
                  </c:pt>
                  <c:pt idx="2">
                    <c:v>0.302024121178078</c:v>
                  </c:pt>
                  <c:pt idx="3">
                    <c:v>1.042601857388702</c:v>
                  </c:pt>
                  <c:pt idx="4">
                    <c:v>0.317329645303278</c:v>
                  </c:pt>
                  <c:pt idx="5">
                    <c:v>0.190591381772266</c:v>
                  </c:pt>
                  <c:pt idx="6">
                    <c:v>0.114648866887741</c:v>
                  </c:pt>
                  <c:pt idx="7">
                    <c:v>0.0916813085646755</c:v>
                  </c:pt>
                  <c:pt idx="8">
                    <c:v>0.0261005982827229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49.38058701918877</c:v>
                </c:pt>
                <c:pt idx="1">
                  <c:v>48.2976886711673</c:v>
                </c:pt>
                <c:pt idx="2">
                  <c:v>45.97808588521</c:v>
                </c:pt>
                <c:pt idx="3">
                  <c:v>39.93294196089867</c:v>
                </c:pt>
                <c:pt idx="4">
                  <c:v>33.01946459473723</c:v>
                </c:pt>
                <c:pt idx="5">
                  <c:v>26.78500419399293</c:v>
                </c:pt>
                <c:pt idx="6">
                  <c:v>19.83453516920481</c:v>
                </c:pt>
                <c:pt idx="7">
                  <c:v>11.59154942968284</c:v>
                </c:pt>
                <c:pt idx="8">
                  <c:v>2.116564682644639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0.0113866608617023</c:v>
                  </c:pt>
                  <c:pt idx="1">
                    <c:v>0.0410830236200295</c:v>
                  </c:pt>
                  <c:pt idx="2">
                    <c:v>0.0629747794909317</c:v>
                  </c:pt>
                  <c:pt idx="3">
                    <c:v>0.303687098961967</c:v>
                  </c:pt>
                  <c:pt idx="4">
                    <c:v>0.223065046489712</c:v>
                  </c:pt>
                  <c:pt idx="5">
                    <c:v>0.213038711164019</c:v>
                  </c:pt>
                  <c:pt idx="6">
                    <c:v>0.21877816426109</c:v>
                  </c:pt>
                  <c:pt idx="7">
                    <c:v>0.950825441611772</c:v>
                  </c:pt>
                  <c:pt idx="8">
                    <c:v>1.037891431208954</c:v>
                  </c:pt>
                  <c:pt idx="9">
                    <c:v>0.611464169043194</c:v>
                  </c:pt>
                  <c:pt idx="10">
                    <c:v>0.561459740668664</c:v>
                  </c:pt>
                  <c:pt idx="11">
                    <c:v>0.890562140332172</c:v>
                  </c:pt>
                  <c:pt idx="12">
                    <c:v>0.354299818670748</c:v>
                  </c:pt>
                  <c:pt idx="13">
                    <c:v>0.333918833443917</c:v>
                  </c:pt>
                  <c:pt idx="14">
                    <c:v>0.536886988374846</c:v>
                  </c:pt>
                  <c:pt idx="15">
                    <c:v>0.559372491829181</c:v>
                  </c:pt>
                  <c:pt idx="16">
                    <c:v>0.280025671095213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0.0113866608617023</c:v>
                  </c:pt>
                  <c:pt idx="1">
                    <c:v>0.0410830236200295</c:v>
                  </c:pt>
                  <c:pt idx="2">
                    <c:v>0.0629747794909317</c:v>
                  </c:pt>
                  <c:pt idx="3">
                    <c:v>0.303687098961967</c:v>
                  </c:pt>
                  <c:pt idx="4">
                    <c:v>0.223065046489712</c:v>
                  </c:pt>
                  <c:pt idx="5">
                    <c:v>0.213038711164019</c:v>
                  </c:pt>
                  <c:pt idx="6">
                    <c:v>0.21877816426109</c:v>
                  </c:pt>
                  <c:pt idx="7">
                    <c:v>0.950825441611772</c:v>
                  </c:pt>
                  <c:pt idx="8">
                    <c:v>1.037891431208954</c:v>
                  </c:pt>
                  <c:pt idx="9">
                    <c:v>0.611464169043194</c:v>
                  </c:pt>
                  <c:pt idx="10">
                    <c:v>0.561459740668664</c:v>
                  </c:pt>
                  <c:pt idx="11">
                    <c:v>0.890562140332172</c:v>
                  </c:pt>
                  <c:pt idx="12">
                    <c:v>0.354299818670748</c:v>
                  </c:pt>
                  <c:pt idx="13">
                    <c:v>0.333918833443917</c:v>
                  </c:pt>
                  <c:pt idx="14">
                    <c:v>0.536886988374846</c:v>
                  </c:pt>
                  <c:pt idx="15">
                    <c:v>0.559372491829181</c:v>
                  </c:pt>
                  <c:pt idx="16">
                    <c:v>0.280025671095213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2.117918920276629</c:v>
                </c:pt>
                <c:pt idx="1">
                  <c:v>4.466597207656991</c:v>
                </c:pt>
                <c:pt idx="2">
                  <c:v>7.962029308995453</c:v>
                </c:pt>
                <c:pt idx="3">
                  <c:v>15.37962689648296</c:v>
                </c:pt>
                <c:pt idx="4">
                  <c:v>22.30349030465639</c:v>
                </c:pt>
                <c:pt idx="5">
                  <c:v>30.07829118345821</c:v>
                </c:pt>
                <c:pt idx="6">
                  <c:v>37.624951757658</c:v>
                </c:pt>
                <c:pt idx="7">
                  <c:v>49.00543276416004</c:v>
                </c:pt>
                <c:pt idx="8">
                  <c:v>57.50378731288141</c:v>
                </c:pt>
                <c:pt idx="9">
                  <c:v>60.4994302454489</c:v>
                </c:pt>
                <c:pt idx="10">
                  <c:v>61.01197430161021</c:v>
                </c:pt>
                <c:pt idx="11">
                  <c:v>61.50403028866998</c:v>
                </c:pt>
                <c:pt idx="12">
                  <c:v>61.72608652153118</c:v>
                </c:pt>
                <c:pt idx="13">
                  <c:v>61.68236834808857</c:v>
                </c:pt>
                <c:pt idx="14">
                  <c:v>62.44097235851756</c:v>
                </c:pt>
                <c:pt idx="15">
                  <c:v>63.53915042332037</c:v>
                </c:pt>
                <c:pt idx="16">
                  <c:v>65.10683939988675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0.0403529992110904</c:v>
                </c:pt>
                <c:pt idx="1">
                  <c:v>0.255217612129361</c:v>
                </c:pt>
                <c:pt idx="2">
                  <c:v>0.708971296605208</c:v>
                </c:pt>
                <c:pt idx="3">
                  <c:v>1.445920584026317</c:v>
                </c:pt>
                <c:pt idx="4">
                  <c:v>2.719358830401566</c:v>
                </c:pt>
                <c:pt idx="5">
                  <c:v>4.55673379902086</c:v>
                </c:pt>
                <c:pt idx="6">
                  <c:v>6.497427254838064</c:v>
                </c:pt>
                <c:pt idx="7">
                  <c:v>8.574385817333965</c:v>
                </c:pt>
                <c:pt idx="8">
                  <c:v>10.87385441088032</c:v>
                </c:pt>
                <c:pt idx="9">
                  <c:v>13.06205176555518</c:v>
                </c:pt>
                <c:pt idx="10">
                  <c:v>15.20442598139848</c:v>
                </c:pt>
                <c:pt idx="11">
                  <c:v>17.48774705404867</c:v>
                </c:pt>
                <c:pt idx="12">
                  <c:v>19.94190727103914</c:v>
                </c:pt>
                <c:pt idx="13">
                  <c:v>22.67490668236025</c:v>
                </c:pt>
                <c:pt idx="14">
                  <c:v>25.57288508919613</c:v>
                </c:pt>
                <c:pt idx="15">
                  <c:v>28.55600601529693</c:v>
                </c:pt>
                <c:pt idx="16">
                  <c:v>31.65670896981478</c:v>
                </c:pt>
                <c:pt idx="17">
                  <c:v>34.85047147629293</c:v>
                </c:pt>
                <c:pt idx="18">
                  <c:v>38.42036002036372</c:v>
                </c:pt>
                <c:pt idx="19">
                  <c:v>42.23023524394362</c:v>
                </c:pt>
                <c:pt idx="20">
                  <c:v>46.37309939638737</c:v>
                </c:pt>
                <c:pt idx="21">
                  <c:v>50.82788526307861</c:v>
                </c:pt>
                <c:pt idx="22">
                  <c:v>55.48103808719026</c:v>
                </c:pt>
                <c:pt idx="23">
                  <c:v>60.519525193189</c:v>
                </c:pt>
                <c:pt idx="24">
                  <c:v>64.2986506843808</c:v>
                </c:pt>
                <c:pt idx="25">
                  <c:v>65.92595851132432</c:v>
                </c:pt>
                <c:pt idx="26">
                  <c:v>66.51036391623407</c:v>
                </c:pt>
                <c:pt idx="27">
                  <c:v>66.72438274506258</c:v>
                </c:pt>
                <c:pt idx="28">
                  <c:v>66.81530446574022</c:v>
                </c:pt>
                <c:pt idx="29">
                  <c:v>66.8632418012191</c:v>
                </c:pt>
                <c:pt idx="30">
                  <c:v>66.89796840350604</c:v>
                </c:pt>
                <c:pt idx="31">
                  <c:v>66.92515885909143</c:v>
                </c:pt>
                <c:pt idx="32">
                  <c:v>66.94218763778542</c:v>
                </c:pt>
                <c:pt idx="33">
                  <c:v>66.9575131879453</c:v>
                </c:pt>
                <c:pt idx="34">
                  <c:v>66.97176715515508</c:v>
                </c:pt>
                <c:pt idx="35">
                  <c:v>66.98442076987063</c:v>
                </c:pt>
                <c:pt idx="36">
                  <c:v>66.99787391198143</c:v>
                </c:pt>
                <c:pt idx="37">
                  <c:v>67.01379911475087</c:v>
                </c:pt>
                <c:pt idx="38">
                  <c:v>67.0286957893185</c:v>
                </c:pt>
                <c:pt idx="39">
                  <c:v>67.04268700267544</c:v>
                </c:pt>
                <c:pt idx="40">
                  <c:v>67.05770674423418</c:v>
                </c:pt>
                <c:pt idx="41">
                  <c:v>67.07605987497321</c:v>
                </c:pt>
                <c:pt idx="42">
                  <c:v>67.0953596748747</c:v>
                </c:pt>
                <c:pt idx="43">
                  <c:v>67.11260186150838</c:v>
                </c:pt>
                <c:pt idx="44">
                  <c:v>67.14988447744713</c:v>
                </c:pt>
                <c:pt idx="45">
                  <c:v>67.19992373878213</c:v>
                </c:pt>
                <c:pt idx="46">
                  <c:v>67.23465480289594</c:v>
                </c:pt>
                <c:pt idx="47">
                  <c:v>67.26012744260088</c:v>
                </c:pt>
                <c:pt idx="48">
                  <c:v>67.28525504398716</c:v>
                </c:pt>
                <c:pt idx="49">
                  <c:v>67.31079815899942</c:v>
                </c:pt>
                <c:pt idx="50">
                  <c:v>67.33669107429372</c:v>
                </c:pt>
                <c:pt idx="51">
                  <c:v>67.36306518693035</c:v>
                </c:pt>
                <c:pt idx="52">
                  <c:v>67.39206368950034</c:v>
                </c:pt>
                <c:pt idx="53">
                  <c:v>67.4211497901105</c:v>
                </c:pt>
                <c:pt idx="54">
                  <c:v>67.4496670953382</c:v>
                </c:pt>
                <c:pt idx="55">
                  <c:v>67.47761560518338</c:v>
                </c:pt>
                <c:pt idx="56">
                  <c:v>67.50438331712216</c:v>
                </c:pt>
                <c:pt idx="57">
                  <c:v>67.53329422165198</c:v>
                </c:pt>
                <c:pt idx="58">
                  <c:v>67.56137412855743</c:v>
                </c:pt>
                <c:pt idx="59">
                  <c:v>67.58626144202567</c:v>
                </c:pt>
                <c:pt idx="60">
                  <c:v>67.61359794934693</c:v>
                </c:pt>
                <c:pt idx="61">
                  <c:v>67.64922326809507</c:v>
                </c:pt>
                <c:pt idx="62">
                  <c:v>67.68651497421338</c:v>
                </c:pt>
                <c:pt idx="63">
                  <c:v>67.72039987417354</c:v>
                </c:pt>
                <c:pt idx="64">
                  <c:v>67.75484436446668</c:v>
                </c:pt>
                <c:pt idx="65">
                  <c:v>67.78998865847194</c:v>
                </c:pt>
                <c:pt idx="66">
                  <c:v>67.82158593293991</c:v>
                </c:pt>
                <c:pt idx="67">
                  <c:v>67.85145643543228</c:v>
                </c:pt>
                <c:pt idx="68">
                  <c:v>67.88151388909683</c:v>
                </c:pt>
                <c:pt idx="69">
                  <c:v>67.91301831957051</c:v>
                </c:pt>
                <c:pt idx="70">
                  <c:v>67.94951674639058</c:v>
                </c:pt>
                <c:pt idx="71">
                  <c:v>67.9844279830224</c:v>
                </c:pt>
                <c:pt idx="72">
                  <c:v>68.0170054879608</c:v>
                </c:pt>
                <c:pt idx="73">
                  <c:v>68.04953625510614</c:v>
                </c:pt>
                <c:pt idx="74">
                  <c:v>68.0802467746898</c:v>
                </c:pt>
                <c:pt idx="75">
                  <c:v>68.11058402352086</c:v>
                </c:pt>
                <c:pt idx="76">
                  <c:v>68.1394742955428</c:v>
                </c:pt>
                <c:pt idx="77">
                  <c:v>68.16906500286868</c:v>
                </c:pt>
                <c:pt idx="78">
                  <c:v>68.2019696723584</c:v>
                </c:pt>
                <c:pt idx="79">
                  <c:v>68.23576109673246</c:v>
                </c:pt>
                <c:pt idx="80">
                  <c:v>68.26787185533216</c:v>
                </c:pt>
                <c:pt idx="81">
                  <c:v>68.2988621700823</c:v>
                </c:pt>
                <c:pt idx="82">
                  <c:v>68.32919941891336</c:v>
                </c:pt>
                <c:pt idx="83">
                  <c:v>68.35883686403228</c:v>
                </c:pt>
                <c:pt idx="84">
                  <c:v>68.38796082501947</c:v>
                </c:pt>
                <c:pt idx="85">
                  <c:v>68.41946525549315</c:v>
                </c:pt>
                <c:pt idx="86">
                  <c:v>68.45433038592373</c:v>
                </c:pt>
                <c:pt idx="87">
                  <c:v>68.48709484203431</c:v>
                </c:pt>
                <c:pt idx="88">
                  <c:v>68.51659207377409</c:v>
                </c:pt>
                <c:pt idx="89">
                  <c:v>68.5451558128365</c:v>
                </c:pt>
                <c:pt idx="90">
                  <c:v>68.57311259218106</c:v>
                </c:pt>
                <c:pt idx="91">
                  <c:v>68.60022935443436</c:v>
                </c:pt>
                <c:pt idx="92">
                  <c:v>68.62641262401028</c:v>
                </c:pt>
                <c:pt idx="93">
                  <c:v>68.65273610696535</c:v>
                </c:pt>
                <c:pt idx="94">
                  <c:v>68.68036635335038</c:v>
                </c:pt>
                <c:pt idx="95">
                  <c:v>68.69898883751301</c:v>
                </c:pt>
                <c:pt idx="96">
                  <c:v>68.71516978874578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70664"/>
        <c:axId val="-212356636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14588.0</c:v>
                </c:pt>
                <c:pt idx="1">
                  <c:v>40067.0</c:v>
                </c:pt>
                <c:pt idx="2">
                  <c:v>8765.0</c:v>
                </c:pt>
                <c:pt idx="3">
                  <c:v>15523.0</c:v>
                </c:pt>
                <c:pt idx="4">
                  <c:v>20679.0</c:v>
                </c:pt>
                <c:pt idx="5">
                  <c:v>22777.0</c:v>
                </c:pt>
                <c:pt idx="6">
                  <c:v>31027.0</c:v>
                </c:pt>
                <c:pt idx="7">
                  <c:v>35047.0</c:v>
                </c:pt>
                <c:pt idx="8">
                  <c:v>44340.0</c:v>
                </c:pt>
                <c:pt idx="9">
                  <c:v>39668.0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0.0228980746594563</c:v>
                  </c:pt>
                  <c:pt idx="1">
                    <c:v>0.00997348135685677</c:v>
                  </c:pt>
                  <c:pt idx="2">
                    <c:v>0.0192518853211259</c:v>
                  </c:pt>
                  <c:pt idx="3">
                    <c:v>0.00201736460121856</c:v>
                  </c:pt>
                  <c:pt idx="4">
                    <c:v>0.00128461742942882</c:v>
                  </c:pt>
                  <c:pt idx="5">
                    <c:v>0.00985359799073594</c:v>
                  </c:pt>
                  <c:pt idx="6">
                    <c:v>0.0184532061386338</c:v>
                  </c:pt>
                  <c:pt idx="7">
                    <c:v>0.0283198573105308</c:v>
                  </c:pt>
                  <c:pt idx="8">
                    <c:v>0.0048017207382057</c:v>
                  </c:pt>
                  <c:pt idx="9">
                    <c:v>0.0106581742998441</c:v>
                  </c:pt>
                  <c:pt idx="10">
                    <c:v>0.01179686218951</c:v>
                  </c:pt>
                  <c:pt idx="11">
                    <c:v>0.0154776563114194</c:v>
                  </c:pt>
                  <c:pt idx="12">
                    <c:v>0.0128056022711555</c:v>
                  </c:pt>
                  <c:pt idx="13">
                    <c:v>0.0208181330500833</c:v>
                  </c:pt>
                  <c:pt idx="14">
                    <c:v>0.01217693356711</c:v>
                  </c:pt>
                  <c:pt idx="15">
                    <c:v>0.0248059668702655</c:v>
                  </c:pt>
                  <c:pt idx="16">
                    <c:v>0.00604052075273342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0.0228980746594563</c:v>
                  </c:pt>
                  <c:pt idx="1">
                    <c:v>0.00997348135685677</c:v>
                  </c:pt>
                  <c:pt idx="2">
                    <c:v>0.0192518853211259</c:v>
                  </c:pt>
                  <c:pt idx="3">
                    <c:v>0.00201736460121856</c:v>
                  </c:pt>
                  <c:pt idx="4">
                    <c:v>0.00128461742942882</c:v>
                  </c:pt>
                  <c:pt idx="5">
                    <c:v>0.00985359799073594</c:v>
                  </c:pt>
                  <c:pt idx="6">
                    <c:v>0.0184532061386338</c:v>
                  </c:pt>
                  <c:pt idx="7">
                    <c:v>0.0283198573105308</c:v>
                  </c:pt>
                  <c:pt idx="8">
                    <c:v>0.0048017207382057</c:v>
                  </c:pt>
                  <c:pt idx="9">
                    <c:v>0.0106581742998441</c:v>
                  </c:pt>
                  <c:pt idx="10">
                    <c:v>0.01179686218951</c:v>
                  </c:pt>
                  <c:pt idx="11">
                    <c:v>0.0154776563114194</c:v>
                  </c:pt>
                  <c:pt idx="12">
                    <c:v>0.0128056022711555</c:v>
                  </c:pt>
                  <c:pt idx="13">
                    <c:v>0.0208181330500833</c:v>
                  </c:pt>
                  <c:pt idx="14">
                    <c:v>0.01217693356711</c:v>
                  </c:pt>
                  <c:pt idx="15">
                    <c:v>0.0248059668702655</c:v>
                  </c:pt>
                  <c:pt idx="16">
                    <c:v>0.00604052075273342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8.309560186470946</c:v>
                </c:pt>
                <c:pt idx="1">
                  <c:v>8.766180067032163</c:v>
                </c:pt>
                <c:pt idx="2">
                  <c:v>9.092698853179752</c:v>
                </c:pt>
                <c:pt idx="3">
                  <c:v>9.360852126515915</c:v>
                </c:pt>
                <c:pt idx="4">
                  <c:v>9.488434248452188</c:v>
                </c:pt>
                <c:pt idx="5">
                  <c:v>9.531630413236797</c:v>
                </c:pt>
                <c:pt idx="6">
                  <c:v>9.666636615834274</c:v>
                </c:pt>
                <c:pt idx="7">
                  <c:v>9.752411769122067</c:v>
                </c:pt>
                <c:pt idx="8">
                  <c:v>9.823227057105738</c:v>
                </c:pt>
                <c:pt idx="9">
                  <c:v>9.790077141949119</c:v>
                </c:pt>
                <c:pt idx="10">
                  <c:v>9.767325221953715</c:v>
                </c:pt>
                <c:pt idx="11">
                  <c:v>9.786109056944443</c:v>
                </c:pt>
                <c:pt idx="12">
                  <c:v>9.72528493150562</c:v>
                </c:pt>
                <c:pt idx="13">
                  <c:v>9.72918444486942</c:v>
                </c:pt>
                <c:pt idx="14">
                  <c:v>9.673120842900976</c:v>
                </c:pt>
                <c:pt idx="15">
                  <c:v>9.669721602450634</c:v>
                </c:pt>
                <c:pt idx="16">
                  <c:v>9.64739074696071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C97A36"/>
              </a:solidFill>
            </a:ln>
          </c:spPr>
          <c:marker>
            <c:symbol val="circle"/>
            <c:size val="8"/>
            <c:spPr>
              <a:solidFill>
                <a:srgbClr val="C97A36"/>
              </a:solidFill>
              <a:ln w="19050">
                <a:solidFill>
                  <a:srgbClr val="C97A3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counts'!$S$4:$S$20</c:f>
                <c:numCache>
                  <c:formatCode>General</c:formatCode>
                  <c:ptCount val="17"/>
                  <c:pt idx="0">
                    <c:v>0.0489727969167062</c:v>
                  </c:pt>
                  <c:pt idx="1">
                    <c:v>0.0279174311692793</c:v>
                  </c:pt>
                  <c:pt idx="2">
                    <c:v>0.0295521069355717</c:v>
                  </c:pt>
                  <c:pt idx="3">
                    <c:v>0.0446969413609296</c:v>
                  </c:pt>
                  <c:pt idx="4">
                    <c:v>0.068371961625338</c:v>
                  </c:pt>
                  <c:pt idx="5">
                    <c:v>0.0849286063371912</c:v>
                  </c:pt>
                  <c:pt idx="6">
                    <c:v>0.0402020522073882</c:v>
                  </c:pt>
                  <c:pt idx="7">
                    <c:v>0.0801698615078169</c:v>
                  </c:pt>
                  <c:pt idx="8">
                    <c:v>0.0532397730850874</c:v>
                  </c:pt>
                  <c:pt idx="9">
                    <c:v>0.0667669651105362</c:v>
                  </c:pt>
                  <c:pt idx="10">
                    <c:v>0.0634227561471268</c:v>
                  </c:pt>
                  <c:pt idx="11">
                    <c:v>0.0278174713589458</c:v>
                  </c:pt>
                  <c:pt idx="12">
                    <c:v>0.0665198373606046</c:v>
                  </c:pt>
                  <c:pt idx="13">
                    <c:v>0.067253349328693</c:v>
                  </c:pt>
                  <c:pt idx="14">
                    <c:v>0.012733521690844</c:v>
                  </c:pt>
                  <c:pt idx="15">
                    <c:v>0.0158896282728308</c:v>
                  </c:pt>
                  <c:pt idx="16">
                    <c:v>0.115334095833318</c:v>
                  </c:pt>
                </c:numCache>
              </c:numRef>
            </c:plus>
            <c:minus>
              <c:numRef>
                <c:f>'Determination cell counts'!$S$4:$S$20</c:f>
                <c:numCache>
                  <c:formatCode>General</c:formatCode>
                  <c:ptCount val="17"/>
                  <c:pt idx="0">
                    <c:v>0.0489727969167062</c:v>
                  </c:pt>
                  <c:pt idx="1">
                    <c:v>0.0279174311692793</c:v>
                  </c:pt>
                  <c:pt idx="2">
                    <c:v>0.0295521069355717</c:v>
                  </c:pt>
                  <c:pt idx="3">
                    <c:v>0.0446969413609296</c:v>
                  </c:pt>
                  <c:pt idx="4">
                    <c:v>0.068371961625338</c:v>
                  </c:pt>
                  <c:pt idx="5">
                    <c:v>0.0849286063371912</c:v>
                  </c:pt>
                  <c:pt idx="6">
                    <c:v>0.0402020522073882</c:v>
                  </c:pt>
                  <c:pt idx="7">
                    <c:v>0.0801698615078169</c:v>
                  </c:pt>
                  <c:pt idx="8">
                    <c:v>0.0532397730850874</c:v>
                  </c:pt>
                  <c:pt idx="9">
                    <c:v>0.0667669651105362</c:v>
                  </c:pt>
                  <c:pt idx="10">
                    <c:v>0.0634227561471268</c:v>
                  </c:pt>
                  <c:pt idx="11">
                    <c:v>0.0278174713589458</c:v>
                  </c:pt>
                  <c:pt idx="12">
                    <c:v>0.0665198373606046</c:v>
                  </c:pt>
                  <c:pt idx="13">
                    <c:v>0.067253349328693</c:v>
                  </c:pt>
                  <c:pt idx="14">
                    <c:v>0.012733521690844</c:v>
                  </c:pt>
                  <c:pt idx="15">
                    <c:v>0.0158896282728308</c:v>
                  </c:pt>
                  <c:pt idx="16">
                    <c:v>0.115334095833318</c:v>
                  </c:pt>
                </c:numCache>
              </c:numRef>
            </c:minus>
          </c:errBars>
          <c:xVal>
            <c:numRef>
              <c:f>'Determination cell counts'!$D$4:$D$20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counts'!$R$4:$R$20</c:f>
              <c:numCache>
                <c:formatCode>0.00</c:formatCode>
                <c:ptCount val="17"/>
                <c:pt idx="0">
                  <c:v>8.643059703265196</c:v>
                </c:pt>
                <c:pt idx="1">
                  <c:v>9.071009205395796</c:v>
                </c:pt>
                <c:pt idx="2">
                  <c:v>9.37539658522579</c:v>
                </c:pt>
                <c:pt idx="3">
                  <c:v>9.4569867086339</c:v>
                </c:pt>
                <c:pt idx="4">
                  <c:v>9.598373560842786</c:v>
                </c:pt>
                <c:pt idx="5">
                  <c:v>9.631102840401533</c:v>
                </c:pt>
                <c:pt idx="6">
                  <c:v>9.67699630365601</c:v>
                </c:pt>
                <c:pt idx="7">
                  <c:v>9.787777459631606</c:v>
                </c:pt>
                <c:pt idx="8">
                  <c:v>9.906719049141818</c:v>
                </c:pt>
                <c:pt idx="9">
                  <c:v>9.866135328539934</c:v>
                </c:pt>
                <c:pt idx="10">
                  <c:v>9.85514424280406</c:v>
                </c:pt>
                <c:pt idx="11">
                  <c:v>9.691618941430434</c:v>
                </c:pt>
                <c:pt idx="12">
                  <c:v>9.566343075465773</c:v>
                </c:pt>
                <c:pt idx="13">
                  <c:v>9.45146726991997</c:v>
                </c:pt>
                <c:pt idx="14">
                  <c:v>9.671955834529075</c:v>
                </c:pt>
                <c:pt idx="15">
                  <c:v>9.554379045701697</c:v>
                </c:pt>
                <c:pt idx="16">
                  <c:v>9.290610814655732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49048"/>
        <c:axId val="-2094338904"/>
      </c:scatterChart>
      <c:valAx>
        <c:axId val="-20915706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3566360"/>
        <c:crosses val="autoZero"/>
        <c:crossBetween val="midCat"/>
        <c:majorUnit val="6.0"/>
      </c:valAx>
      <c:valAx>
        <c:axId val="-2123566360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1570664"/>
        <c:crosses val="autoZero"/>
        <c:crossBetween val="midCat"/>
      </c:valAx>
      <c:valAx>
        <c:axId val="-2094338904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8049048"/>
        <c:crosses val="max"/>
        <c:crossBetween val="midCat"/>
        <c:majorUnit val="1.0"/>
        <c:minorUnit val="0.2"/>
      </c:valAx>
      <c:valAx>
        <c:axId val="211804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43389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0.0170245616881686</c:v>
                  </c:pt>
                  <c:pt idx="2">
                    <c:v>0.0111841610034566</c:v>
                  </c:pt>
                  <c:pt idx="3">
                    <c:v>0.0</c:v>
                  </c:pt>
                  <c:pt idx="4">
                    <c:v>0.00652832490346517</c:v>
                  </c:pt>
                  <c:pt idx="5">
                    <c:v>0.0173649726545494</c:v>
                  </c:pt>
                  <c:pt idx="6">
                    <c:v>0.0228442673990266</c:v>
                  </c:pt>
                  <c:pt idx="7">
                    <c:v>0.0114976519388489</c:v>
                  </c:pt>
                  <c:pt idx="8">
                    <c:v>0.0291334784421302</c:v>
                  </c:pt>
                  <c:pt idx="9">
                    <c:v>0.0373454594655911</c:v>
                  </c:pt>
                  <c:pt idx="10">
                    <c:v>0.0484575435291132</c:v>
                  </c:pt>
                  <c:pt idx="11">
                    <c:v>0.0470846788627847</c:v>
                  </c:pt>
                  <c:pt idx="12">
                    <c:v>0.0116623857440653</c:v>
                  </c:pt>
                  <c:pt idx="13">
                    <c:v>0.0233247714881306</c:v>
                  </c:pt>
                  <c:pt idx="14">
                    <c:v>0.0269638017372807</c:v>
                  </c:pt>
                  <c:pt idx="15">
                    <c:v>0.0375320235998114</c:v>
                  </c:pt>
                  <c:pt idx="16">
                    <c:v>0.0350270059306381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0.0170245616881686</c:v>
                  </c:pt>
                  <c:pt idx="2">
                    <c:v>0.0111841610034566</c:v>
                  </c:pt>
                  <c:pt idx="3">
                    <c:v>0.0</c:v>
                  </c:pt>
                  <c:pt idx="4">
                    <c:v>0.00652832490346517</c:v>
                  </c:pt>
                  <c:pt idx="5">
                    <c:v>0.0173649726545494</c:v>
                  </c:pt>
                  <c:pt idx="6">
                    <c:v>0.0228442673990266</c:v>
                  </c:pt>
                  <c:pt idx="7">
                    <c:v>0.0114976519388489</c:v>
                  </c:pt>
                  <c:pt idx="8">
                    <c:v>0.0291334784421302</c:v>
                  </c:pt>
                  <c:pt idx="9">
                    <c:v>0.0373454594655911</c:v>
                  </c:pt>
                  <c:pt idx="10">
                    <c:v>0.0484575435291132</c:v>
                  </c:pt>
                  <c:pt idx="11">
                    <c:v>0.0470846788627847</c:v>
                  </c:pt>
                  <c:pt idx="12">
                    <c:v>0.0116623857440653</c:v>
                  </c:pt>
                  <c:pt idx="13">
                    <c:v>0.0233247714881306</c:v>
                  </c:pt>
                  <c:pt idx="14">
                    <c:v>0.0269638017372807</c:v>
                  </c:pt>
                  <c:pt idx="15">
                    <c:v>0.0375320235998114</c:v>
                  </c:pt>
                  <c:pt idx="16">
                    <c:v>0.0350270059306381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2.383455143697406</c:v>
                </c:pt>
                <c:pt idx="1">
                  <c:v>2.381355981555959</c:v>
                </c:pt>
                <c:pt idx="2">
                  <c:v>2.382226293736251</c:v>
                </c:pt>
                <c:pt idx="3">
                  <c:v>2.350981653472626</c:v>
                </c:pt>
                <c:pt idx="4">
                  <c:v>2.370782858294585</c:v>
                </c:pt>
                <c:pt idx="5">
                  <c:v>2.425182525876137</c:v>
                </c:pt>
                <c:pt idx="6">
                  <c:v>2.478603012794382</c:v>
                </c:pt>
                <c:pt idx="7">
                  <c:v>2.678952901751795</c:v>
                </c:pt>
                <c:pt idx="8">
                  <c:v>3.858823487045833</c:v>
                </c:pt>
                <c:pt idx="9">
                  <c:v>4.457297854331405</c:v>
                </c:pt>
                <c:pt idx="10">
                  <c:v>4.616853105031691</c:v>
                </c:pt>
                <c:pt idx="11">
                  <c:v>4.815513785715491</c:v>
                </c:pt>
                <c:pt idx="12">
                  <c:v>5.038150641436213</c:v>
                </c:pt>
                <c:pt idx="13">
                  <c:v>5.154774498876867</c:v>
                </c:pt>
                <c:pt idx="14">
                  <c:v>5.191780656830131</c:v>
                </c:pt>
                <c:pt idx="15">
                  <c:v>5.211240104569372</c:v>
                </c:pt>
                <c:pt idx="16">
                  <c:v>5.21902388366507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BC008"/>
              </a:solidFill>
            </a:ln>
          </c:spPr>
          <c:marker>
            <c:symbol val="triangle"/>
            <c:size val="8"/>
            <c:spPr>
              <a:solidFill>
                <a:srgbClr val="FBC008"/>
              </a:solidFill>
              <a:ln>
                <a:solidFill>
                  <a:srgbClr val="FBC008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0.391585454697516</c:v>
                  </c:pt>
                  <c:pt idx="1">
                    <c:v>0.336596094574002</c:v>
                  </c:pt>
                  <c:pt idx="2">
                    <c:v>0.426527515888026</c:v>
                  </c:pt>
                  <c:pt idx="3">
                    <c:v>0.758830345226842</c:v>
                  </c:pt>
                  <c:pt idx="4">
                    <c:v>0.434770869971251</c:v>
                  </c:pt>
                  <c:pt idx="5">
                    <c:v>0.326391842353832</c:v>
                  </c:pt>
                  <c:pt idx="6">
                    <c:v>0.138493698550055</c:v>
                  </c:pt>
                  <c:pt idx="7">
                    <c:v>0.584125589207616</c:v>
                  </c:pt>
                  <c:pt idx="8">
                    <c:v>0.400541343189866</c:v>
                  </c:pt>
                  <c:pt idx="9">
                    <c:v>0.326502500338716</c:v>
                  </c:pt>
                  <c:pt idx="10">
                    <c:v>0.254416225209971</c:v>
                  </c:pt>
                  <c:pt idx="11">
                    <c:v>0.332055873648079</c:v>
                  </c:pt>
                  <c:pt idx="12">
                    <c:v>0.358673824548666</c:v>
                  </c:pt>
                  <c:pt idx="13">
                    <c:v>0.247616383552937</c:v>
                  </c:pt>
                  <c:pt idx="14">
                    <c:v>0.218989312896257</c:v>
                  </c:pt>
                  <c:pt idx="15">
                    <c:v>0.249132763314086</c:v>
                  </c:pt>
                  <c:pt idx="16">
                    <c:v>0.192659226403279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0.391585454697516</c:v>
                  </c:pt>
                  <c:pt idx="1">
                    <c:v>0.336596094574002</c:v>
                  </c:pt>
                  <c:pt idx="2">
                    <c:v>0.426527515888026</c:v>
                  </c:pt>
                  <c:pt idx="3">
                    <c:v>0.758830345226842</c:v>
                  </c:pt>
                  <c:pt idx="4">
                    <c:v>0.434770869971251</c:v>
                  </c:pt>
                  <c:pt idx="5">
                    <c:v>0.326391842353832</c:v>
                  </c:pt>
                  <c:pt idx="6">
                    <c:v>0.138493698550055</c:v>
                  </c:pt>
                  <c:pt idx="7">
                    <c:v>0.584125589207616</c:v>
                  </c:pt>
                  <c:pt idx="8">
                    <c:v>0.400541343189866</c:v>
                  </c:pt>
                  <c:pt idx="9">
                    <c:v>0.326502500338716</c:v>
                  </c:pt>
                  <c:pt idx="10">
                    <c:v>0.254416225209971</c:v>
                  </c:pt>
                  <c:pt idx="11">
                    <c:v>0.332055873648079</c:v>
                  </c:pt>
                  <c:pt idx="12">
                    <c:v>0.358673824548666</c:v>
                  </c:pt>
                  <c:pt idx="13">
                    <c:v>0.247616383552937</c:v>
                  </c:pt>
                  <c:pt idx="14">
                    <c:v>0.218989312896257</c:v>
                  </c:pt>
                  <c:pt idx="15">
                    <c:v>0.249132763314086</c:v>
                  </c:pt>
                  <c:pt idx="16">
                    <c:v>0.192659226403279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47.97805107765387</c:v>
                </c:pt>
                <c:pt idx="1">
                  <c:v>46.98516400730245</c:v>
                </c:pt>
                <c:pt idx="2">
                  <c:v>45.82964354178887</c:v>
                </c:pt>
                <c:pt idx="3">
                  <c:v>42.59562762775512</c:v>
                </c:pt>
                <c:pt idx="4">
                  <c:v>38.55468766565294</c:v>
                </c:pt>
                <c:pt idx="5">
                  <c:v>35.1348873744544</c:v>
                </c:pt>
                <c:pt idx="6">
                  <c:v>31.10419654004798</c:v>
                </c:pt>
                <c:pt idx="7">
                  <c:v>28.51001046519475</c:v>
                </c:pt>
                <c:pt idx="8">
                  <c:v>26.10060140027172</c:v>
                </c:pt>
                <c:pt idx="9">
                  <c:v>26.21083095278113</c:v>
                </c:pt>
                <c:pt idx="10">
                  <c:v>26.04398885331014</c:v>
                </c:pt>
                <c:pt idx="11">
                  <c:v>26.09260101876755</c:v>
                </c:pt>
                <c:pt idx="12">
                  <c:v>25.99106929657409</c:v>
                </c:pt>
                <c:pt idx="13">
                  <c:v>25.67616740247156</c:v>
                </c:pt>
                <c:pt idx="14">
                  <c:v>25.56529552787749</c:v>
                </c:pt>
                <c:pt idx="15">
                  <c:v>25.24419681720535</c:v>
                </c:pt>
                <c:pt idx="16">
                  <c:v>24.60783755423695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0.136117171446271</c:v>
                  </c:pt>
                  <c:pt idx="1">
                    <c:v>0.0333168046245975</c:v>
                  </c:pt>
                  <c:pt idx="2">
                    <c:v>0.0828637175714154</c:v>
                  </c:pt>
                  <c:pt idx="3">
                    <c:v>0.183299549094613</c:v>
                  </c:pt>
                  <c:pt idx="4">
                    <c:v>0.033801671984568</c:v>
                  </c:pt>
                  <c:pt idx="5">
                    <c:v>0.100317662439434</c:v>
                  </c:pt>
                  <c:pt idx="6">
                    <c:v>0.0785009435265393</c:v>
                  </c:pt>
                  <c:pt idx="7">
                    <c:v>0.234194996960783</c:v>
                  </c:pt>
                  <c:pt idx="8">
                    <c:v>0.138424178415408</c:v>
                  </c:pt>
                  <c:pt idx="9">
                    <c:v>0.151380586379458</c:v>
                  </c:pt>
                  <c:pt idx="10">
                    <c:v>0.159984527521332</c:v>
                  </c:pt>
                  <c:pt idx="11">
                    <c:v>0.193909390919833</c:v>
                  </c:pt>
                  <c:pt idx="12">
                    <c:v>0.0475100900325266</c:v>
                  </c:pt>
                  <c:pt idx="13">
                    <c:v>0.0950201800650543</c:v>
                  </c:pt>
                  <c:pt idx="14">
                    <c:v>0.0698051640549257</c:v>
                  </c:pt>
                  <c:pt idx="15">
                    <c:v>0.217966554900441</c:v>
                  </c:pt>
                  <c:pt idx="16">
                    <c:v>0.0131919360226713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0.136117171446271</c:v>
                  </c:pt>
                  <c:pt idx="1">
                    <c:v>0.0333168046245975</c:v>
                  </c:pt>
                  <c:pt idx="2">
                    <c:v>0.0828637175714154</c:v>
                  </c:pt>
                  <c:pt idx="3">
                    <c:v>0.183299549094613</c:v>
                  </c:pt>
                  <c:pt idx="4">
                    <c:v>0.033801671984568</c:v>
                  </c:pt>
                  <c:pt idx="5">
                    <c:v>0.100317662439434</c:v>
                  </c:pt>
                  <c:pt idx="6">
                    <c:v>0.0785009435265393</c:v>
                  </c:pt>
                  <c:pt idx="7">
                    <c:v>0.234194996960783</c:v>
                  </c:pt>
                  <c:pt idx="8">
                    <c:v>0.138424178415408</c:v>
                  </c:pt>
                  <c:pt idx="9">
                    <c:v>0.151380586379458</c:v>
                  </c:pt>
                  <c:pt idx="10">
                    <c:v>0.159984527521332</c:v>
                  </c:pt>
                  <c:pt idx="11">
                    <c:v>0.193909390919833</c:v>
                  </c:pt>
                  <c:pt idx="12">
                    <c:v>0.0475100900325266</c:v>
                  </c:pt>
                  <c:pt idx="13">
                    <c:v>0.0950201800650543</c:v>
                  </c:pt>
                  <c:pt idx="14">
                    <c:v>0.0698051640549257</c:v>
                  </c:pt>
                  <c:pt idx="15">
                    <c:v>0.217966554900441</c:v>
                  </c:pt>
                  <c:pt idx="16">
                    <c:v>0.0131919360226713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1.220586716432263</c:v>
                </c:pt>
                <c:pt idx="1">
                  <c:v>1.323198752254365</c:v>
                </c:pt>
                <c:pt idx="2">
                  <c:v>1.364304038936823</c:v>
                </c:pt>
                <c:pt idx="3">
                  <c:v>2.340775616588575</c:v>
                </c:pt>
                <c:pt idx="4">
                  <c:v>3.238120871098525</c:v>
                </c:pt>
                <c:pt idx="5">
                  <c:v>4.575483810537254</c:v>
                </c:pt>
                <c:pt idx="6">
                  <c:v>6.094901494586601</c:v>
                </c:pt>
                <c:pt idx="7">
                  <c:v>8.070260928648157</c:v>
                </c:pt>
                <c:pt idx="8">
                  <c:v>9.13750623186698</c:v>
                </c:pt>
                <c:pt idx="9">
                  <c:v>9.647441171015735</c:v>
                </c:pt>
                <c:pt idx="10">
                  <c:v>9.50584715269674</c:v>
                </c:pt>
                <c:pt idx="11">
                  <c:v>9.309887577283626</c:v>
                </c:pt>
                <c:pt idx="12">
                  <c:v>9.304220773918951</c:v>
                </c:pt>
                <c:pt idx="13">
                  <c:v>9.136851307830467</c:v>
                </c:pt>
                <c:pt idx="14">
                  <c:v>9.033012227192424</c:v>
                </c:pt>
                <c:pt idx="15">
                  <c:v>9.048244962820068</c:v>
                </c:pt>
                <c:pt idx="16">
                  <c:v>9.375748778814394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0.0916004503284643</c:v>
                </c:pt>
                <c:pt idx="1">
                  <c:v>0.320815729766205</c:v>
                </c:pt>
                <c:pt idx="2">
                  <c:v>0.656883692201207</c:v>
                </c:pt>
                <c:pt idx="3">
                  <c:v>1.159132645174255</c:v>
                </c:pt>
                <c:pt idx="4">
                  <c:v>1.787491354132267</c:v>
                </c:pt>
                <c:pt idx="5">
                  <c:v>2.520921392753121</c:v>
                </c:pt>
                <c:pt idx="6">
                  <c:v>3.448420515560309</c:v>
                </c:pt>
                <c:pt idx="7">
                  <c:v>4.677690173406375</c:v>
                </c:pt>
                <c:pt idx="8">
                  <c:v>6.253177004865881</c:v>
                </c:pt>
                <c:pt idx="9">
                  <c:v>8.106467947499857</c:v>
                </c:pt>
                <c:pt idx="10">
                  <c:v>10.2333276977427</c:v>
                </c:pt>
                <c:pt idx="11">
                  <c:v>12.61049686566533</c:v>
                </c:pt>
                <c:pt idx="12">
                  <c:v>15.22135639908656</c:v>
                </c:pt>
                <c:pt idx="13">
                  <c:v>18.04585069440156</c:v>
                </c:pt>
                <c:pt idx="14">
                  <c:v>20.9879188416455</c:v>
                </c:pt>
                <c:pt idx="15">
                  <c:v>24.11370998281627</c:v>
                </c:pt>
                <c:pt idx="16">
                  <c:v>27.43539129541758</c:v>
                </c:pt>
                <c:pt idx="17">
                  <c:v>30.86694611686275</c:v>
                </c:pt>
                <c:pt idx="18">
                  <c:v>34.48918420119583</c:v>
                </c:pt>
                <c:pt idx="19">
                  <c:v>38.3114922314384</c:v>
                </c:pt>
                <c:pt idx="20">
                  <c:v>42.33512563386041</c:v>
                </c:pt>
                <c:pt idx="21">
                  <c:v>46.57248428465117</c:v>
                </c:pt>
                <c:pt idx="22">
                  <c:v>50.92401531286456</c:v>
                </c:pt>
                <c:pt idx="23">
                  <c:v>55.48314220962268</c:v>
                </c:pt>
                <c:pt idx="24">
                  <c:v>59.8607975691718</c:v>
                </c:pt>
                <c:pt idx="25">
                  <c:v>63.58652437727123</c:v>
                </c:pt>
                <c:pt idx="26">
                  <c:v>66.81362369117904</c:v>
                </c:pt>
                <c:pt idx="27">
                  <c:v>69.60247541211724</c:v>
                </c:pt>
                <c:pt idx="28">
                  <c:v>72.0132356579882</c:v>
                </c:pt>
                <c:pt idx="29">
                  <c:v>74.08550553215531</c:v>
                </c:pt>
                <c:pt idx="30">
                  <c:v>75.79426519391918</c:v>
                </c:pt>
                <c:pt idx="31">
                  <c:v>77.22867564647889</c:v>
                </c:pt>
                <c:pt idx="32">
                  <c:v>78.42112297548647</c:v>
                </c:pt>
                <c:pt idx="33">
                  <c:v>79.36989941711198</c:v>
                </c:pt>
                <c:pt idx="34">
                  <c:v>80.1417695951903</c:v>
                </c:pt>
                <c:pt idx="35">
                  <c:v>80.76138523800464</c:v>
                </c:pt>
                <c:pt idx="36">
                  <c:v>81.25491049866542</c:v>
                </c:pt>
                <c:pt idx="37">
                  <c:v>81.65704999023634</c:v>
                </c:pt>
                <c:pt idx="38">
                  <c:v>81.97436402680135</c:v>
                </c:pt>
                <c:pt idx="39">
                  <c:v>82.22483709499033</c:v>
                </c:pt>
                <c:pt idx="40">
                  <c:v>82.42316539825415</c:v>
                </c:pt>
                <c:pt idx="41">
                  <c:v>82.58266077560965</c:v>
                </c:pt>
                <c:pt idx="42">
                  <c:v>82.71123682439078</c:v>
                </c:pt>
                <c:pt idx="43">
                  <c:v>82.81549739730201</c:v>
                </c:pt>
                <c:pt idx="44">
                  <c:v>82.90673848490834</c:v>
                </c:pt>
                <c:pt idx="45">
                  <c:v>82.9906217256655</c:v>
                </c:pt>
                <c:pt idx="46">
                  <c:v>83.06483947427395</c:v>
                </c:pt>
                <c:pt idx="47">
                  <c:v>83.12981550439994</c:v>
                </c:pt>
                <c:pt idx="48">
                  <c:v>83.18957177758702</c:v>
                </c:pt>
                <c:pt idx="49">
                  <c:v>83.24578604423371</c:v>
                </c:pt>
                <c:pt idx="50">
                  <c:v>83.29818565298221</c:v>
                </c:pt>
                <c:pt idx="51">
                  <c:v>83.34715058992573</c:v>
                </c:pt>
                <c:pt idx="52">
                  <c:v>83.39281106836722</c:v>
                </c:pt>
                <c:pt idx="53">
                  <c:v>83.43684920742952</c:v>
                </c:pt>
                <c:pt idx="54">
                  <c:v>83.48161831662435</c:v>
                </c:pt>
                <c:pt idx="55">
                  <c:v>83.52766943497472</c:v>
                </c:pt>
                <c:pt idx="56">
                  <c:v>83.57409106935991</c:v>
                </c:pt>
                <c:pt idx="57">
                  <c:v>83.62021202939097</c:v>
                </c:pt>
                <c:pt idx="58">
                  <c:v>83.66427029232735</c:v>
                </c:pt>
                <c:pt idx="59">
                  <c:v>83.7073874682105</c:v>
                </c:pt>
                <c:pt idx="60">
                  <c:v>83.7506845752032</c:v>
                </c:pt>
                <c:pt idx="61">
                  <c:v>83.79668010660194</c:v>
                </c:pt>
                <c:pt idx="62">
                  <c:v>83.84471013646903</c:v>
                </c:pt>
                <c:pt idx="63">
                  <c:v>83.89072033576628</c:v>
                </c:pt>
                <c:pt idx="64">
                  <c:v>83.93618547134188</c:v>
                </c:pt>
                <c:pt idx="65">
                  <c:v>83.98091353928928</c:v>
                </c:pt>
                <c:pt idx="66">
                  <c:v>84.02396409942133</c:v>
                </c:pt>
                <c:pt idx="67">
                  <c:v>84.06498409192295</c:v>
                </c:pt>
                <c:pt idx="68">
                  <c:v>84.10354656073874</c:v>
                </c:pt>
                <c:pt idx="69">
                  <c:v>84.1398334043065</c:v>
                </c:pt>
                <c:pt idx="70">
                  <c:v>84.17428231574222</c:v>
                </c:pt>
                <c:pt idx="71">
                  <c:v>84.20859227698239</c:v>
                </c:pt>
                <c:pt idx="72">
                  <c:v>84.24228264666877</c:v>
                </c:pt>
                <c:pt idx="73">
                  <c:v>84.2739538173771</c:v>
                </c:pt>
                <c:pt idx="74">
                  <c:v>84.30519740043822</c:v>
                </c:pt>
                <c:pt idx="75">
                  <c:v>84.33624834800095</c:v>
                </c:pt>
                <c:pt idx="76">
                  <c:v>84.3655043116739</c:v>
                </c:pt>
                <c:pt idx="77">
                  <c:v>84.39261286323382</c:v>
                </c:pt>
                <c:pt idx="78">
                  <c:v>84.41919782519323</c:v>
                </c:pt>
                <c:pt idx="79">
                  <c:v>84.44537667362657</c:v>
                </c:pt>
                <c:pt idx="80">
                  <c:v>84.46994180501613</c:v>
                </c:pt>
                <c:pt idx="81">
                  <c:v>84.49308585486031</c:v>
                </c:pt>
                <c:pt idx="82">
                  <c:v>84.51444565787527</c:v>
                </c:pt>
                <c:pt idx="83">
                  <c:v>84.52459660125195</c:v>
                </c:pt>
                <c:pt idx="84">
                  <c:v>84.52459660125195</c:v>
                </c:pt>
                <c:pt idx="85">
                  <c:v>84.52459660125195</c:v>
                </c:pt>
                <c:pt idx="86">
                  <c:v>84.52459660125195</c:v>
                </c:pt>
                <c:pt idx="87">
                  <c:v>84.52459660125195</c:v>
                </c:pt>
                <c:pt idx="88">
                  <c:v>84.52459660125195</c:v>
                </c:pt>
                <c:pt idx="89">
                  <c:v>84.52459660125195</c:v>
                </c:pt>
                <c:pt idx="90">
                  <c:v>84.52459660125195</c:v>
                </c:pt>
                <c:pt idx="91">
                  <c:v>84.52459660125195</c:v>
                </c:pt>
                <c:pt idx="92">
                  <c:v>84.52459660125195</c:v>
                </c:pt>
                <c:pt idx="93">
                  <c:v>84.52459660125195</c:v>
                </c:pt>
                <c:pt idx="94">
                  <c:v>84.52459660125195</c:v>
                </c:pt>
                <c:pt idx="95">
                  <c:v>84.53518523774463</c:v>
                </c:pt>
                <c:pt idx="96">
                  <c:v>84.5457738742373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E66"/>
              </a:solidFill>
            </a:ln>
          </c:spPr>
          <c:marker>
            <c:symbol val="circle"/>
            <c:size val="8"/>
            <c:spPr>
              <a:solidFill>
                <a:srgbClr val="67FE66"/>
              </a:solidFill>
              <a:ln>
                <a:solidFill>
                  <a:srgbClr val="67FE66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0.451738557634641</c:v>
                  </c:pt>
                  <c:pt idx="1">
                    <c:v>0.454397274315477</c:v>
                  </c:pt>
                  <c:pt idx="2">
                    <c:v>0.302024121178078</c:v>
                  </c:pt>
                  <c:pt idx="3">
                    <c:v>1.042601857388702</c:v>
                  </c:pt>
                  <c:pt idx="4">
                    <c:v>0.317329645303278</c:v>
                  </c:pt>
                  <c:pt idx="5">
                    <c:v>0.190591381772266</c:v>
                  </c:pt>
                  <c:pt idx="6">
                    <c:v>0.114648866887741</c:v>
                  </c:pt>
                  <c:pt idx="7">
                    <c:v>0.0916813085646755</c:v>
                  </c:pt>
                  <c:pt idx="8">
                    <c:v>0.0261005982827229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0.451738557634641</c:v>
                  </c:pt>
                  <c:pt idx="1">
                    <c:v>0.454397274315477</c:v>
                  </c:pt>
                  <c:pt idx="2">
                    <c:v>0.302024121178078</c:v>
                  </c:pt>
                  <c:pt idx="3">
                    <c:v>1.042601857388702</c:v>
                  </c:pt>
                  <c:pt idx="4">
                    <c:v>0.317329645303278</c:v>
                  </c:pt>
                  <c:pt idx="5">
                    <c:v>0.190591381772266</c:v>
                  </c:pt>
                  <c:pt idx="6">
                    <c:v>0.114648866887741</c:v>
                  </c:pt>
                  <c:pt idx="7">
                    <c:v>0.0916813085646755</c:v>
                  </c:pt>
                  <c:pt idx="8">
                    <c:v>0.0261005982827229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49.38058701918877</c:v>
                </c:pt>
                <c:pt idx="1">
                  <c:v>48.2976886711673</c:v>
                </c:pt>
                <c:pt idx="2">
                  <c:v>45.97808588521</c:v>
                </c:pt>
                <c:pt idx="3">
                  <c:v>39.93294196089867</c:v>
                </c:pt>
                <c:pt idx="4">
                  <c:v>33.01946459473723</c:v>
                </c:pt>
                <c:pt idx="5">
                  <c:v>26.78500419399293</c:v>
                </c:pt>
                <c:pt idx="6">
                  <c:v>19.83453516920481</c:v>
                </c:pt>
                <c:pt idx="7">
                  <c:v>11.59154942968284</c:v>
                </c:pt>
                <c:pt idx="8">
                  <c:v>2.116564682644639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0.0113866608617023</c:v>
                  </c:pt>
                  <c:pt idx="1">
                    <c:v>0.0410830236200295</c:v>
                  </c:pt>
                  <c:pt idx="2">
                    <c:v>0.0629747794909317</c:v>
                  </c:pt>
                  <c:pt idx="3">
                    <c:v>0.303687098961967</c:v>
                  </c:pt>
                  <c:pt idx="4">
                    <c:v>0.223065046489712</c:v>
                  </c:pt>
                  <c:pt idx="5">
                    <c:v>0.213038711164019</c:v>
                  </c:pt>
                  <c:pt idx="6">
                    <c:v>0.21877816426109</c:v>
                  </c:pt>
                  <c:pt idx="7">
                    <c:v>0.950825441611772</c:v>
                  </c:pt>
                  <c:pt idx="8">
                    <c:v>1.037891431208954</c:v>
                  </c:pt>
                  <c:pt idx="9">
                    <c:v>0.611464169043194</c:v>
                  </c:pt>
                  <c:pt idx="10">
                    <c:v>0.561459740668664</c:v>
                  </c:pt>
                  <c:pt idx="11">
                    <c:v>0.890562140332172</c:v>
                  </c:pt>
                  <c:pt idx="12">
                    <c:v>0.354299818670748</c:v>
                  </c:pt>
                  <c:pt idx="13">
                    <c:v>0.333918833443917</c:v>
                  </c:pt>
                  <c:pt idx="14">
                    <c:v>0.536886988374846</c:v>
                  </c:pt>
                  <c:pt idx="15">
                    <c:v>0.559372491829181</c:v>
                  </c:pt>
                  <c:pt idx="16">
                    <c:v>0.280025671095213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0.0113866608617023</c:v>
                  </c:pt>
                  <c:pt idx="1">
                    <c:v>0.0410830236200295</c:v>
                  </c:pt>
                  <c:pt idx="2">
                    <c:v>0.0629747794909317</c:v>
                  </c:pt>
                  <c:pt idx="3">
                    <c:v>0.303687098961967</c:v>
                  </c:pt>
                  <c:pt idx="4">
                    <c:v>0.223065046489712</c:v>
                  </c:pt>
                  <c:pt idx="5">
                    <c:v>0.213038711164019</c:v>
                  </c:pt>
                  <c:pt idx="6">
                    <c:v>0.21877816426109</c:v>
                  </c:pt>
                  <c:pt idx="7">
                    <c:v>0.950825441611772</c:v>
                  </c:pt>
                  <c:pt idx="8">
                    <c:v>1.037891431208954</c:v>
                  </c:pt>
                  <c:pt idx="9">
                    <c:v>0.611464169043194</c:v>
                  </c:pt>
                  <c:pt idx="10">
                    <c:v>0.561459740668664</c:v>
                  </c:pt>
                  <c:pt idx="11">
                    <c:v>0.890562140332172</c:v>
                  </c:pt>
                  <c:pt idx="12">
                    <c:v>0.354299818670748</c:v>
                  </c:pt>
                  <c:pt idx="13">
                    <c:v>0.333918833443917</c:v>
                  </c:pt>
                  <c:pt idx="14">
                    <c:v>0.536886988374846</c:v>
                  </c:pt>
                  <c:pt idx="15">
                    <c:v>0.559372491829181</c:v>
                  </c:pt>
                  <c:pt idx="16">
                    <c:v>0.280025671095213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2.117918920276629</c:v>
                </c:pt>
                <c:pt idx="1">
                  <c:v>4.466597207656991</c:v>
                </c:pt>
                <c:pt idx="2">
                  <c:v>7.962029308995453</c:v>
                </c:pt>
                <c:pt idx="3">
                  <c:v>15.37962689648296</c:v>
                </c:pt>
                <c:pt idx="4">
                  <c:v>22.30349030465639</c:v>
                </c:pt>
                <c:pt idx="5">
                  <c:v>30.07829118345821</c:v>
                </c:pt>
                <c:pt idx="6">
                  <c:v>37.624951757658</c:v>
                </c:pt>
                <c:pt idx="7">
                  <c:v>49.00543276416004</c:v>
                </c:pt>
                <c:pt idx="8">
                  <c:v>57.50378731288141</c:v>
                </c:pt>
                <c:pt idx="9">
                  <c:v>60.4994302454489</c:v>
                </c:pt>
                <c:pt idx="10">
                  <c:v>61.01197430161021</c:v>
                </c:pt>
                <c:pt idx="11">
                  <c:v>61.50403028866998</c:v>
                </c:pt>
                <c:pt idx="12">
                  <c:v>61.72608652153118</c:v>
                </c:pt>
                <c:pt idx="13">
                  <c:v>61.68236834808857</c:v>
                </c:pt>
                <c:pt idx="14">
                  <c:v>62.44097235851756</c:v>
                </c:pt>
                <c:pt idx="15">
                  <c:v>63.53915042332037</c:v>
                </c:pt>
                <c:pt idx="16">
                  <c:v>65.10683939988675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0.0403529992110904</c:v>
                </c:pt>
                <c:pt idx="1">
                  <c:v>0.255217612129361</c:v>
                </c:pt>
                <c:pt idx="2">
                  <c:v>0.708971296605208</c:v>
                </c:pt>
                <c:pt idx="3">
                  <c:v>1.445920584026317</c:v>
                </c:pt>
                <c:pt idx="4">
                  <c:v>2.719358830401566</c:v>
                </c:pt>
                <c:pt idx="5">
                  <c:v>4.55673379902086</c:v>
                </c:pt>
                <c:pt idx="6">
                  <c:v>6.497427254838064</c:v>
                </c:pt>
                <c:pt idx="7">
                  <c:v>8.574385817333965</c:v>
                </c:pt>
                <c:pt idx="8">
                  <c:v>10.87385441088032</c:v>
                </c:pt>
                <c:pt idx="9">
                  <c:v>13.06205176555518</c:v>
                </c:pt>
                <c:pt idx="10">
                  <c:v>15.20442598139848</c:v>
                </c:pt>
                <c:pt idx="11">
                  <c:v>17.48774705404867</c:v>
                </c:pt>
                <c:pt idx="12">
                  <c:v>19.94190727103914</c:v>
                </c:pt>
                <c:pt idx="13">
                  <c:v>22.67490668236025</c:v>
                </c:pt>
                <c:pt idx="14">
                  <c:v>25.57288508919613</c:v>
                </c:pt>
                <c:pt idx="15">
                  <c:v>28.55600601529693</c:v>
                </c:pt>
                <c:pt idx="16">
                  <c:v>31.65670896981478</c:v>
                </c:pt>
                <c:pt idx="17">
                  <c:v>34.85047147629293</c:v>
                </c:pt>
                <c:pt idx="18">
                  <c:v>38.42036002036372</c:v>
                </c:pt>
                <c:pt idx="19">
                  <c:v>42.23023524394362</c:v>
                </c:pt>
                <c:pt idx="20">
                  <c:v>46.37309939638737</c:v>
                </c:pt>
                <c:pt idx="21">
                  <c:v>50.82788526307861</c:v>
                </c:pt>
                <c:pt idx="22">
                  <c:v>55.48103808719026</c:v>
                </c:pt>
                <c:pt idx="23">
                  <c:v>60.519525193189</c:v>
                </c:pt>
                <c:pt idx="24">
                  <c:v>64.2986506843808</c:v>
                </c:pt>
                <c:pt idx="25">
                  <c:v>65.92595851132432</c:v>
                </c:pt>
                <c:pt idx="26">
                  <c:v>66.51036391623407</c:v>
                </c:pt>
                <c:pt idx="27">
                  <c:v>66.72438274506258</c:v>
                </c:pt>
                <c:pt idx="28">
                  <c:v>66.81530446574022</c:v>
                </c:pt>
                <c:pt idx="29">
                  <c:v>66.8632418012191</c:v>
                </c:pt>
                <c:pt idx="30">
                  <c:v>66.89796840350604</c:v>
                </c:pt>
                <c:pt idx="31">
                  <c:v>66.92515885909143</c:v>
                </c:pt>
                <c:pt idx="32">
                  <c:v>66.94218763778542</c:v>
                </c:pt>
                <c:pt idx="33">
                  <c:v>66.9575131879453</c:v>
                </c:pt>
                <c:pt idx="34">
                  <c:v>66.97176715515508</c:v>
                </c:pt>
                <c:pt idx="35">
                  <c:v>66.98442076987063</c:v>
                </c:pt>
                <c:pt idx="36">
                  <c:v>66.99787391198143</c:v>
                </c:pt>
                <c:pt idx="37">
                  <c:v>67.01379911475087</c:v>
                </c:pt>
                <c:pt idx="38">
                  <c:v>67.0286957893185</c:v>
                </c:pt>
                <c:pt idx="39">
                  <c:v>67.04268700267544</c:v>
                </c:pt>
                <c:pt idx="40">
                  <c:v>67.05770674423418</c:v>
                </c:pt>
                <c:pt idx="41">
                  <c:v>67.07605987497321</c:v>
                </c:pt>
                <c:pt idx="42">
                  <c:v>67.0953596748747</c:v>
                </c:pt>
                <c:pt idx="43">
                  <c:v>67.11260186150838</c:v>
                </c:pt>
                <c:pt idx="44">
                  <c:v>67.14988447744713</c:v>
                </c:pt>
                <c:pt idx="45">
                  <c:v>67.19992373878213</c:v>
                </c:pt>
                <c:pt idx="46">
                  <c:v>67.23465480289594</c:v>
                </c:pt>
                <c:pt idx="47">
                  <c:v>67.26012744260088</c:v>
                </c:pt>
                <c:pt idx="48">
                  <c:v>67.28525504398716</c:v>
                </c:pt>
                <c:pt idx="49">
                  <c:v>67.31079815899942</c:v>
                </c:pt>
                <c:pt idx="50">
                  <c:v>67.33669107429372</c:v>
                </c:pt>
                <c:pt idx="51">
                  <c:v>67.36306518693035</c:v>
                </c:pt>
                <c:pt idx="52">
                  <c:v>67.39206368950034</c:v>
                </c:pt>
                <c:pt idx="53">
                  <c:v>67.4211497901105</c:v>
                </c:pt>
                <c:pt idx="54">
                  <c:v>67.4496670953382</c:v>
                </c:pt>
                <c:pt idx="55">
                  <c:v>67.47761560518338</c:v>
                </c:pt>
                <c:pt idx="56">
                  <c:v>67.50438331712216</c:v>
                </c:pt>
                <c:pt idx="57">
                  <c:v>67.53329422165198</c:v>
                </c:pt>
                <c:pt idx="58">
                  <c:v>67.56137412855743</c:v>
                </c:pt>
                <c:pt idx="59">
                  <c:v>67.58626144202567</c:v>
                </c:pt>
                <c:pt idx="60">
                  <c:v>67.61359794934693</c:v>
                </c:pt>
                <c:pt idx="61">
                  <c:v>67.64922326809507</c:v>
                </c:pt>
                <c:pt idx="62">
                  <c:v>67.68651497421338</c:v>
                </c:pt>
                <c:pt idx="63">
                  <c:v>67.72039987417354</c:v>
                </c:pt>
                <c:pt idx="64">
                  <c:v>67.75484436446668</c:v>
                </c:pt>
                <c:pt idx="65">
                  <c:v>67.78998865847194</c:v>
                </c:pt>
                <c:pt idx="66">
                  <c:v>67.82158593293991</c:v>
                </c:pt>
                <c:pt idx="67">
                  <c:v>67.85145643543228</c:v>
                </c:pt>
                <c:pt idx="68">
                  <c:v>67.88151388909683</c:v>
                </c:pt>
                <c:pt idx="69">
                  <c:v>67.91301831957051</c:v>
                </c:pt>
                <c:pt idx="70">
                  <c:v>67.94951674639058</c:v>
                </c:pt>
                <c:pt idx="71">
                  <c:v>67.9844279830224</c:v>
                </c:pt>
                <c:pt idx="72">
                  <c:v>68.0170054879608</c:v>
                </c:pt>
                <c:pt idx="73">
                  <c:v>68.04953625510614</c:v>
                </c:pt>
                <c:pt idx="74">
                  <c:v>68.0802467746898</c:v>
                </c:pt>
                <c:pt idx="75">
                  <c:v>68.11058402352086</c:v>
                </c:pt>
                <c:pt idx="76">
                  <c:v>68.1394742955428</c:v>
                </c:pt>
                <c:pt idx="77">
                  <c:v>68.16906500286868</c:v>
                </c:pt>
                <c:pt idx="78">
                  <c:v>68.2019696723584</c:v>
                </c:pt>
                <c:pt idx="79">
                  <c:v>68.23576109673246</c:v>
                </c:pt>
                <c:pt idx="80">
                  <c:v>68.26787185533216</c:v>
                </c:pt>
                <c:pt idx="81">
                  <c:v>68.2988621700823</c:v>
                </c:pt>
                <c:pt idx="82">
                  <c:v>68.32919941891336</c:v>
                </c:pt>
                <c:pt idx="83">
                  <c:v>68.35883686403228</c:v>
                </c:pt>
                <c:pt idx="84">
                  <c:v>68.38796082501947</c:v>
                </c:pt>
                <c:pt idx="85">
                  <c:v>68.41946525549315</c:v>
                </c:pt>
                <c:pt idx="86">
                  <c:v>68.45433038592373</c:v>
                </c:pt>
                <c:pt idx="87">
                  <c:v>68.48709484203431</c:v>
                </c:pt>
                <c:pt idx="88">
                  <c:v>68.51659207377409</c:v>
                </c:pt>
                <c:pt idx="89">
                  <c:v>68.5451558128365</c:v>
                </c:pt>
                <c:pt idx="90">
                  <c:v>68.57311259218106</c:v>
                </c:pt>
                <c:pt idx="91">
                  <c:v>68.60022935443436</c:v>
                </c:pt>
                <c:pt idx="92">
                  <c:v>68.62641262401028</c:v>
                </c:pt>
                <c:pt idx="93">
                  <c:v>68.65273610696535</c:v>
                </c:pt>
                <c:pt idx="94">
                  <c:v>68.68036635335038</c:v>
                </c:pt>
                <c:pt idx="95">
                  <c:v>68.69898883751301</c:v>
                </c:pt>
                <c:pt idx="96">
                  <c:v>68.71516978874578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13816"/>
        <c:axId val="-207635896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14588.0</c:v>
                </c:pt>
                <c:pt idx="1">
                  <c:v>40067.0</c:v>
                </c:pt>
                <c:pt idx="2">
                  <c:v>8765.0</c:v>
                </c:pt>
                <c:pt idx="3">
                  <c:v>15523.0</c:v>
                </c:pt>
                <c:pt idx="4">
                  <c:v>20679.0</c:v>
                </c:pt>
                <c:pt idx="5">
                  <c:v>22777.0</c:v>
                </c:pt>
                <c:pt idx="6">
                  <c:v>31027.0</c:v>
                </c:pt>
                <c:pt idx="7">
                  <c:v>35047.0</c:v>
                </c:pt>
                <c:pt idx="8">
                  <c:v>44340.0</c:v>
                </c:pt>
                <c:pt idx="9">
                  <c:v>39668.0</c:v>
                </c:pt>
              </c:numCache>
            </c:numRef>
          </c:yVal>
          <c:smooth val="0"/>
        </c:ser>
        <c:ser>
          <c:idx val="5"/>
          <c:order val="8"/>
          <c:tx>
            <c:v>OD600nm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0.00554498745535101</c:v>
                  </c:pt>
                  <c:pt idx="2">
                    <c:v>0.00924164575891835</c:v>
                  </c:pt>
                  <c:pt idx="3">
                    <c:v>0.0999636829603632</c:v>
                  </c:pt>
                  <c:pt idx="4">
                    <c:v>0.10291061182081</c:v>
                  </c:pt>
                  <c:pt idx="5">
                    <c:v>0.121203047854967</c:v>
                  </c:pt>
                  <c:pt idx="6">
                    <c:v>0.146706578298316</c:v>
                  </c:pt>
                  <c:pt idx="7">
                    <c:v>0.305394095941621</c:v>
                  </c:pt>
                  <c:pt idx="8">
                    <c:v>0.0554498745535101</c:v>
                  </c:pt>
                  <c:pt idx="9">
                    <c:v>0.146706578298316</c:v>
                  </c:pt>
                  <c:pt idx="10">
                    <c:v>0.032014</c:v>
                  </c:pt>
                  <c:pt idx="11">
                    <c:v>0.128056</c:v>
                  </c:pt>
                  <c:pt idx="12">
                    <c:v>0.195608771064421</c:v>
                  </c:pt>
                  <c:pt idx="13">
                    <c:v>0.279091581557022</c:v>
                  </c:pt>
                  <c:pt idx="14">
                    <c:v>0.102910611820809</c:v>
                  </c:pt>
                  <c:pt idx="15">
                    <c:v>0.0739331660713468</c:v>
                  </c:pt>
                  <c:pt idx="16">
                    <c:v>0.0697728953892556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0.00554498745535101</c:v>
                  </c:pt>
                  <c:pt idx="2">
                    <c:v>0.00924164575891835</c:v>
                  </c:pt>
                  <c:pt idx="3">
                    <c:v>0.0999636829603632</c:v>
                  </c:pt>
                  <c:pt idx="4">
                    <c:v>0.10291061182081</c:v>
                  </c:pt>
                  <c:pt idx="5">
                    <c:v>0.121203047854967</c:v>
                  </c:pt>
                  <c:pt idx="6">
                    <c:v>0.146706578298316</c:v>
                  </c:pt>
                  <c:pt idx="7">
                    <c:v>0.305394095941621</c:v>
                  </c:pt>
                  <c:pt idx="8">
                    <c:v>0.0554498745535101</c:v>
                  </c:pt>
                  <c:pt idx="9">
                    <c:v>0.146706578298316</c:v>
                  </c:pt>
                  <c:pt idx="10">
                    <c:v>0.032014</c:v>
                  </c:pt>
                  <c:pt idx="11">
                    <c:v>0.128056</c:v>
                  </c:pt>
                  <c:pt idx="12">
                    <c:v>0.195608771064421</c:v>
                  </c:pt>
                  <c:pt idx="13">
                    <c:v>0.279091581557022</c:v>
                  </c:pt>
                  <c:pt idx="14">
                    <c:v>0.102910611820809</c:v>
                  </c:pt>
                  <c:pt idx="15">
                    <c:v>0.0739331660713468</c:v>
                  </c:pt>
                  <c:pt idx="16">
                    <c:v>0.0697728953892556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24.33333333333333</c:v>
                </c:pt>
                <c:pt idx="15">
                  <c:v>30.16666666666667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0.3771701</c:v>
                </c:pt>
                <c:pt idx="1">
                  <c:v>0.9304172</c:v>
                </c:pt>
                <c:pt idx="2">
                  <c:v>1.696126666666667</c:v>
                </c:pt>
                <c:pt idx="3">
                  <c:v>2.939337</c:v>
                </c:pt>
                <c:pt idx="4">
                  <c:v>3.712393333333333</c:v>
                </c:pt>
                <c:pt idx="5">
                  <c:v>4.811540666666667</c:v>
                </c:pt>
                <c:pt idx="6">
                  <c:v>5.750617999999999</c:v>
                </c:pt>
                <c:pt idx="7">
                  <c:v>7.063192000000001</c:v>
                </c:pt>
                <c:pt idx="8">
                  <c:v>7.639444000000001</c:v>
                </c:pt>
                <c:pt idx="9">
                  <c:v>6.743052</c:v>
                </c:pt>
                <c:pt idx="10">
                  <c:v>6.166800000000002</c:v>
                </c:pt>
                <c:pt idx="11">
                  <c:v>5.846660000000001</c:v>
                </c:pt>
                <c:pt idx="12">
                  <c:v>5.387792666666666</c:v>
                </c:pt>
                <c:pt idx="13">
                  <c:v>5.142352000000001</c:v>
                </c:pt>
                <c:pt idx="14">
                  <c:v>2.954728666666667</c:v>
                </c:pt>
                <c:pt idx="15">
                  <c:v>1.578126666666667</c:v>
                </c:pt>
                <c:pt idx="16">
                  <c:v>1.402665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43624"/>
        <c:axId val="-2076219416"/>
      </c:scatterChart>
      <c:valAx>
        <c:axId val="-207771381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6358968"/>
        <c:crosses val="autoZero"/>
        <c:crossBetween val="midCat"/>
        <c:majorUnit val="6.0"/>
      </c:valAx>
      <c:valAx>
        <c:axId val="-207635896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7713816"/>
        <c:crosses val="autoZero"/>
        <c:crossBetween val="midCat"/>
      </c:valAx>
      <c:valAx>
        <c:axId val="-2076219416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91443624"/>
        <c:crosses val="max"/>
        <c:crossBetween val="midCat"/>
        <c:majorUnit val="1.0"/>
        <c:minorUnit val="0.2"/>
      </c:valAx>
      <c:valAx>
        <c:axId val="-209144362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-20762194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119" t="s">
        <v>0</v>
      </c>
      <c r="B1" s="120"/>
      <c r="C1" s="34">
        <v>42326</v>
      </c>
    </row>
    <row r="2" spans="1:3" ht="16">
      <c r="A2" s="119" t="s">
        <v>1</v>
      </c>
      <c r="B2" s="121"/>
      <c r="C2" s="32" t="s">
        <v>117</v>
      </c>
    </row>
    <row r="3" spans="1:3">
      <c r="A3" s="11"/>
      <c r="B3" s="11"/>
      <c r="C3" s="10"/>
    </row>
    <row r="4" spans="1:3">
      <c r="A4" s="122" t="s">
        <v>48</v>
      </c>
      <c r="B4" s="122"/>
      <c r="C4" s="7" t="s">
        <v>95</v>
      </c>
    </row>
    <row r="6" spans="1:3">
      <c r="A6" s="41" t="s">
        <v>82</v>
      </c>
      <c r="B6" s="41" t="s">
        <v>83</v>
      </c>
      <c r="C6" s="41" t="s">
        <v>68</v>
      </c>
    </row>
    <row r="7" spans="1:3">
      <c r="A7" s="37" t="s">
        <v>84</v>
      </c>
      <c r="B7" s="75">
        <v>6.5</v>
      </c>
      <c r="C7" s="37" t="s">
        <v>91</v>
      </c>
    </row>
    <row r="8" spans="1:3">
      <c r="A8" s="37" t="s">
        <v>85</v>
      </c>
      <c r="B8" s="75">
        <v>5</v>
      </c>
      <c r="C8" s="37" t="s">
        <v>91</v>
      </c>
    </row>
    <row r="9" spans="1:3">
      <c r="A9" s="37" t="s">
        <v>86</v>
      </c>
      <c r="B9" s="75">
        <v>2.5</v>
      </c>
      <c r="C9" s="37" t="s">
        <v>91</v>
      </c>
    </row>
    <row r="10" spans="1:3">
      <c r="A10" s="37" t="s">
        <v>87</v>
      </c>
      <c r="B10" s="75">
        <v>3</v>
      </c>
      <c r="C10" s="37" t="s">
        <v>91</v>
      </c>
    </row>
    <row r="11" spans="1:3">
      <c r="A11" s="29" t="s">
        <v>88</v>
      </c>
      <c r="B11" s="76">
        <v>6.8</v>
      </c>
      <c r="C11" s="29" t="s">
        <v>91</v>
      </c>
    </row>
    <row r="12" spans="1:3">
      <c r="A12" s="37" t="s">
        <v>72</v>
      </c>
      <c r="B12" s="75">
        <v>1.5</v>
      </c>
      <c r="C12" s="37" t="s">
        <v>91</v>
      </c>
    </row>
    <row r="13" spans="1:3" ht="16">
      <c r="A13" s="40" t="s">
        <v>76</v>
      </c>
      <c r="B13" s="75">
        <v>1</v>
      </c>
      <c r="C13" s="37" t="s">
        <v>91</v>
      </c>
    </row>
    <row r="14" spans="1:3" ht="16">
      <c r="A14" s="10" t="s">
        <v>75</v>
      </c>
      <c r="B14" s="75">
        <v>1</v>
      </c>
      <c r="C14" s="37" t="s">
        <v>91</v>
      </c>
    </row>
    <row r="15" spans="1:3" ht="16">
      <c r="A15" s="68" t="s">
        <v>141</v>
      </c>
      <c r="B15" s="68">
        <v>2</v>
      </c>
      <c r="C15" s="68" t="s">
        <v>91</v>
      </c>
    </row>
    <row r="16" spans="1:3" ht="16">
      <c r="A16" s="37" t="s">
        <v>96</v>
      </c>
      <c r="B16" s="75">
        <v>1</v>
      </c>
      <c r="C16" s="37" t="s">
        <v>91</v>
      </c>
    </row>
    <row r="17" spans="1:3" ht="16">
      <c r="A17" s="37" t="s">
        <v>97</v>
      </c>
      <c r="B17" s="75">
        <v>1</v>
      </c>
      <c r="C17" s="37" t="s">
        <v>91</v>
      </c>
    </row>
    <row r="18" spans="1:3" ht="16">
      <c r="A18" s="37" t="s">
        <v>98</v>
      </c>
      <c r="B18" s="75">
        <v>0.4</v>
      </c>
      <c r="C18" s="37" t="s">
        <v>91</v>
      </c>
    </row>
    <row r="19" spans="1:3" ht="16">
      <c r="A19" s="37" t="s">
        <v>74</v>
      </c>
      <c r="B19" s="75">
        <v>0.2</v>
      </c>
      <c r="C19" s="37" t="s">
        <v>91</v>
      </c>
    </row>
    <row r="20" spans="1:3" ht="16">
      <c r="A20" s="37" t="s">
        <v>99</v>
      </c>
      <c r="B20" s="75">
        <v>0.1</v>
      </c>
      <c r="C20" s="37" t="s">
        <v>91</v>
      </c>
    </row>
    <row r="21" spans="1:3" ht="16">
      <c r="A21" s="37" t="s">
        <v>100</v>
      </c>
      <c r="B21" s="37">
        <v>0.05</v>
      </c>
      <c r="C21" s="37" t="s">
        <v>91</v>
      </c>
    </row>
    <row r="22" spans="1:3" ht="16">
      <c r="A22" s="37" t="s">
        <v>101</v>
      </c>
      <c r="B22" s="37">
        <v>5.0000000000000001E-3</v>
      </c>
      <c r="C22" s="37" t="s">
        <v>91</v>
      </c>
    </row>
    <row r="23" spans="1:3" ht="16">
      <c r="A23" s="37" t="s">
        <v>102</v>
      </c>
      <c r="B23" s="37">
        <v>5.0000000000000001E-3</v>
      </c>
      <c r="C23" s="37" t="s">
        <v>91</v>
      </c>
    </row>
    <row r="24" spans="1:3">
      <c r="A24" s="37" t="s">
        <v>89</v>
      </c>
      <c r="B24" s="37">
        <v>5.0000000000000001E-3</v>
      </c>
      <c r="C24" s="37" t="s">
        <v>91</v>
      </c>
    </row>
    <row r="25" spans="1:3">
      <c r="A25" s="37" t="s">
        <v>90</v>
      </c>
      <c r="B25" s="37">
        <v>5.0000000000000001E-3</v>
      </c>
      <c r="C25" s="37" t="s">
        <v>91</v>
      </c>
    </row>
    <row r="26" spans="1:3">
      <c r="A26" s="37" t="s">
        <v>73</v>
      </c>
      <c r="B26" s="37">
        <v>1E-3</v>
      </c>
      <c r="C26" s="37" t="s">
        <v>136</v>
      </c>
    </row>
    <row r="27" spans="1:3">
      <c r="A27" s="37" t="s">
        <v>92</v>
      </c>
      <c r="B27" s="37" t="s">
        <v>91</v>
      </c>
      <c r="C27" s="37" t="s">
        <v>93</v>
      </c>
    </row>
    <row r="28" spans="1:3">
      <c r="A28" s="37" t="s">
        <v>94</v>
      </c>
      <c r="B28" s="37" t="s">
        <v>91</v>
      </c>
      <c r="C28" s="37" t="s">
        <v>93</v>
      </c>
    </row>
    <row r="29" spans="1:3">
      <c r="A29" s="29" t="s">
        <v>132</v>
      </c>
      <c r="B29" s="76">
        <v>9</v>
      </c>
      <c r="C29" s="29" t="s">
        <v>142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52"/>
  <sheetViews>
    <sheetView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8" t="s">
        <v>49</v>
      </c>
      <c r="B1" s="12">
        <v>69.5</v>
      </c>
      <c r="C1" s="9" t="s">
        <v>50</v>
      </c>
    </row>
    <row r="3" spans="1:7">
      <c r="A3" s="122" t="s">
        <v>5</v>
      </c>
      <c r="B3" s="122" t="s">
        <v>36</v>
      </c>
      <c r="C3" s="122"/>
      <c r="D3" s="122" t="s">
        <v>51</v>
      </c>
      <c r="E3" s="122"/>
      <c r="F3" s="122"/>
      <c r="G3" s="8" t="s">
        <v>52</v>
      </c>
    </row>
    <row r="4" spans="1:7">
      <c r="A4" s="122"/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  <c r="G4" s="8" t="s">
        <v>58</v>
      </c>
    </row>
    <row r="5" spans="1:7">
      <c r="A5" s="35">
        <v>0</v>
      </c>
      <c r="B5" s="40">
        <v>2893.61</v>
      </c>
      <c r="C5" s="36">
        <f>B5/1000</f>
        <v>2.8936100000000002</v>
      </c>
      <c r="D5" s="12">
        <f>C5/1000*$B$1</f>
        <v>0.20110589500000003</v>
      </c>
      <c r="E5" s="12">
        <f>D5/22.4</f>
        <v>8.9779417410714314E-3</v>
      </c>
      <c r="F5" s="12">
        <f>E5/Calculation!K$4*1000</f>
        <v>6.1066966885642863E-3</v>
      </c>
      <c r="G5" s="12">
        <f>(0+F5)/2*30</f>
        <v>9.1600450328464297E-2</v>
      </c>
    </row>
    <row r="6" spans="1:7">
      <c r="A6" s="35">
        <v>0.5</v>
      </c>
      <c r="B6" s="40">
        <v>4347.18</v>
      </c>
      <c r="C6" s="36">
        <f t="shared" ref="C6:C69" si="0">B6/1000</f>
        <v>4.3471800000000007</v>
      </c>
      <c r="D6" s="12">
        <f t="shared" ref="D6:D69" si="1">C6/1000*$B$1</f>
        <v>0.30212901000000003</v>
      </c>
      <c r="E6" s="12">
        <f t="shared" ref="E6:E69" si="2">D6/22.4</f>
        <v>1.348790223214286E-2</v>
      </c>
      <c r="F6" s="12">
        <f>E6/Calculation!K$4*1000</f>
        <v>9.1743219406184278E-3</v>
      </c>
      <c r="G6" s="12">
        <f>G5+(F6+F5)/2*30</f>
        <v>0.32081572976620498</v>
      </c>
    </row>
    <row r="7" spans="1:7">
      <c r="A7" s="35">
        <v>1</v>
      </c>
      <c r="B7" s="40">
        <v>6269.03</v>
      </c>
      <c r="C7" s="36">
        <f t="shared" si="0"/>
        <v>6.2690299999999999</v>
      </c>
      <c r="D7" s="12">
        <f t="shared" si="1"/>
        <v>0.435697585</v>
      </c>
      <c r="E7" s="12">
        <f t="shared" si="2"/>
        <v>1.9450785044642857E-2</v>
      </c>
      <c r="F7" s="12">
        <f>E7/Calculation!K$4*1000</f>
        <v>1.3230208888381693E-2</v>
      </c>
      <c r="G7" s="12">
        <f>G6+(F7+F6)/2*30</f>
        <v>0.65688369220120679</v>
      </c>
    </row>
    <row r="8" spans="1:7">
      <c r="A8" s="35">
        <v>1.5</v>
      </c>
      <c r="B8" s="40">
        <v>9596.75</v>
      </c>
      <c r="C8" s="36">
        <f t="shared" si="0"/>
        <v>9.5967500000000001</v>
      </c>
      <c r="D8" s="12">
        <f t="shared" si="1"/>
        <v>0.66697412499999997</v>
      </c>
      <c r="E8" s="12">
        <f t="shared" si="2"/>
        <v>2.9775630580357145E-2</v>
      </c>
      <c r="F8" s="12">
        <f>E8/Calculation!K$4*1000</f>
        <v>2.0253054643154845E-2</v>
      </c>
      <c r="G8" s="12">
        <f t="shared" ref="G8:G70" si="3">G7+(F8+F7)/2*30</f>
        <v>1.159132645174255</v>
      </c>
    </row>
    <row r="9" spans="1:7">
      <c r="A9" s="35">
        <v>2</v>
      </c>
      <c r="B9" s="40">
        <v>9933.24</v>
      </c>
      <c r="C9" s="36">
        <f t="shared" si="0"/>
        <v>9.9332399999999996</v>
      </c>
      <c r="D9" s="12">
        <f t="shared" si="1"/>
        <v>0.69036017999999999</v>
      </c>
      <c r="E9" s="12">
        <f t="shared" si="2"/>
        <v>3.0819650892857143E-2</v>
      </c>
      <c r="F9" s="12">
        <f>E9/Calculation!K$5*1000</f>
        <v>2.1637525954045958E-2</v>
      </c>
      <c r="G9" s="12">
        <f t="shared" si="3"/>
        <v>1.787491354132267</v>
      </c>
    </row>
    <row r="10" spans="1:7">
      <c r="A10" s="35">
        <v>2.5</v>
      </c>
      <c r="B10" s="40">
        <v>12513.37</v>
      </c>
      <c r="C10" s="36">
        <f t="shared" si="0"/>
        <v>12.51337</v>
      </c>
      <c r="D10" s="12">
        <f t="shared" si="1"/>
        <v>0.86967921500000001</v>
      </c>
      <c r="E10" s="12">
        <f t="shared" si="2"/>
        <v>3.8824964955357144E-2</v>
      </c>
      <c r="F10" s="12">
        <f>E10/Calculation!K$5*1000</f>
        <v>2.7257809954010982E-2</v>
      </c>
      <c r="G10" s="12">
        <f t="shared" si="3"/>
        <v>2.5209213927531211</v>
      </c>
    </row>
    <row r="11" spans="1:7">
      <c r="A11" s="35">
        <v>3</v>
      </c>
      <c r="B11" s="40">
        <v>15872.72</v>
      </c>
      <c r="C11" s="36">
        <f t="shared" si="0"/>
        <v>15.872719999999999</v>
      </c>
      <c r="D11" s="12">
        <f t="shared" si="1"/>
        <v>1.1031540399999999</v>
      </c>
      <c r="E11" s="12">
        <f t="shared" si="2"/>
        <v>4.9247948214285714E-2</v>
      </c>
      <c r="F11" s="12">
        <f>E11/Calculation!K$5*1000</f>
        <v>3.4575464899801511E-2</v>
      </c>
      <c r="G11" s="12">
        <f t="shared" si="3"/>
        <v>3.4484205155603087</v>
      </c>
    </row>
    <row r="12" spans="1:7">
      <c r="A12" s="35">
        <v>3.5</v>
      </c>
      <c r="B12" s="40">
        <v>21006.400000000001</v>
      </c>
      <c r="C12" s="36">
        <f t="shared" si="0"/>
        <v>21.006400000000003</v>
      </c>
      <c r="D12" s="12">
        <f t="shared" si="1"/>
        <v>1.4599448000000002</v>
      </c>
      <c r="E12" s="12">
        <f t="shared" si="2"/>
        <v>6.5176107142857154E-2</v>
      </c>
      <c r="F12" s="12">
        <f>E12/Calculation!K$6*1000</f>
        <v>4.7375845623269616E-2</v>
      </c>
      <c r="G12" s="12">
        <f t="shared" si="3"/>
        <v>4.6776901734063756</v>
      </c>
    </row>
    <row r="13" spans="1:7">
      <c r="A13" s="35">
        <v>4</v>
      </c>
      <c r="B13" s="40">
        <v>25564.880000000001</v>
      </c>
      <c r="C13" s="36">
        <f t="shared" si="0"/>
        <v>25.564880000000002</v>
      </c>
      <c r="D13" s="12">
        <f t="shared" si="1"/>
        <v>1.7767591600000001</v>
      </c>
      <c r="E13" s="12">
        <f t="shared" si="2"/>
        <v>7.9319605357142872E-2</v>
      </c>
      <c r="F13" s="12">
        <f>E13/Calculation!K$6*1000</f>
        <v>5.765660980736409E-2</v>
      </c>
      <c r="G13" s="12">
        <f t="shared" si="3"/>
        <v>6.253177004865881</v>
      </c>
    </row>
    <row r="14" spans="1:7">
      <c r="A14" s="35">
        <v>4.5</v>
      </c>
      <c r="B14" s="40">
        <v>29218.27</v>
      </c>
      <c r="C14" s="36">
        <f t="shared" si="0"/>
        <v>29.21827</v>
      </c>
      <c r="D14" s="12">
        <f t="shared" si="1"/>
        <v>2.0306697650000003</v>
      </c>
      <c r="E14" s="12">
        <f t="shared" si="2"/>
        <v>9.0654900223214305E-2</v>
      </c>
      <c r="F14" s="12">
        <f>E14/Calculation!K$6*1000</f>
        <v>6.5896119701567626E-2</v>
      </c>
      <c r="G14" s="12">
        <f t="shared" si="3"/>
        <v>8.1064679474998567</v>
      </c>
    </row>
    <row r="15" spans="1:7">
      <c r="A15" s="35">
        <v>5</v>
      </c>
      <c r="B15" s="40">
        <v>32396.26</v>
      </c>
      <c r="C15" s="36">
        <f t="shared" si="0"/>
        <v>32.396259999999998</v>
      </c>
      <c r="D15" s="12">
        <f t="shared" si="1"/>
        <v>2.2515400699999999</v>
      </c>
      <c r="E15" s="12">
        <f t="shared" si="2"/>
        <v>0.10051518169642858</v>
      </c>
      <c r="F15" s="12">
        <f>E15/Calculation!K$7*1000</f>
        <v>7.5894530314621816E-2</v>
      </c>
      <c r="G15" s="12">
        <f t="shared" si="3"/>
        <v>10.233327697742698</v>
      </c>
    </row>
    <row r="16" spans="1:7">
      <c r="A16" s="35">
        <v>5.5</v>
      </c>
      <c r="B16" s="40">
        <v>35251.47</v>
      </c>
      <c r="C16" s="36">
        <f t="shared" si="0"/>
        <v>35.251469999999998</v>
      </c>
      <c r="D16" s="12">
        <f t="shared" si="1"/>
        <v>2.449977165</v>
      </c>
      <c r="E16" s="12">
        <f t="shared" si="2"/>
        <v>0.10937398058035715</v>
      </c>
      <c r="F16" s="12">
        <f>E16/Calculation!K$7*1000</f>
        <v>8.258341421355371E-2</v>
      </c>
      <c r="G16" s="12">
        <f t="shared" si="3"/>
        <v>12.610496865665331</v>
      </c>
    </row>
    <row r="17" spans="1:7">
      <c r="A17" s="35">
        <v>6</v>
      </c>
      <c r="B17" s="40">
        <v>37772.879999999997</v>
      </c>
      <c r="C17" s="36">
        <f t="shared" si="0"/>
        <v>37.772880000000001</v>
      </c>
      <c r="D17" s="12">
        <f t="shared" si="1"/>
        <v>2.6252151600000002</v>
      </c>
      <c r="E17" s="12">
        <f t="shared" si="2"/>
        <v>0.11719710535714288</v>
      </c>
      <c r="F17" s="12">
        <f>E17/Calculation!K$8*1000</f>
        <v>9.1473888014528049E-2</v>
      </c>
      <c r="G17" s="12">
        <f t="shared" si="3"/>
        <v>15.221356399086558</v>
      </c>
    </row>
    <row r="18" spans="1:7">
      <c r="A18" s="35">
        <v>6.5</v>
      </c>
      <c r="B18" s="40">
        <v>39982.85</v>
      </c>
      <c r="C18" s="36">
        <f t="shared" si="0"/>
        <v>39.982849999999999</v>
      </c>
      <c r="D18" s="12">
        <f t="shared" si="1"/>
        <v>2.7788080750000002</v>
      </c>
      <c r="E18" s="12">
        <f t="shared" si="2"/>
        <v>0.12405393191964287</v>
      </c>
      <c r="F18" s="12">
        <f>E18/Calculation!K$8*1000</f>
        <v>9.6825731673138835E-2</v>
      </c>
      <c r="G18" s="12">
        <f t="shared" si="3"/>
        <v>18.045850694401562</v>
      </c>
    </row>
    <row r="19" spans="1:7">
      <c r="A19" s="35">
        <v>7</v>
      </c>
      <c r="B19" s="40">
        <v>41009.58</v>
      </c>
      <c r="C19" s="36">
        <f t="shared" si="0"/>
        <v>41.00958</v>
      </c>
      <c r="D19" s="12">
        <f t="shared" si="1"/>
        <v>2.8501658099999996</v>
      </c>
      <c r="E19" s="12">
        <f t="shared" si="2"/>
        <v>0.1272395450892857</v>
      </c>
      <c r="F19" s="12">
        <f>E19/Calculation!K$8*1000</f>
        <v>9.9312144809790198E-2</v>
      </c>
      <c r="G19" s="12">
        <f t="shared" si="3"/>
        <v>20.987918841645495</v>
      </c>
    </row>
    <row r="20" spans="1:7">
      <c r="A20" s="35">
        <v>7.5</v>
      </c>
      <c r="B20" s="40">
        <v>43289.760000000002</v>
      </c>
      <c r="C20" s="36">
        <f t="shared" si="0"/>
        <v>43.289760000000001</v>
      </c>
      <c r="D20" s="12">
        <f t="shared" si="1"/>
        <v>3.0086383200000002</v>
      </c>
      <c r="E20" s="12">
        <f t="shared" si="2"/>
        <v>0.13431421071428573</v>
      </c>
      <c r="F20" s="12">
        <f>E20/Calculation!K$9*1000</f>
        <v>0.1090739312682614</v>
      </c>
      <c r="G20" s="12">
        <f t="shared" si="3"/>
        <v>24.113709982816268</v>
      </c>
    </row>
    <row r="21" spans="1:7">
      <c r="A21" s="35">
        <v>8</v>
      </c>
      <c r="B21" s="40">
        <v>44598.51</v>
      </c>
      <c r="C21" s="36">
        <f t="shared" si="0"/>
        <v>44.598510000000005</v>
      </c>
      <c r="D21" s="12">
        <f t="shared" si="1"/>
        <v>3.0995964450000004</v>
      </c>
      <c r="E21" s="12">
        <f t="shared" si="2"/>
        <v>0.13837484129464289</v>
      </c>
      <c r="F21" s="12">
        <f>E21/Calculation!K$9*1000</f>
        <v>0.11237148957182644</v>
      </c>
      <c r="G21" s="12">
        <f t="shared" si="3"/>
        <v>27.435391295417585</v>
      </c>
    </row>
    <row r="22" spans="1:7">
      <c r="A22" s="35">
        <v>8.5</v>
      </c>
      <c r="B22" s="40">
        <v>46196.9</v>
      </c>
      <c r="C22" s="36">
        <f t="shared" si="0"/>
        <v>46.196899999999999</v>
      </c>
      <c r="D22" s="12">
        <f t="shared" si="1"/>
        <v>3.2106845499999999</v>
      </c>
      <c r="E22" s="12">
        <f t="shared" si="2"/>
        <v>0.14333413169642858</v>
      </c>
      <c r="F22" s="12">
        <f>E22/Calculation!K$9*1000</f>
        <v>0.11639883185785149</v>
      </c>
      <c r="G22" s="12">
        <f t="shared" si="3"/>
        <v>30.866946116862753</v>
      </c>
    </row>
    <row r="23" spans="1:7">
      <c r="A23" s="35">
        <v>9</v>
      </c>
      <c r="B23" s="40">
        <v>47410.41</v>
      </c>
      <c r="C23" s="36">
        <f t="shared" si="0"/>
        <v>47.410410000000006</v>
      </c>
      <c r="D23" s="12">
        <f t="shared" si="1"/>
        <v>3.2950234950000006</v>
      </c>
      <c r="E23" s="12">
        <f t="shared" si="2"/>
        <v>0.14709926316964289</v>
      </c>
      <c r="F23" s="12">
        <f>E23/Calculation!K$10*1000</f>
        <v>0.12508370709768712</v>
      </c>
      <c r="G23" s="12">
        <f t="shared" si="3"/>
        <v>34.489184201195833</v>
      </c>
    </row>
    <row r="24" spans="1:7">
      <c r="A24" s="35">
        <v>9.5</v>
      </c>
      <c r="B24" s="40">
        <v>49174.080000000002</v>
      </c>
      <c r="C24" s="36">
        <f t="shared" si="0"/>
        <v>49.174080000000004</v>
      </c>
      <c r="D24" s="12">
        <f t="shared" si="1"/>
        <v>3.4175985600000001</v>
      </c>
      <c r="E24" s="12">
        <f t="shared" si="2"/>
        <v>0.1525713642857143</v>
      </c>
      <c r="F24" s="12">
        <f>E24/Calculation!K$10*1000</f>
        <v>0.12973682825181715</v>
      </c>
      <c r="G24" s="12">
        <f t="shared" si="3"/>
        <v>38.3114922314384</v>
      </c>
    </row>
    <row r="25" spans="1:7">
      <c r="A25" s="35">
        <v>10</v>
      </c>
      <c r="B25" s="40">
        <v>50299.45</v>
      </c>
      <c r="C25" s="36">
        <f t="shared" si="0"/>
        <v>50.29945</v>
      </c>
      <c r="D25" s="12">
        <f t="shared" si="1"/>
        <v>3.495811775</v>
      </c>
      <c r="E25" s="12">
        <f t="shared" si="2"/>
        <v>0.15606302566964286</v>
      </c>
      <c r="F25" s="12">
        <f>E25/Calculation!K$11*1000</f>
        <v>0.13850539857631661</v>
      </c>
      <c r="G25" s="12">
        <f t="shared" si="3"/>
        <v>42.335125633860407</v>
      </c>
    </row>
    <row r="26" spans="1:7">
      <c r="A26" s="35">
        <v>10.5</v>
      </c>
      <c r="B26" s="40">
        <v>52289.48</v>
      </c>
      <c r="C26" s="36">
        <f t="shared" si="0"/>
        <v>52.289480000000005</v>
      </c>
      <c r="D26" s="12">
        <f t="shared" si="1"/>
        <v>3.6341188600000005</v>
      </c>
      <c r="E26" s="12">
        <f t="shared" si="2"/>
        <v>0.16223744910714288</v>
      </c>
      <c r="F26" s="12">
        <f>E26/Calculation!K$11*1000</f>
        <v>0.14398517814306788</v>
      </c>
      <c r="G26" s="12">
        <f t="shared" si="3"/>
        <v>46.572484284651175</v>
      </c>
    </row>
    <row r="27" spans="1:7">
      <c r="A27" s="35">
        <v>11</v>
      </c>
      <c r="B27" s="40">
        <v>53063.63</v>
      </c>
      <c r="C27" s="36">
        <f t="shared" si="0"/>
        <v>53.063629999999996</v>
      </c>
      <c r="D27" s="12">
        <f t="shared" si="1"/>
        <v>3.6879222849999995</v>
      </c>
      <c r="E27" s="12">
        <f t="shared" si="2"/>
        <v>0.16463938772321426</v>
      </c>
      <c r="F27" s="12">
        <f>E27/Calculation!K$11*1000</f>
        <v>0.14611689040449127</v>
      </c>
      <c r="G27" s="12">
        <f t="shared" si="3"/>
        <v>50.924015312864562</v>
      </c>
    </row>
    <row r="28" spans="1:7">
      <c r="A28" s="35">
        <v>11.5</v>
      </c>
      <c r="B28" s="40">
        <v>54876.54</v>
      </c>
      <c r="C28" s="36">
        <f t="shared" si="0"/>
        <v>54.876539999999999</v>
      </c>
      <c r="D28" s="12">
        <f t="shared" si="1"/>
        <v>3.8139195300000002</v>
      </c>
      <c r="E28" s="12">
        <f t="shared" si="2"/>
        <v>0.17026426473214287</v>
      </c>
      <c r="F28" s="12">
        <f>E28/Calculation!K$12*1000</f>
        <v>0.15782490271271643</v>
      </c>
      <c r="G28" s="12">
        <f t="shared" si="3"/>
        <v>55.483142209622677</v>
      </c>
    </row>
    <row r="29" spans="1:7">
      <c r="A29" s="35">
        <v>12</v>
      </c>
      <c r="B29" s="40">
        <v>46599.03</v>
      </c>
      <c r="C29" s="36">
        <f t="shared" si="0"/>
        <v>46.599029999999999</v>
      </c>
      <c r="D29" s="12">
        <f t="shared" si="1"/>
        <v>3.238632585</v>
      </c>
      <c r="E29" s="12">
        <f t="shared" si="2"/>
        <v>0.14458181183035715</v>
      </c>
      <c r="F29" s="12">
        <f>E29/Calculation!K$12*1000</f>
        <v>0.1340187879238916</v>
      </c>
      <c r="G29" s="12">
        <f t="shared" si="3"/>
        <v>59.860797569171794</v>
      </c>
    </row>
    <row r="30" spans="1:7">
      <c r="A30" s="35">
        <v>12.5</v>
      </c>
      <c r="B30" s="40">
        <v>39764.61</v>
      </c>
      <c r="C30" s="36">
        <f t="shared" si="0"/>
        <v>39.764609999999998</v>
      </c>
      <c r="D30" s="12">
        <f t="shared" si="1"/>
        <v>2.7636403949999999</v>
      </c>
      <c r="E30" s="12">
        <f t="shared" si="2"/>
        <v>0.12337680334821428</v>
      </c>
      <c r="F30" s="12">
        <f>E30/Calculation!K$12*1000</f>
        <v>0.1143629992827374</v>
      </c>
      <c r="G30" s="12">
        <f t="shared" si="3"/>
        <v>63.586524377271232</v>
      </c>
    </row>
    <row r="31" spans="1:7">
      <c r="A31" s="35">
        <v>13</v>
      </c>
      <c r="B31" s="40">
        <v>33550.9</v>
      </c>
      <c r="C31" s="36">
        <f t="shared" si="0"/>
        <v>33.550899999999999</v>
      </c>
      <c r="D31" s="12">
        <f t="shared" si="1"/>
        <v>2.33178755</v>
      </c>
      <c r="E31" s="12">
        <f t="shared" si="2"/>
        <v>0.10409765848214286</v>
      </c>
      <c r="F31" s="12">
        <f>E31/Calculation!K$13*1000</f>
        <v>0.10077695497778363</v>
      </c>
      <c r="G31" s="12">
        <f t="shared" si="3"/>
        <v>66.813623691179046</v>
      </c>
    </row>
    <row r="32" spans="1:7">
      <c r="A32" s="35">
        <v>13.5</v>
      </c>
      <c r="B32" s="40">
        <v>28347.17</v>
      </c>
      <c r="C32" s="36">
        <f t="shared" si="0"/>
        <v>28.347169999999998</v>
      </c>
      <c r="D32" s="12">
        <f t="shared" si="1"/>
        <v>1.970128315</v>
      </c>
      <c r="E32" s="12">
        <f t="shared" si="2"/>
        <v>8.7952156919642865E-2</v>
      </c>
      <c r="F32" s="12">
        <f>E32/Calculation!K$13*1000</f>
        <v>8.5146493084763131E-2</v>
      </c>
      <c r="G32" s="12">
        <f t="shared" si="3"/>
        <v>69.602475412117244</v>
      </c>
    </row>
    <row r="33" spans="1:7">
      <c r="A33" s="35">
        <v>14</v>
      </c>
      <c r="B33" s="40">
        <v>23904.75</v>
      </c>
      <c r="C33" s="36">
        <f t="shared" si="0"/>
        <v>23.90475</v>
      </c>
      <c r="D33" s="12">
        <f t="shared" si="1"/>
        <v>1.661380125</v>
      </c>
      <c r="E33" s="12">
        <f t="shared" si="2"/>
        <v>7.416875558035714E-2</v>
      </c>
      <c r="F33" s="12">
        <f>E33/Calculation!K$14*1000</f>
        <v>7.5570856639967557E-2</v>
      </c>
      <c r="G33" s="12">
        <f t="shared" si="3"/>
        <v>72.013235657988204</v>
      </c>
    </row>
    <row r="34" spans="1:7">
      <c r="A34" s="35">
        <v>14.5</v>
      </c>
      <c r="B34" s="40">
        <v>19795.599999999999</v>
      </c>
      <c r="C34" s="36">
        <f t="shared" si="0"/>
        <v>19.7956</v>
      </c>
      <c r="D34" s="12">
        <f t="shared" si="1"/>
        <v>1.3757942000000001</v>
      </c>
      <c r="E34" s="12">
        <f t="shared" si="2"/>
        <v>6.1419383928571436E-2</v>
      </c>
      <c r="F34" s="12">
        <f>E34/Calculation!K$14*1000</f>
        <v>6.2580468304506101E-2</v>
      </c>
      <c r="G34" s="12">
        <f t="shared" si="3"/>
        <v>74.08550553215531</v>
      </c>
    </row>
    <row r="35" spans="1:7">
      <c r="A35" s="35">
        <v>15</v>
      </c>
      <c r="B35" s="40">
        <v>16238.99</v>
      </c>
      <c r="C35" s="36">
        <f t="shared" si="0"/>
        <v>16.238990000000001</v>
      </c>
      <c r="D35" s="12">
        <f t="shared" si="1"/>
        <v>1.1286098050000002</v>
      </c>
      <c r="E35" s="12">
        <f t="shared" si="2"/>
        <v>5.0384366294642866E-2</v>
      </c>
      <c r="F35" s="12">
        <f>E35/Calculation!K$14*1000</f>
        <v>5.1336842479752655E-2</v>
      </c>
      <c r="G35" s="12">
        <f t="shared" si="3"/>
        <v>75.794265193919188</v>
      </c>
    </row>
    <row r="36" spans="1:7">
      <c r="A36" s="35">
        <v>15.5</v>
      </c>
      <c r="B36" s="40">
        <v>13261.97</v>
      </c>
      <c r="C36" s="36">
        <f t="shared" si="0"/>
        <v>13.26197</v>
      </c>
      <c r="D36" s="12">
        <f t="shared" si="1"/>
        <v>0.92170691500000002</v>
      </c>
      <c r="E36" s="12">
        <f t="shared" si="2"/>
        <v>4.1147630133928574E-2</v>
      </c>
      <c r="F36" s="12">
        <f>E36/Calculation!K$15*1000</f>
        <v>4.4290521024227605E-2</v>
      </c>
      <c r="G36" s="12">
        <f t="shared" si="3"/>
        <v>77.228675646478891</v>
      </c>
    </row>
    <row r="37" spans="1:7">
      <c r="A37" s="35">
        <v>16</v>
      </c>
      <c r="B37" s="40">
        <v>10541.77</v>
      </c>
      <c r="C37" s="36">
        <f t="shared" si="0"/>
        <v>10.54177</v>
      </c>
      <c r="D37" s="12">
        <f t="shared" si="1"/>
        <v>0.73265301499999991</v>
      </c>
      <c r="E37" s="12">
        <f t="shared" si="2"/>
        <v>3.270772388392857E-2</v>
      </c>
      <c r="F37" s="12">
        <f>E37/Calculation!K$15*1000</f>
        <v>3.5205967576278023E-2</v>
      </c>
      <c r="G37" s="12">
        <f t="shared" si="3"/>
        <v>78.421122975486469</v>
      </c>
    </row>
    <row r="38" spans="1:7">
      <c r="A38" s="35">
        <v>16.5</v>
      </c>
      <c r="B38" s="40">
        <v>8397.7900000000009</v>
      </c>
      <c r="C38" s="36">
        <f t="shared" si="0"/>
        <v>8.3977900000000005</v>
      </c>
      <c r="D38" s="12">
        <f t="shared" si="1"/>
        <v>0.58364640499999998</v>
      </c>
      <c r="E38" s="12">
        <f t="shared" si="2"/>
        <v>2.6055643080357144E-2</v>
      </c>
      <c r="F38" s="12">
        <f>E38/Calculation!K$15*1000</f>
        <v>2.804579519875617E-2</v>
      </c>
      <c r="G38" s="12">
        <f t="shared" si="3"/>
        <v>79.369899417111981</v>
      </c>
    </row>
    <row r="39" spans="1:7">
      <c r="A39" s="35">
        <v>17</v>
      </c>
      <c r="B39" s="40">
        <v>6665.58</v>
      </c>
      <c r="C39" s="36">
        <f t="shared" si="0"/>
        <v>6.6655800000000003</v>
      </c>
      <c r="D39" s="12">
        <f t="shared" si="1"/>
        <v>0.46325780999999999</v>
      </c>
      <c r="E39" s="12">
        <f t="shared" si="2"/>
        <v>2.0681152232142858E-2</v>
      </c>
      <c r="F39" s="12">
        <f>E39/Calculation!K$16*1000</f>
        <v>2.3412216673131352E-2</v>
      </c>
      <c r="G39" s="12">
        <f t="shared" si="3"/>
        <v>80.141769595190297</v>
      </c>
    </row>
    <row r="40" spans="1:7">
      <c r="A40" s="35">
        <v>17.5</v>
      </c>
      <c r="B40" s="40">
        <v>5094.9399999999996</v>
      </c>
      <c r="C40" s="36">
        <f t="shared" si="0"/>
        <v>5.0949399999999994</v>
      </c>
      <c r="D40" s="12">
        <f t="shared" si="1"/>
        <v>0.35409832999999996</v>
      </c>
      <c r="E40" s="12">
        <f t="shared" si="2"/>
        <v>1.5807961160714284E-2</v>
      </c>
      <c r="F40" s="12">
        <f>E40/Calculation!K$16*1000</f>
        <v>1.7895492847824775E-2</v>
      </c>
      <c r="G40" s="12">
        <f t="shared" si="3"/>
        <v>80.761385238004635</v>
      </c>
    </row>
    <row r="41" spans="1:7">
      <c r="A41" s="35">
        <v>18</v>
      </c>
      <c r="B41" s="40">
        <v>4042.15</v>
      </c>
      <c r="C41" s="36">
        <f t="shared" si="0"/>
        <v>4.0421500000000004</v>
      </c>
      <c r="D41" s="12">
        <f t="shared" si="1"/>
        <v>0.28092942500000001</v>
      </c>
      <c r="E41" s="12">
        <f t="shared" si="2"/>
        <v>1.2541492187500001E-2</v>
      </c>
      <c r="F41" s="12">
        <f>E41/Calculation!K$17*1000</f>
        <v>1.5006191196228161E-2</v>
      </c>
      <c r="G41" s="12">
        <f t="shared" si="3"/>
        <v>81.254910498665424</v>
      </c>
    </row>
    <row r="42" spans="1:7">
      <c r="A42" s="35">
        <v>18.5</v>
      </c>
      <c r="B42" s="40">
        <v>3179.35</v>
      </c>
      <c r="C42" s="36">
        <f t="shared" si="0"/>
        <v>3.1793499999999999</v>
      </c>
      <c r="D42" s="12">
        <f t="shared" si="1"/>
        <v>0.220964825</v>
      </c>
      <c r="E42" s="12">
        <f t="shared" si="2"/>
        <v>9.8645011160714297E-3</v>
      </c>
      <c r="F42" s="12">
        <f>E42/Calculation!K$17*1000</f>
        <v>1.1803108241833679E-2</v>
      </c>
      <c r="G42" s="12">
        <f t="shared" si="3"/>
        <v>81.657049990236345</v>
      </c>
    </row>
    <row r="43" spans="1:7">
      <c r="A43" s="35">
        <v>19</v>
      </c>
      <c r="B43" s="40">
        <v>2518.88</v>
      </c>
      <c r="C43" s="36">
        <f t="shared" si="0"/>
        <v>2.5188800000000002</v>
      </c>
      <c r="D43" s="12">
        <f t="shared" si="1"/>
        <v>0.17506216000000002</v>
      </c>
      <c r="E43" s="12">
        <f t="shared" si="2"/>
        <v>7.8152750000000017E-3</v>
      </c>
      <c r="F43" s="12">
        <f>E43/Calculation!K$17*1000</f>
        <v>9.3511608625002022E-3</v>
      </c>
      <c r="G43" s="12">
        <f t="shared" si="3"/>
        <v>81.974364026801354</v>
      </c>
    </row>
    <row r="44" spans="1:7">
      <c r="A44" s="35">
        <v>19.5</v>
      </c>
      <c r="B44" s="40">
        <v>1979.04</v>
      </c>
      <c r="C44" s="36">
        <f t="shared" si="0"/>
        <v>1.9790399999999999</v>
      </c>
      <c r="D44" s="12">
        <f t="shared" si="1"/>
        <v>0.13754327999999999</v>
      </c>
      <c r="E44" s="12">
        <f t="shared" si="2"/>
        <v>6.1403250000000003E-3</v>
      </c>
      <c r="F44" s="12">
        <f>E44/Calculation!K$17*1000</f>
        <v>7.3470436834316829E-3</v>
      </c>
      <c r="G44" s="12">
        <f t="shared" si="3"/>
        <v>82.224837094990335</v>
      </c>
    </row>
    <row r="45" spans="1:7">
      <c r="A45" s="35">
        <v>20</v>
      </c>
      <c r="B45" s="40">
        <v>1582.48</v>
      </c>
      <c r="C45" s="36">
        <f t="shared" si="0"/>
        <v>1.5824800000000001</v>
      </c>
      <c r="D45" s="12">
        <f t="shared" si="1"/>
        <v>0.10998236</v>
      </c>
      <c r="E45" s="12">
        <f t="shared" si="2"/>
        <v>4.9099267857142864E-3</v>
      </c>
      <c r="F45" s="12">
        <f>E45/Calculation!K$17*1000</f>
        <v>5.8748432008231119E-3</v>
      </c>
      <c r="G45" s="12">
        <f t="shared" si="3"/>
        <v>82.423165398254156</v>
      </c>
    </row>
    <row r="46" spans="1:7">
      <c r="A46" s="35">
        <v>20.5</v>
      </c>
      <c r="B46" s="40">
        <v>1281.69</v>
      </c>
      <c r="C46" s="36">
        <f t="shared" si="0"/>
        <v>1.28169</v>
      </c>
      <c r="D46" s="12">
        <f t="shared" si="1"/>
        <v>8.9077455E-2</v>
      </c>
      <c r="E46" s="12">
        <f t="shared" si="2"/>
        <v>3.9766720982142862E-3</v>
      </c>
      <c r="F46" s="12">
        <f>E46/Calculation!K$17*1000</f>
        <v>4.7581819562098563E-3</v>
      </c>
      <c r="G46" s="12">
        <f t="shared" si="3"/>
        <v>82.582660775609654</v>
      </c>
    </row>
    <row r="47" spans="1:7">
      <c r="A47" s="35">
        <v>21</v>
      </c>
      <c r="B47" s="40">
        <v>1027.24</v>
      </c>
      <c r="C47" s="36">
        <f t="shared" si="0"/>
        <v>1.0272399999999999</v>
      </c>
      <c r="D47" s="12">
        <f t="shared" si="1"/>
        <v>7.1393180000000001E-2</v>
      </c>
      <c r="E47" s="12">
        <f t="shared" si="2"/>
        <v>3.1871955357142857E-3</v>
      </c>
      <c r="F47" s="12">
        <f>E47/Calculation!K$17*1000</f>
        <v>3.8135546291981777E-3</v>
      </c>
      <c r="G47" s="12">
        <f t="shared" si="3"/>
        <v>82.711236824390781</v>
      </c>
    </row>
    <row r="48" spans="1:7">
      <c r="A48" s="35">
        <v>21.5</v>
      </c>
      <c r="B48" s="40">
        <v>845.04</v>
      </c>
      <c r="C48" s="36">
        <f t="shared" si="0"/>
        <v>0.84504000000000001</v>
      </c>
      <c r="D48" s="12">
        <f t="shared" si="1"/>
        <v>5.8730280000000003E-2</v>
      </c>
      <c r="E48" s="12">
        <f t="shared" si="2"/>
        <v>2.6218875000000004E-3</v>
      </c>
      <c r="F48" s="12">
        <f>E48/Calculation!K$17*1000</f>
        <v>3.1371502315502009E-3</v>
      </c>
      <c r="G48" s="12">
        <f t="shared" si="3"/>
        <v>82.815497397302011</v>
      </c>
    </row>
    <row r="49" spans="1:7">
      <c r="A49" s="35">
        <v>22</v>
      </c>
      <c r="B49" s="40">
        <v>793.44</v>
      </c>
      <c r="C49" s="36">
        <f t="shared" si="0"/>
        <v>0.79344000000000003</v>
      </c>
      <c r="D49" s="12">
        <f t="shared" si="1"/>
        <v>5.5144080000000005E-2</v>
      </c>
      <c r="E49" s="12">
        <f t="shared" si="2"/>
        <v>2.4617892857142862E-3</v>
      </c>
      <c r="F49" s="12">
        <f>E49/Calculation!K$17*1000</f>
        <v>2.9455889422053297E-3</v>
      </c>
      <c r="G49" s="12">
        <f t="shared" si="3"/>
        <v>82.906738484908345</v>
      </c>
    </row>
    <row r="50" spans="1:7">
      <c r="A50" s="35">
        <v>22.5</v>
      </c>
      <c r="B50" s="40">
        <v>712.91</v>
      </c>
      <c r="C50" s="36">
        <f t="shared" si="0"/>
        <v>0.71290999999999993</v>
      </c>
      <c r="D50" s="12">
        <f t="shared" si="1"/>
        <v>4.9547244999999997E-2</v>
      </c>
      <c r="E50" s="12">
        <f t="shared" si="2"/>
        <v>2.211930580357143E-3</v>
      </c>
      <c r="F50" s="12">
        <f>E50/Calculation!K$17*1000</f>
        <v>2.6466271082723346E-3</v>
      </c>
      <c r="G50" s="12">
        <f t="shared" si="3"/>
        <v>82.990621725665505</v>
      </c>
    </row>
    <row r="51" spans="1:7">
      <c r="A51" s="35">
        <v>23</v>
      </c>
      <c r="B51" s="40">
        <v>619.87</v>
      </c>
      <c r="C51" s="36">
        <f t="shared" si="0"/>
        <v>0.61987000000000003</v>
      </c>
      <c r="D51" s="12">
        <f t="shared" si="1"/>
        <v>4.3080964999999999E-2</v>
      </c>
      <c r="E51" s="12">
        <f t="shared" si="2"/>
        <v>1.9232573660714286E-3</v>
      </c>
      <c r="F51" s="12">
        <f>E51/Calculation!K$17*1000</f>
        <v>2.301222798957473E-3</v>
      </c>
      <c r="G51" s="12">
        <f t="shared" si="3"/>
        <v>83.064839474273953</v>
      </c>
    </row>
    <row r="52" spans="1:7">
      <c r="A52" s="35">
        <v>23.5</v>
      </c>
      <c r="B52" s="40">
        <v>546.95000000000005</v>
      </c>
      <c r="C52" s="36">
        <f t="shared" si="0"/>
        <v>0.54695000000000005</v>
      </c>
      <c r="D52" s="12">
        <f t="shared" si="1"/>
        <v>3.8013025000000006E-2</v>
      </c>
      <c r="E52" s="12">
        <f t="shared" si="2"/>
        <v>1.6970100446428574E-3</v>
      </c>
      <c r="F52" s="12">
        <f>E52/Calculation!K$17*1000</f>
        <v>2.0305125427747591E-3</v>
      </c>
      <c r="G52" s="12">
        <f t="shared" si="3"/>
        <v>83.129815504399943</v>
      </c>
    </row>
    <row r="53" spans="1:7">
      <c r="A53" s="35">
        <v>24</v>
      </c>
      <c r="B53" s="40">
        <v>495.01</v>
      </c>
      <c r="C53" s="36">
        <f t="shared" si="0"/>
        <v>0.49501000000000001</v>
      </c>
      <c r="D53" s="12">
        <f t="shared" si="1"/>
        <v>3.4403195000000004E-2</v>
      </c>
      <c r="E53" s="12">
        <f t="shared" si="2"/>
        <v>1.5358569196428575E-3</v>
      </c>
      <c r="F53" s="12">
        <f>E53/Calculation!K$18*1000</f>
        <v>1.9532390030307955E-3</v>
      </c>
      <c r="G53" s="12">
        <f t="shared" si="3"/>
        <v>83.18957177758702</v>
      </c>
    </row>
    <row r="54" spans="1:7">
      <c r="A54" s="35">
        <v>24.5</v>
      </c>
      <c r="B54" s="40">
        <v>454.75</v>
      </c>
      <c r="C54" s="36">
        <f t="shared" si="0"/>
        <v>0.45474999999999999</v>
      </c>
      <c r="D54" s="12">
        <f t="shared" si="1"/>
        <v>3.1605124999999998E-2</v>
      </c>
      <c r="E54" s="12">
        <f t="shared" si="2"/>
        <v>1.4109430803571428E-3</v>
      </c>
      <c r="F54" s="12">
        <f>E54/Calculation!K$18*1000</f>
        <v>1.7943787734151918E-3</v>
      </c>
      <c r="G54" s="12">
        <f t="shared" si="3"/>
        <v>83.245786044233711</v>
      </c>
    </row>
    <row r="55" spans="1:7">
      <c r="A55" s="35">
        <v>25</v>
      </c>
      <c r="B55" s="40">
        <v>430.56</v>
      </c>
      <c r="C55" s="36">
        <f t="shared" si="0"/>
        <v>0.43056</v>
      </c>
      <c r="D55" s="12">
        <f t="shared" si="1"/>
        <v>2.9923920000000003E-2</v>
      </c>
      <c r="E55" s="12">
        <f t="shared" si="2"/>
        <v>1.335889285714286E-3</v>
      </c>
      <c r="F55" s="12">
        <f>E55/Calculation!K$18*1000</f>
        <v>1.6989284764852008E-3</v>
      </c>
      <c r="G55" s="12">
        <f t="shared" si="3"/>
        <v>83.298185652982212</v>
      </c>
    </row>
    <row r="56" spans="1:7">
      <c r="A56" s="35">
        <v>25.5</v>
      </c>
      <c r="B56" s="40">
        <v>396.72</v>
      </c>
      <c r="C56" s="36">
        <f t="shared" si="0"/>
        <v>0.39672000000000002</v>
      </c>
      <c r="D56" s="12">
        <f t="shared" si="1"/>
        <v>2.7572040000000003E-2</v>
      </c>
      <c r="E56" s="12">
        <f t="shared" si="2"/>
        <v>1.2308946428571431E-3</v>
      </c>
      <c r="F56" s="12">
        <f>E56/Calculation!K$18*1000</f>
        <v>1.565400653082518E-3</v>
      </c>
      <c r="G56" s="12">
        <f t="shared" si="3"/>
        <v>83.347150589925732</v>
      </c>
    </row>
    <row r="57" spans="1:7">
      <c r="A57" s="35">
        <v>26</v>
      </c>
      <c r="B57" s="40">
        <v>374.73</v>
      </c>
      <c r="C57" s="36">
        <f t="shared" si="0"/>
        <v>0.37473000000000001</v>
      </c>
      <c r="D57" s="12">
        <f t="shared" si="1"/>
        <v>2.6043734999999998E-2</v>
      </c>
      <c r="E57" s="12">
        <f t="shared" si="2"/>
        <v>1.1626667410714285E-3</v>
      </c>
      <c r="F57" s="12">
        <f>E57/Calculation!K$18*1000</f>
        <v>1.4786312430167671E-3</v>
      </c>
      <c r="G57" s="12">
        <f t="shared" si="3"/>
        <v>83.392811068367223</v>
      </c>
    </row>
    <row r="58" spans="1:7">
      <c r="A58" s="35">
        <v>26.5</v>
      </c>
      <c r="B58" s="40">
        <v>369.31</v>
      </c>
      <c r="C58" s="36">
        <f t="shared" si="0"/>
        <v>0.36931000000000003</v>
      </c>
      <c r="D58" s="12">
        <f t="shared" si="1"/>
        <v>2.5667045000000003E-2</v>
      </c>
      <c r="E58" s="12">
        <f t="shared" si="2"/>
        <v>1.1458502232142859E-3</v>
      </c>
      <c r="F58" s="12">
        <f>E58/Calculation!K$18*1000</f>
        <v>1.4572446944694109E-3</v>
      </c>
      <c r="G58" s="12">
        <f t="shared" si="3"/>
        <v>83.436849207429518</v>
      </c>
    </row>
    <row r="59" spans="1:7">
      <c r="A59" s="35">
        <v>27</v>
      </c>
      <c r="B59" s="40">
        <v>387.08</v>
      </c>
      <c r="C59" s="36">
        <f t="shared" si="0"/>
        <v>0.38707999999999998</v>
      </c>
      <c r="D59" s="12">
        <f t="shared" si="1"/>
        <v>2.6902059999999998E-2</v>
      </c>
      <c r="E59" s="12">
        <f t="shared" si="2"/>
        <v>1.2009848214285714E-3</v>
      </c>
      <c r="F59" s="12">
        <f>E59/Calculation!K$18*1000</f>
        <v>1.5273625851864813E-3</v>
      </c>
      <c r="G59" s="12">
        <f t="shared" si="3"/>
        <v>83.481618316624349</v>
      </c>
    </row>
    <row r="60" spans="1:7">
      <c r="A60" s="35">
        <v>27.5</v>
      </c>
      <c r="B60" s="40">
        <v>390.97</v>
      </c>
      <c r="C60" s="36">
        <f t="shared" si="0"/>
        <v>0.39097000000000004</v>
      </c>
      <c r="D60" s="12">
        <f t="shared" si="1"/>
        <v>2.7172415000000002E-2</v>
      </c>
      <c r="E60" s="12">
        <f t="shared" si="2"/>
        <v>1.2130542410714287E-3</v>
      </c>
      <c r="F60" s="12">
        <f>E60/Calculation!K$18*1000</f>
        <v>1.5427119715055253E-3</v>
      </c>
      <c r="G60" s="12">
        <f t="shared" si="3"/>
        <v>83.527669434974726</v>
      </c>
    </row>
    <row r="61" spans="1:7">
      <c r="A61" s="35">
        <v>28</v>
      </c>
      <c r="B61" s="40">
        <v>393.34</v>
      </c>
      <c r="C61" s="36">
        <f t="shared" si="0"/>
        <v>0.39333999999999997</v>
      </c>
      <c r="D61" s="12">
        <f t="shared" si="1"/>
        <v>2.7337129999999998E-2</v>
      </c>
      <c r="E61" s="12">
        <f t="shared" si="2"/>
        <v>1.2204075892857142E-3</v>
      </c>
      <c r="F61" s="12">
        <f>E61/Calculation!K$18*1000</f>
        <v>1.5520636541729114E-3</v>
      </c>
      <c r="G61" s="12">
        <f t="shared" si="3"/>
        <v>83.574091069359909</v>
      </c>
    </row>
    <row r="62" spans="1:7">
      <c r="A62" s="35">
        <v>28.5</v>
      </c>
      <c r="B62" s="40">
        <v>385.89</v>
      </c>
      <c r="C62" s="36">
        <f t="shared" si="0"/>
        <v>0.38589000000000001</v>
      </c>
      <c r="D62" s="12">
        <f t="shared" si="1"/>
        <v>2.6819355E-2</v>
      </c>
      <c r="E62" s="12">
        <f t="shared" si="2"/>
        <v>1.1972926339285715E-3</v>
      </c>
      <c r="F62" s="12">
        <f>E62/Calculation!K$18*1000</f>
        <v>1.5226670145644604E-3</v>
      </c>
      <c r="G62" s="12">
        <f t="shared" si="3"/>
        <v>83.62021202939097</v>
      </c>
    </row>
    <row r="63" spans="1:7">
      <c r="A63" s="35">
        <v>29</v>
      </c>
      <c r="B63" s="40">
        <v>358.49</v>
      </c>
      <c r="C63" s="36">
        <f t="shared" si="0"/>
        <v>0.35849000000000003</v>
      </c>
      <c r="D63" s="12">
        <f t="shared" si="1"/>
        <v>2.4915055000000002E-2</v>
      </c>
      <c r="E63" s="12">
        <f t="shared" si="2"/>
        <v>1.1122792410714288E-3</v>
      </c>
      <c r="F63" s="12">
        <f>E63/Calculation!K$18*1000</f>
        <v>1.4145505145280093E-3</v>
      </c>
      <c r="G63" s="12">
        <f t="shared" si="3"/>
        <v>83.664270292327359</v>
      </c>
    </row>
    <row r="64" spans="1:7">
      <c r="A64" s="35">
        <v>29.5</v>
      </c>
      <c r="B64" s="40">
        <v>369.99</v>
      </c>
      <c r="C64" s="36">
        <f t="shared" si="0"/>
        <v>0.36998999999999999</v>
      </c>
      <c r="D64" s="12">
        <f t="shared" si="1"/>
        <v>2.5714305E-2</v>
      </c>
      <c r="E64" s="12">
        <f t="shared" si="2"/>
        <v>1.1479600446428573E-3</v>
      </c>
      <c r="F64" s="12">
        <f>E64/Calculation!K$18*1000</f>
        <v>1.4599278776819943E-3</v>
      </c>
      <c r="G64" s="12">
        <f t="shared" si="3"/>
        <v>83.707387468210513</v>
      </c>
    </row>
    <row r="65" spans="1:7">
      <c r="A65" s="35">
        <v>30</v>
      </c>
      <c r="B65" s="40">
        <v>361.53</v>
      </c>
      <c r="C65" s="36">
        <f t="shared" si="0"/>
        <v>0.36152999999999996</v>
      </c>
      <c r="D65" s="12">
        <f t="shared" si="1"/>
        <v>2.5126335E-2</v>
      </c>
      <c r="E65" s="12">
        <f t="shared" si="2"/>
        <v>1.1217113839285715E-3</v>
      </c>
      <c r="F65" s="12">
        <f>E65/Calculation!K$18*1000</f>
        <v>1.4265459218313235E-3</v>
      </c>
      <c r="G65" s="12">
        <f t="shared" si="3"/>
        <v>83.750684575203209</v>
      </c>
    </row>
    <row r="66" spans="1:7">
      <c r="A66" s="35">
        <v>30.5</v>
      </c>
      <c r="B66" s="40">
        <v>389.45</v>
      </c>
      <c r="C66" s="36">
        <f t="shared" si="0"/>
        <v>0.38944999999999996</v>
      </c>
      <c r="D66" s="12">
        <f t="shared" si="1"/>
        <v>2.7066774999999998E-2</v>
      </c>
      <c r="E66" s="12">
        <f t="shared" si="2"/>
        <v>1.208338169642857E-3</v>
      </c>
      <c r="F66" s="12">
        <f>E66/Calculation!K$19*1000</f>
        <v>1.6398228380840626E-3</v>
      </c>
      <c r="G66" s="12">
        <f t="shared" si="3"/>
        <v>83.79668010660194</v>
      </c>
    </row>
    <row r="67" spans="1:7">
      <c r="A67" s="35">
        <v>31</v>
      </c>
      <c r="B67" s="40">
        <v>371.01</v>
      </c>
      <c r="C67" s="36">
        <f t="shared" si="0"/>
        <v>0.37101000000000001</v>
      </c>
      <c r="D67" s="12">
        <f t="shared" si="1"/>
        <v>2.5785195E-2</v>
      </c>
      <c r="E67" s="12">
        <f t="shared" si="2"/>
        <v>1.1511247767857144E-3</v>
      </c>
      <c r="F67" s="12">
        <f>E67/Calculation!K$19*1000</f>
        <v>1.5621791530557665E-3</v>
      </c>
      <c r="G67" s="12">
        <f t="shared" si="3"/>
        <v>83.844710136469033</v>
      </c>
    </row>
    <row r="68" spans="1:7">
      <c r="A68" s="35">
        <v>31.5</v>
      </c>
      <c r="B68" s="40">
        <v>357.47</v>
      </c>
      <c r="C68" s="36">
        <f t="shared" si="0"/>
        <v>0.35747000000000001</v>
      </c>
      <c r="D68" s="12">
        <f t="shared" si="1"/>
        <v>2.4844165000000001E-2</v>
      </c>
      <c r="E68" s="12">
        <f t="shared" si="2"/>
        <v>1.1091145089285716E-3</v>
      </c>
      <c r="F68" s="12">
        <f>E68/Calculation!K$19*1000</f>
        <v>1.5051674667605854E-3</v>
      </c>
      <c r="G68" s="12">
        <f t="shared" si="3"/>
        <v>83.890720335766275</v>
      </c>
    </row>
    <row r="69" spans="1:7">
      <c r="A69" s="35">
        <v>32</v>
      </c>
      <c r="B69" s="40">
        <v>362.38</v>
      </c>
      <c r="C69" s="36">
        <f t="shared" si="0"/>
        <v>0.36237999999999998</v>
      </c>
      <c r="D69" s="12">
        <f t="shared" si="1"/>
        <v>2.5185409999999998E-2</v>
      </c>
      <c r="E69" s="12">
        <f t="shared" si="2"/>
        <v>1.1243486607142856E-3</v>
      </c>
      <c r="F69" s="12">
        <f>E69/Calculation!K$19*1000</f>
        <v>1.5258415716135644E-3</v>
      </c>
      <c r="G69" s="12">
        <f t="shared" si="3"/>
        <v>83.936185471341886</v>
      </c>
    </row>
    <row r="70" spans="1:7">
      <c r="A70" s="35">
        <v>32.5</v>
      </c>
      <c r="B70" s="40">
        <v>345.8</v>
      </c>
      <c r="C70" s="36">
        <f t="shared" ref="C70:C101" si="4">B70/1000</f>
        <v>0.3458</v>
      </c>
      <c r="D70" s="12">
        <f t="shared" ref="D70:D101" si="5">C70/1000*$B$1</f>
        <v>2.4033100000000002E-2</v>
      </c>
      <c r="E70" s="12">
        <f t="shared" ref="E70:E101" si="6">D70/22.4</f>
        <v>1.0729062500000001E-3</v>
      </c>
      <c r="F70" s="12">
        <f>E70/Calculation!K$19*1000</f>
        <v>1.4560296248798791E-3</v>
      </c>
      <c r="G70" s="12">
        <f t="shared" si="3"/>
        <v>83.98091353928929</v>
      </c>
    </row>
    <row r="71" spans="1:7">
      <c r="A71" s="35">
        <v>33</v>
      </c>
      <c r="B71" s="40">
        <v>335.82</v>
      </c>
      <c r="C71" s="36">
        <f t="shared" si="4"/>
        <v>0.33582000000000001</v>
      </c>
      <c r="D71" s="12">
        <f t="shared" si="5"/>
        <v>2.3339490000000001E-2</v>
      </c>
      <c r="E71" s="12">
        <f t="shared" si="6"/>
        <v>1.041941517857143E-3</v>
      </c>
      <c r="F71" s="12">
        <f>E71/Calculation!K$19*1000</f>
        <v>1.4140077172561049E-3</v>
      </c>
      <c r="G71" s="12">
        <f t="shared" ref="G71:G101" si="7">G70+(F71+F70)/2*30</f>
        <v>84.023964099421335</v>
      </c>
    </row>
    <row r="72" spans="1:7">
      <c r="A72" s="35">
        <v>33.5</v>
      </c>
      <c r="B72" s="40">
        <v>313.64999999999998</v>
      </c>
      <c r="C72" s="36">
        <f t="shared" si="4"/>
        <v>0.31364999999999998</v>
      </c>
      <c r="D72" s="12">
        <f t="shared" si="5"/>
        <v>2.1798675E-2</v>
      </c>
      <c r="E72" s="12">
        <f t="shared" si="6"/>
        <v>9.7315513392857154E-4</v>
      </c>
      <c r="F72" s="12">
        <f>E72/Calculation!K$19*1000</f>
        <v>1.3206584495187221E-3</v>
      </c>
      <c r="G72" s="12">
        <f t="shared" si="7"/>
        <v>84.064984091922952</v>
      </c>
    </row>
    <row r="73" spans="1:7">
      <c r="A73" s="35">
        <v>34</v>
      </c>
      <c r="B73" s="40">
        <v>296.91000000000003</v>
      </c>
      <c r="C73" s="36">
        <f t="shared" si="4"/>
        <v>0.29691000000000001</v>
      </c>
      <c r="D73" s="12">
        <f t="shared" si="5"/>
        <v>2.0635245E-2</v>
      </c>
      <c r="E73" s="12">
        <f t="shared" si="6"/>
        <v>9.2121629464285719E-4</v>
      </c>
      <c r="F73" s="12">
        <f>E73/Calculation!K$19*1000</f>
        <v>1.2501728048672207E-3</v>
      </c>
      <c r="G73" s="12">
        <f t="shared" si="7"/>
        <v>84.103546560738735</v>
      </c>
    </row>
    <row r="74" spans="1:7">
      <c r="A74" s="35">
        <v>34.5</v>
      </c>
      <c r="B74" s="40">
        <v>277.62</v>
      </c>
      <c r="C74" s="36">
        <f t="shared" si="4"/>
        <v>0.27761999999999998</v>
      </c>
      <c r="D74" s="12">
        <f t="shared" si="5"/>
        <v>1.9294589999999997E-2</v>
      </c>
      <c r="E74" s="12">
        <f t="shared" si="6"/>
        <v>8.6136562499999989E-4</v>
      </c>
      <c r="F74" s="12">
        <f>E74/Calculation!K$19*1000</f>
        <v>1.1689500996505263E-3</v>
      </c>
      <c r="G74" s="12">
        <f t="shared" si="7"/>
        <v>84.139833404306501</v>
      </c>
    </row>
    <row r="75" spans="1:7">
      <c r="A75" s="35">
        <v>35</v>
      </c>
      <c r="B75" s="40">
        <v>267.81</v>
      </c>
      <c r="C75" s="36">
        <f t="shared" si="4"/>
        <v>0.26780999999999999</v>
      </c>
      <c r="D75" s="12">
        <f t="shared" si="5"/>
        <v>1.8612795000000001E-2</v>
      </c>
      <c r="E75" s="12">
        <f t="shared" si="6"/>
        <v>8.3092834821428584E-4</v>
      </c>
      <c r="F75" s="12">
        <f>E75/Calculation!K$19*1000</f>
        <v>1.1276439960644319E-3</v>
      </c>
      <c r="G75" s="12">
        <f t="shared" si="7"/>
        <v>84.174282315742218</v>
      </c>
    </row>
    <row r="76" spans="1:7">
      <c r="A76" s="35">
        <v>35.5</v>
      </c>
      <c r="B76" s="40">
        <v>275.42</v>
      </c>
      <c r="C76" s="36">
        <f t="shared" si="4"/>
        <v>0.27542</v>
      </c>
      <c r="D76" s="12">
        <f t="shared" si="5"/>
        <v>1.9141689999999999E-2</v>
      </c>
      <c r="E76" s="12">
        <f t="shared" si="6"/>
        <v>8.5453973214285716E-4</v>
      </c>
      <c r="F76" s="12">
        <f>E76/Calculation!K$19*1000</f>
        <v>1.1596867532805563E-3</v>
      </c>
      <c r="G76" s="12">
        <f t="shared" si="7"/>
        <v>84.208592276982387</v>
      </c>
    </row>
    <row r="77" spans="1:7">
      <c r="A77" s="35">
        <v>36</v>
      </c>
      <c r="B77" s="40">
        <v>258</v>
      </c>
      <c r="C77" s="36">
        <f t="shared" si="4"/>
        <v>0.25800000000000001</v>
      </c>
      <c r="D77" s="12">
        <f t="shared" si="5"/>
        <v>1.7930999999999999E-2</v>
      </c>
      <c r="E77" s="12">
        <f t="shared" si="6"/>
        <v>8.0049107142857146E-4</v>
      </c>
      <c r="F77" s="12">
        <f>E77/Calculation!K$19*1000</f>
        <v>1.0863378924783368E-3</v>
      </c>
      <c r="G77" s="12">
        <f t="shared" si="7"/>
        <v>84.24228264666877</v>
      </c>
    </row>
    <row r="78" spans="1:7">
      <c r="A78" s="35">
        <v>36.5</v>
      </c>
      <c r="B78" s="40">
        <v>243.45</v>
      </c>
      <c r="C78" s="36">
        <f t="shared" si="4"/>
        <v>0.24345</v>
      </c>
      <c r="D78" s="12">
        <f t="shared" si="5"/>
        <v>1.6919775000000001E-2</v>
      </c>
      <c r="E78" s="12">
        <f t="shared" si="6"/>
        <v>7.5534709821428584E-4</v>
      </c>
      <c r="F78" s="12">
        <f>E78/Calculation!K$19*1000</f>
        <v>1.0250734880769422E-3</v>
      </c>
      <c r="G78" s="12">
        <f t="shared" si="7"/>
        <v>84.273953817377105</v>
      </c>
    </row>
    <row r="79" spans="1:7">
      <c r="A79" s="35">
        <v>37</v>
      </c>
      <c r="B79" s="40">
        <v>251.23</v>
      </c>
      <c r="C79" s="36">
        <f t="shared" si="4"/>
        <v>0.25123000000000001</v>
      </c>
      <c r="D79" s="12">
        <f t="shared" si="5"/>
        <v>1.7460485000000001E-2</v>
      </c>
      <c r="E79" s="12">
        <f t="shared" si="6"/>
        <v>7.7948593750000006E-4</v>
      </c>
      <c r="F79" s="12">
        <f>E79/Calculation!K$19*1000</f>
        <v>1.0578320493307462E-3</v>
      </c>
      <c r="G79" s="12">
        <f t="shared" si="7"/>
        <v>84.305197400438217</v>
      </c>
    </row>
    <row r="80" spans="1:7">
      <c r="A80" s="35">
        <v>37.5</v>
      </c>
      <c r="B80" s="40">
        <v>240.4</v>
      </c>
      <c r="C80" s="36">
        <f t="shared" si="4"/>
        <v>0.2404</v>
      </c>
      <c r="D80" s="12">
        <f t="shared" si="5"/>
        <v>1.6707800000000002E-2</v>
      </c>
      <c r="E80" s="12">
        <f t="shared" si="6"/>
        <v>7.4588392857142865E-4</v>
      </c>
      <c r="F80" s="12">
        <f>E80/Calculation!K$19*1000</f>
        <v>1.0122311215185742E-3</v>
      </c>
      <c r="G80" s="12">
        <f t="shared" si="7"/>
        <v>84.33624834800095</v>
      </c>
    </row>
    <row r="81" spans="1:7">
      <c r="A81" s="35">
        <v>38</v>
      </c>
      <c r="B81" s="40">
        <v>222.81</v>
      </c>
      <c r="C81" s="36">
        <f t="shared" si="4"/>
        <v>0.22281000000000001</v>
      </c>
      <c r="D81" s="12">
        <f t="shared" si="5"/>
        <v>1.5485295000000001E-2</v>
      </c>
      <c r="E81" s="12">
        <f t="shared" si="6"/>
        <v>6.9130781250000006E-4</v>
      </c>
      <c r="F81" s="12">
        <f>E81/Calculation!K$19*1000</f>
        <v>9.3816645667867528E-4</v>
      </c>
      <c r="G81" s="12">
        <f t="shared" si="7"/>
        <v>84.365504311673902</v>
      </c>
    </row>
    <row r="82" spans="1:7">
      <c r="A82" s="35">
        <v>38.5</v>
      </c>
      <c r="B82" s="40">
        <v>206.4</v>
      </c>
      <c r="C82" s="36">
        <f t="shared" si="4"/>
        <v>0.2064</v>
      </c>
      <c r="D82" s="12">
        <f t="shared" si="5"/>
        <v>1.43448E-2</v>
      </c>
      <c r="E82" s="12">
        <f t="shared" si="6"/>
        <v>6.4039285714285717E-4</v>
      </c>
      <c r="F82" s="12">
        <f>E82/Calculation!K$19*1000</f>
        <v>8.690703139826694E-4</v>
      </c>
      <c r="G82" s="12">
        <f t="shared" si="7"/>
        <v>84.392612863233822</v>
      </c>
    </row>
    <row r="83" spans="1:7">
      <c r="A83" s="35">
        <v>39</v>
      </c>
      <c r="B83" s="40">
        <v>214.52</v>
      </c>
      <c r="C83" s="36">
        <f t="shared" si="4"/>
        <v>0.21452000000000002</v>
      </c>
      <c r="D83" s="12">
        <f t="shared" si="5"/>
        <v>1.4909140000000001E-2</v>
      </c>
      <c r="E83" s="12">
        <f t="shared" si="6"/>
        <v>6.6558660714285728E-4</v>
      </c>
      <c r="F83" s="12">
        <f>E83/Calculation!K$19*1000</f>
        <v>9.0326048331183263E-4</v>
      </c>
      <c r="G83" s="12">
        <f t="shared" si="7"/>
        <v>84.419197825193237</v>
      </c>
    </row>
    <row r="84" spans="1:7">
      <c r="A84" s="35">
        <v>39.5</v>
      </c>
      <c r="B84" s="40">
        <v>199.97</v>
      </c>
      <c r="C84" s="36">
        <f t="shared" si="4"/>
        <v>0.19997000000000001</v>
      </c>
      <c r="D84" s="12">
        <f t="shared" si="5"/>
        <v>1.3897915E-2</v>
      </c>
      <c r="E84" s="12">
        <f t="shared" si="6"/>
        <v>6.2044263392857144E-4</v>
      </c>
      <c r="F84" s="12">
        <f>E84/Calculation!K$19*1000</f>
        <v>8.4199607891043788E-4</v>
      </c>
      <c r="G84" s="12">
        <f t="shared" si="7"/>
        <v>84.445376673626569</v>
      </c>
    </row>
    <row r="85" spans="1:7">
      <c r="A85" s="35">
        <v>40</v>
      </c>
      <c r="B85" s="40">
        <v>188.97</v>
      </c>
      <c r="C85" s="36">
        <f t="shared" si="4"/>
        <v>0.18897</v>
      </c>
      <c r="D85" s="12">
        <f t="shared" si="5"/>
        <v>1.3133415000000001E-2</v>
      </c>
      <c r="E85" s="12">
        <f t="shared" si="6"/>
        <v>5.8631316964285725E-4</v>
      </c>
      <c r="F85" s="12">
        <f>E85/Calculation!K$19*1000</f>
        <v>7.9567934706058642E-4</v>
      </c>
      <c r="G85" s="12">
        <f t="shared" si="7"/>
        <v>84.469941805016134</v>
      </c>
    </row>
    <row r="86" spans="1:7">
      <c r="A86" s="35">
        <v>40.5</v>
      </c>
      <c r="B86" s="40">
        <v>177.47</v>
      </c>
      <c r="C86" s="36">
        <f t="shared" si="4"/>
        <v>0.17746999999999999</v>
      </c>
      <c r="D86" s="12">
        <f t="shared" si="5"/>
        <v>1.2334164999999999E-2</v>
      </c>
      <c r="E86" s="12">
        <f t="shared" si="6"/>
        <v>5.5063236607142861E-4</v>
      </c>
      <c r="F86" s="12">
        <f>E86/Calculation!K$19*1000</f>
        <v>7.4725730921755974E-4</v>
      </c>
      <c r="G86" s="12">
        <f t="shared" si="7"/>
        <v>84.493085854860311</v>
      </c>
    </row>
    <row r="87" spans="1:7">
      <c r="A87" s="35">
        <v>41</v>
      </c>
      <c r="B87" s="40">
        <v>160.72</v>
      </c>
      <c r="C87" s="36">
        <f t="shared" si="4"/>
        <v>0.16072</v>
      </c>
      <c r="D87" s="12">
        <f t="shared" si="5"/>
        <v>1.1170039999999999E-2</v>
      </c>
      <c r="E87" s="12">
        <f t="shared" si="6"/>
        <v>4.9866250000000004E-4</v>
      </c>
      <c r="F87" s="12">
        <f>E87/Calculation!K$19*1000</f>
        <v>6.7672955844619493E-4</v>
      </c>
      <c r="G87" s="12">
        <f t="shared" si="7"/>
        <v>84.514445657875271</v>
      </c>
    </row>
    <row r="88" spans="1:7">
      <c r="A88" s="35">
        <v>41.5</v>
      </c>
      <c r="B88" s="40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84.524596601251957</v>
      </c>
    </row>
    <row r="89" spans="1:7">
      <c r="A89" s="35">
        <v>42</v>
      </c>
      <c r="B89" s="40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84.524596601251957</v>
      </c>
    </row>
    <row r="90" spans="1:7">
      <c r="A90" s="35">
        <v>42.5</v>
      </c>
      <c r="B90" s="40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84.524596601251957</v>
      </c>
    </row>
    <row r="91" spans="1:7">
      <c r="A91" s="35">
        <v>43</v>
      </c>
      <c r="B91" s="40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84.524596601251957</v>
      </c>
    </row>
    <row r="92" spans="1:7">
      <c r="A92" s="35">
        <v>43.5</v>
      </c>
      <c r="B92" s="40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84.524596601251957</v>
      </c>
    </row>
    <row r="93" spans="1:7">
      <c r="A93" s="35">
        <v>44</v>
      </c>
      <c r="B93" s="40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84.524596601251957</v>
      </c>
    </row>
    <row r="94" spans="1:7">
      <c r="A94" s="35">
        <v>44.5</v>
      </c>
      <c r="B94" s="40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84.524596601251957</v>
      </c>
    </row>
    <row r="95" spans="1:7">
      <c r="A95" s="35">
        <v>45</v>
      </c>
      <c r="B95" s="40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84.524596601251957</v>
      </c>
    </row>
    <row r="96" spans="1:7">
      <c r="A96" s="35">
        <v>45.5</v>
      </c>
      <c r="B96" s="40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84.524596601251957</v>
      </c>
    </row>
    <row r="97" spans="1:7">
      <c r="A97" s="35">
        <v>46</v>
      </c>
      <c r="B97" s="40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84.524596601251957</v>
      </c>
    </row>
    <row r="98" spans="1:7">
      <c r="A98" s="35">
        <v>46.5</v>
      </c>
      <c r="B98" s="40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84.524596601251957</v>
      </c>
    </row>
    <row r="99" spans="1:7">
      <c r="A99" s="35">
        <v>47</v>
      </c>
      <c r="B99" s="40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84.524596601251957</v>
      </c>
    </row>
    <row r="100" spans="1:7">
      <c r="A100" s="35">
        <v>47.5</v>
      </c>
      <c r="B100" s="40">
        <v>167.65</v>
      </c>
      <c r="C100" s="36">
        <f t="shared" si="4"/>
        <v>0.16764999999999999</v>
      </c>
      <c r="D100" s="12">
        <f t="shared" si="5"/>
        <v>1.1651674999999998E-2</v>
      </c>
      <c r="E100" s="12">
        <f t="shared" si="6"/>
        <v>5.2016406250000001E-4</v>
      </c>
      <c r="F100" s="12">
        <f>E100/Calculation!K$19*1000</f>
        <v>7.0590909951160133E-4</v>
      </c>
      <c r="G100" s="12">
        <f t="shared" si="7"/>
        <v>84.535185237744628</v>
      </c>
    </row>
    <row r="101" spans="1:7">
      <c r="A101" s="35">
        <v>48</v>
      </c>
      <c r="B101" s="40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84.545773874237298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5" workbookViewId="0">
      <selection activeCell="Q20" sqref="Q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2" t="s">
        <v>40</v>
      </c>
      <c r="B1" s="122"/>
      <c r="D1" s="150" t="s">
        <v>4</v>
      </c>
      <c r="E1" s="150" t="s">
        <v>5</v>
      </c>
      <c r="F1" s="122" t="s">
        <v>133</v>
      </c>
      <c r="G1" s="122"/>
      <c r="H1" s="122"/>
      <c r="I1" s="122"/>
      <c r="J1" s="122" t="s">
        <v>41</v>
      </c>
      <c r="K1" s="122"/>
      <c r="L1" s="122"/>
      <c r="M1" s="122"/>
      <c r="N1" s="148" t="s">
        <v>42</v>
      </c>
      <c r="O1" s="120"/>
      <c r="P1" s="120"/>
      <c r="Q1" s="149"/>
      <c r="R1" s="122" t="s">
        <v>64</v>
      </c>
      <c r="S1" s="122"/>
      <c r="T1" s="122"/>
      <c r="U1" s="122"/>
    </row>
    <row r="2" spans="1:21">
      <c r="A2" s="122" t="s">
        <v>34</v>
      </c>
      <c r="B2" s="122"/>
      <c r="D2" s="150"/>
      <c r="E2" s="150"/>
      <c r="F2" s="14" t="s">
        <v>47</v>
      </c>
      <c r="G2" s="14" t="s">
        <v>23</v>
      </c>
      <c r="H2" s="14" t="s">
        <v>47</v>
      </c>
      <c r="I2" s="14" t="s">
        <v>23</v>
      </c>
      <c r="J2" s="14" t="s">
        <v>47</v>
      </c>
      <c r="K2" s="14" t="s">
        <v>23</v>
      </c>
      <c r="L2" s="14" t="s">
        <v>47</v>
      </c>
      <c r="M2" s="14" t="s">
        <v>23</v>
      </c>
      <c r="N2" s="14" t="s">
        <v>47</v>
      </c>
      <c r="O2" s="14" t="s">
        <v>23</v>
      </c>
      <c r="P2" s="14" t="s">
        <v>47</v>
      </c>
      <c r="Q2" s="14" t="s">
        <v>23</v>
      </c>
      <c r="R2" s="14" t="s">
        <v>47</v>
      </c>
      <c r="S2" s="14" t="s">
        <v>23</v>
      </c>
      <c r="T2" s="14" t="s">
        <v>47</v>
      </c>
      <c r="U2" s="14" t="s">
        <v>23</v>
      </c>
    </row>
    <row r="3" spans="1:21">
      <c r="A3" s="122" t="s">
        <v>35</v>
      </c>
      <c r="B3" s="14" t="s">
        <v>37</v>
      </c>
      <c r="D3" s="16">
        <v>0</v>
      </c>
      <c r="E3" s="65">
        <v>-0.16666666666666666</v>
      </c>
      <c r="F3" s="70">
        <v>51.03981645944345</v>
      </c>
      <c r="G3" s="67">
        <v>0.40418029822668006</v>
      </c>
      <c r="H3" s="13">
        <f>F3*Calculation!I3/Calculation!F22</f>
        <v>51.03981645944345</v>
      </c>
      <c r="I3" s="13">
        <f>G3*Calculation!I3/Calculation!F22</f>
        <v>0.40418029822668</v>
      </c>
      <c r="J3" s="13">
        <v>2.1240378922439316</v>
      </c>
      <c r="K3" s="13">
        <v>6.4093058302578405E-3</v>
      </c>
      <c r="L3" s="13">
        <f>J3*Calculation!I3/Calculation!F22</f>
        <v>2.1240378922439316</v>
      </c>
      <c r="M3" s="13">
        <f>K3*Calculation!I3/Calculation!F22</f>
        <v>6.4093058302578405E-3</v>
      </c>
      <c r="N3" s="13">
        <v>49.958368026644465</v>
      </c>
      <c r="O3" s="13">
        <v>0.39653225311542539</v>
      </c>
      <c r="P3" s="13">
        <f>N3*Calculation!I3/Calculation!F22</f>
        <v>49.958368026644465</v>
      </c>
      <c r="Q3" s="13">
        <f>O3*Calculation!I3/Calculation!F22</f>
        <v>0.39653225311542539</v>
      </c>
      <c r="R3" s="13">
        <v>1.2238395249474983</v>
      </c>
      <c r="S3" s="13">
        <v>0.16592713791570085</v>
      </c>
      <c r="T3" s="13">
        <f>R3*Calculation!I3/Calculation!F22</f>
        <v>1.2238395249474983</v>
      </c>
      <c r="U3" s="13">
        <f>S3*Calculation!I3/Calculation!F22</f>
        <v>0.16592713791570085</v>
      </c>
    </row>
    <row r="4" spans="1:21">
      <c r="A4" s="122"/>
      <c r="B4" s="14" t="s">
        <v>38</v>
      </c>
      <c r="D4" s="16">
        <v>0</v>
      </c>
      <c r="E4" s="65">
        <v>0.16666666666666666</v>
      </c>
      <c r="F4" s="71">
        <v>49.219212551805796</v>
      </c>
      <c r="G4" s="72">
        <v>0.45026228783844963</v>
      </c>
      <c r="H4" s="13">
        <f>F4*Calculation!I4/Calculation!K3</f>
        <v>49.380587019188766</v>
      </c>
      <c r="I4" s="13">
        <f>G4*Calculation!I4/Calculation!K3</f>
        <v>0.45173855763464127</v>
      </c>
      <c r="J4" s="13">
        <v>2.3756660746003555</v>
      </c>
      <c r="K4" s="13">
        <v>0</v>
      </c>
      <c r="L4" s="13">
        <f>J4*Calculation!I4/Calculation!K3</f>
        <v>2.3834551436974061</v>
      </c>
      <c r="M4" s="13">
        <f>K4*Calculation!I4/Calculation!K3</f>
        <v>0</v>
      </c>
      <c r="N4" s="13">
        <v>47.821260061060229</v>
      </c>
      <c r="O4" s="13">
        <v>0.39030576366909298</v>
      </c>
      <c r="P4" s="13">
        <f>N4*Calculation!$I4/Calculation!$K3</f>
        <v>47.978051077653873</v>
      </c>
      <c r="Q4" s="13">
        <f>O4*Calculation!I4/Calculation!K3</f>
        <v>0.39158545469751621</v>
      </c>
      <c r="R4" s="13">
        <v>1.2165978709537257</v>
      </c>
      <c r="S4" s="13">
        <v>0.13567234408860307</v>
      </c>
      <c r="T4" s="13">
        <f>R4*Calculation!I4/Calculation!K3</f>
        <v>1.2205867164322626</v>
      </c>
      <c r="U4" s="13">
        <f>S4*Calculation!I4/Calculation!K3</f>
        <v>0.13611717144627061</v>
      </c>
    </row>
    <row r="5" spans="1:21">
      <c r="A5" s="15" t="s">
        <v>39</v>
      </c>
      <c r="B5" s="15">
        <v>180.16</v>
      </c>
      <c r="D5" s="16">
        <v>1</v>
      </c>
      <c r="E5" s="65">
        <v>2</v>
      </c>
      <c r="F5" s="71">
        <v>48.107238010657206</v>
      </c>
      <c r="G5" s="72">
        <v>0.45260546474014518</v>
      </c>
      <c r="H5" s="13">
        <f>F5*Calculation!I5/Calculation!K4</f>
        <v>48.2976886711673</v>
      </c>
      <c r="I5" s="13">
        <f>G5*Calculation!I5/Calculation!K4</f>
        <v>0.45439727431547655</v>
      </c>
      <c r="J5" s="13">
        <v>2.3719656601539376</v>
      </c>
      <c r="K5" s="13">
        <v>1.6957429303418606E-2</v>
      </c>
      <c r="L5" s="13">
        <f>J5*Calculation!I5/Calculation!K4</f>
        <v>2.3813559815559588</v>
      </c>
      <c r="M5" s="13">
        <f>K5*Calculation!I5/Calculation!K4</f>
        <v>1.7024561688168568E-2</v>
      </c>
      <c r="N5" s="13">
        <v>46.799888981404401</v>
      </c>
      <c r="O5" s="13">
        <v>0.33526880645110213</v>
      </c>
      <c r="P5" s="13">
        <f>N5*Calculation!$I5/Calculation!$K4</f>
        <v>46.985164007302451</v>
      </c>
      <c r="Q5" s="13">
        <f>O5*Calculation!I5/Calculation!K4</f>
        <v>0.33659609457400164</v>
      </c>
      <c r="R5" s="13">
        <v>1.3179810268665362</v>
      </c>
      <c r="S5" s="13">
        <v>3.3185427583140296E-2</v>
      </c>
      <c r="T5" s="13">
        <f>R5*Calculation!I5/Calculation!K4</f>
        <v>1.3231987522543647</v>
      </c>
      <c r="U5" s="13">
        <f>S5*Calculation!I5/Calculation!K4</f>
        <v>3.3316804624597532E-2</v>
      </c>
    </row>
    <row r="6" spans="1:21">
      <c r="A6" s="15" t="s">
        <v>39</v>
      </c>
      <c r="B6" s="15">
        <v>180.16</v>
      </c>
      <c r="D6" s="16">
        <v>2</v>
      </c>
      <c r="E6" s="65">
        <v>3.3333333333333335</v>
      </c>
      <c r="F6" s="71">
        <v>45.637211367673189</v>
      </c>
      <c r="G6" s="72">
        <v>0.29978496039943947</v>
      </c>
      <c r="H6" s="13">
        <f>F6*Calculation!I6/Calculation!K5</f>
        <v>45.978085885209993</v>
      </c>
      <c r="I6" s="13">
        <f>G6*Calculation!I6/Calculation!K5</f>
        <v>0.30202412117807842</v>
      </c>
      <c r="J6" s="13">
        <v>2.3645648312611014</v>
      </c>
      <c r="K6" s="13">
        <v>1.1101243339254007E-2</v>
      </c>
      <c r="L6" s="13">
        <f>J6*Calculation!I6/Calculation!K5</f>
        <v>2.3822262937362506</v>
      </c>
      <c r="M6" s="13">
        <f>K6*Calculation!I6/Calculation!K5</f>
        <v>1.1184161003456587E-2</v>
      </c>
      <c r="N6" s="13">
        <v>45.489869553150157</v>
      </c>
      <c r="O6" s="13">
        <v>0.42336530592657851</v>
      </c>
      <c r="P6" s="13">
        <f>N6*Calculation!$I6/Calculation!$K5</f>
        <v>45.829643541788869</v>
      </c>
      <c r="Q6" s="13">
        <f>O6*Calculation!I6/Calculation!K5</f>
        <v>0.42652751588802607</v>
      </c>
      <c r="R6" s="13">
        <v>1.354189296835397</v>
      </c>
      <c r="S6" s="13">
        <v>8.2249378605261395E-2</v>
      </c>
      <c r="T6" s="13">
        <f>R6*Calculation!I6/Calculation!K5</f>
        <v>1.3643040389368228</v>
      </c>
      <c r="U6" s="13">
        <f>S6*Calculation!I6/Calculation!K5</f>
        <v>8.2863717571415446E-2</v>
      </c>
    </row>
    <row r="7" spans="1:21">
      <c r="A7" s="32" t="s">
        <v>103</v>
      </c>
      <c r="B7" s="32">
        <v>46.03</v>
      </c>
      <c r="D7" s="16">
        <v>3</v>
      </c>
      <c r="E7" s="65">
        <v>4.666666666666667</v>
      </c>
      <c r="F7" s="71">
        <v>39.409413854351691</v>
      </c>
      <c r="G7" s="72">
        <v>1.0289331580773526</v>
      </c>
      <c r="H7" s="13">
        <f>F7*Calculation!I7/Calculation!K6</f>
        <v>39.932941960898674</v>
      </c>
      <c r="I7" s="13">
        <f>G7*Calculation!I7/Calculation!K6</f>
        <v>1.0426018573887017</v>
      </c>
      <c r="J7" s="13">
        <v>2.3201598579040854</v>
      </c>
      <c r="K7" s="13">
        <v>0</v>
      </c>
      <c r="L7" s="13">
        <f>J7*Calculation!I7/Calculation!K6</f>
        <v>2.3509816534726262</v>
      </c>
      <c r="M7" s="13">
        <f>K7*Calculation!I7/Calculation!K6</f>
        <v>0</v>
      </c>
      <c r="N7" s="13">
        <v>42.037191229530954</v>
      </c>
      <c r="O7" s="13">
        <v>0.74888194187063528</v>
      </c>
      <c r="P7" s="13">
        <f>N7*Calculation!$I7/Calculation!$K6</f>
        <v>42.595627627755121</v>
      </c>
      <c r="Q7" s="13">
        <f>O7*Calculation!I7/Calculation!K6</f>
        <v>0.75883034522684167</v>
      </c>
      <c r="R7" s="13">
        <v>2.3100876240133243</v>
      </c>
      <c r="S7" s="13">
        <v>0.18089645878480404</v>
      </c>
      <c r="T7" s="13">
        <f>R7*Calculation!I7/Calculation!K6</f>
        <v>2.3407756165885747</v>
      </c>
      <c r="U7" s="13">
        <f>S7*Calculation!I7/Calculation!K6</f>
        <v>0.18329954909461349</v>
      </c>
    </row>
    <row r="8" spans="1:21">
      <c r="A8" s="15" t="s">
        <v>42</v>
      </c>
      <c r="B8" s="15">
        <v>60.05</v>
      </c>
      <c r="D8" s="16">
        <v>4</v>
      </c>
      <c r="E8" s="65">
        <v>6</v>
      </c>
      <c r="F8" s="71">
        <v>32.417480757844885</v>
      </c>
      <c r="G8" s="72">
        <v>0.31154435109018519</v>
      </c>
      <c r="H8" s="13">
        <f>F8*Calculation!I8/Calculation!K7</f>
        <v>33.019464594737229</v>
      </c>
      <c r="I8" s="13">
        <f>G8*Calculation!I8/Calculation!K7</f>
        <v>0.31732964530327795</v>
      </c>
      <c r="J8" s="13">
        <v>2.3275606867969212</v>
      </c>
      <c r="K8" s="13">
        <v>6.4093058302578405E-3</v>
      </c>
      <c r="L8" s="13">
        <f>J8*Calculation!I8/Calculation!K7</f>
        <v>2.3707828582945853</v>
      </c>
      <c r="M8" s="13">
        <f>K8*Calculation!I8/Calculation!K7</f>
        <v>6.5283249034651684E-3</v>
      </c>
      <c r="N8" s="13">
        <v>37.851790174854287</v>
      </c>
      <c r="O8" s="13">
        <v>0.42684448352959942</v>
      </c>
      <c r="P8" s="13">
        <f>N8*Calculation!$I8/Calculation!$K7</f>
        <v>38.554687665652942</v>
      </c>
      <c r="Q8" s="13">
        <f>O8*Calculation!I8/Calculation!K7</f>
        <v>0.43477086997125092</v>
      </c>
      <c r="R8" s="13">
        <v>3.1790861032659854</v>
      </c>
      <c r="S8" s="13">
        <v>3.3185427583140296E-2</v>
      </c>
      <c r="T8" s="13">
        <f>R8*Calculation!I8/Calculation!K7</f>
        <v>3.2381208710985252</v>
      </c>
      <c r="U8" s="13">
        <f>S8*Calculation!I8/Calculation!K7</f>
        <v>3.3801671984567988E-2</v>
      </c>
    </row>
    <row r="9" spans="1:21">
      <c r="A9" s="32" t="s">
        <v>66</v>
      </c>
      <c r="B9" s="32">
        <v>74.08</v>
      </c>
      <c r="D9" s="16">
        <v>5</v>
      </c>
      <c r="E9" s="65">
        <v>7.333333333333333</v>
      </c>
      <c r="F9" s="71">
        <v>26.156379514505627</v>
      </c>
      <c r="G9" s="72">
        <v>0.1861183398637456</v>
      </c>
      <c r="H9" s="13">
        <f>F9*Calculation!I9/Calculation!K8</f>
        <v>26.785004193992926</v>
      </c>
      <c r="I9" s="13">
        <f>G9*Calculation!I9/Calculation!K8</f>
        <v>0.19059138177226628</v>
      </c>
      <c r="J9" s="13">
        <v>2.3682652457075193</v>
      </c>
      <c r="K9" s="13">
        <v>1.6957429303418606E-2</v>
      </c>
      <c r="L9" s="13">
        <f>J9*Calculation!I9/Calculation!K8</f>
        <v>2.4251825258761368</v>
      </c>
      <c r="M9" s="13">
        <f>K9*Calculation!I9/Calculation!K8</f>
        <v>1.7364972654549383E-2</v>
      </c>
      <c r="N9" s="13">
        <v>34.310296974743274</v>
      </c>
      <c r="O9" s="13">
        <v>0.31873166183637047</v>
      </c>
      <c r="P9" s="13">
        <f>N9*Calculation!$I9/Calculation!$K8</f>
        <v>35.134887374454401</v>
      </c>
      <c r="Q9" s="13">
        <f>O9*Calculation!I9/Calculation!K8</f>
        <v>0.3263918423538319</v>
      </c>
      <c r="R9" s="13">
        <v>4.4681005141574328</v>
      </c>
      <c r="S9" s="13">
        <v>9.7963279444338122E-2</v>
      </c>
      <c r="T9" s="13">
        <f>R9*Calculation!I9/Calculation!K8</f>
        <v>4.5754838105372544</v>
      </c>
      <c r="U9" s="13">
        <f>S9*Calculation!I9/Calculation!K8</f>
        <v>0.10031766243943384</v>
      </c>
    </row>
    <row r="10" spans="1:21">
      <c r="A10" s="32" t="s">
        <v>65</v>
      </c>
      <c r="B10" s="32">
        <v>88.11</v>
      </c>
      <c r="D10" s="16">
        <v>6</v>
      </c>
      <c r="E10" s="65">
        <v>8.6666666666666661</v>
      </c>
      <c r="F10" s="71">
        <v>19.277309058614566</v>
      </c>
      <c r="G10" s="72">
        <v>0.11142795237502638</v>
      </c>
      <c r="H10" s="13">
        <f>F10*Calculation!I10/Calculation!K9</f>
        <v>19.834535169204809</v>
      </c>
      <c r="I10" s="13">
        <f>G10*Calculation!I10/Calculation!K9</f>
        <v>0.11464886688774069</v>
      </c>
      <c r="J10" s="13">
        <v>2.4089698046181174</v>
      </c>
      <c r="K10" s="13">
        <v>2.2202486678508014E-2</v>
      </c>
      <c r="L10" s="13">
        <f>J10*Calculation!I10/Calculation!K9</f>
        <v>2.4786030127943817</v>
      </c>
      <c r="M10" s="13">
        <f>K10*Calculation!I10/Calculation!K9</f>
        <v>2.2844267399026577E-2</v>
      </c>
      <c r="N10" s="13">
        <v>30.230363585900641</v>
      </c>
      <c r="O10" s="13">
        <v>0.13460289373280213</v>
      </c>
      <c r="P10" s="13">
        <f>N10*Calculation!$I10/Calculation!$K9</f>
        <v>31.104196540047976</v>
      </c>
      <c r="Q10" s="13">
        <f>O10*Calculation!I10/Calculation!K9</f>
        <v>0.13849369855005453</v>
      </c>
      <c r="R10" s="13">
        <v>5.9236729669056416</v>
      </c>
      <c r="S10" s="13">
        <v>7.6295559076346928E-2</v>
      </c>
      <c r="T10" s="13">
        <f>R10*Calculation!I10/Calculation!K9</f>
        <v>6.0949014945866011</v>
      </c>
      <c r="U10" s="13">
        <f>S10*Calculation!I10/Calculation!K9</f>
        <v>7.8500943526539288E-2</v>
      </c>
    </row>
    <row r="11" spans="1:21">
      <c r="A11" s="15" t="s">
        <v>41</v>
      </c>
      <c r="B11" s="15">
        <v>90.08</v>
      </c>
      <c r="D11" s="16">
        <v>7</v>
      </c>
      <c r="E11" s="65">
        <v>10</v>
      </c>
      <c r="F11" s="71">
        <v>11.191903493191237</v>
      </c>
      <c r="G11" s="72">
        <v>8.8520379765434948E-2</v>
      </c>
      <c r="H11" s="13">
        <f>F11*Calculation!I11/Calculation!K10</f>
        <v>11.591549429682836</v>
      </c>
      <c r="I11" s="13">
        <f>G11*Calculation!I11/Calculation!K10</f>
        <v>9.1681308564675518E-2</v>
      </c>
      <c r="J11" s="13">
        <v>2.5865896980461813</v>
      </c>
      <c r="K11" s="13">
        <v>1.1101243339254007E-2</v>
      </c>
      <c r="L11" s="13">
        <f>J11*Calculation!I11/Calculation!K10</f>
        <v>2.6789529017517948</v>
      </c>
      <c r="M11" s="13">
        <f>K11*Calculation!I11/Calculation!K10</f>
        <v>1.1497651938848916E-2</v>
      </c>
      <c r="N11" s="13">
        <v>27.527060782681097</v>
      </c>
      <c r="O11" s="13">
        <v>0.56398648532476503</v>
      </c>
      <c r="P11" s="13">
        <f>N11*Calculation!$I11/Calculation!$K10</f>
        <v>28.51001046519475</v>
      </c>
      <c r="Q11" s="13">
        <f>O11*Calculation!I11/Calculation!K10</f>
        <v>0.58412558920761604</v>
      </c>
      <c r="R11" s="13">
        <v>7.7920196972988629</v>
      </c>
      <c r="S11" s="13">
        <v>0.22612057348100525</v>
      </c>
      <c r="T11" s="13">
        <f>R11*Calculation!I11/Calculation!K10</f>
        <v>8.0702609286481568</v>
      </c>
      <c r="U11" s="13">
        <f>S11*Calculation!I11/Calculation!K10</f>
        <v>0.23419499696078336</v>
      </c>
    </row>
    <row r="12" spans="1:21">
      <c r="A12" s="15" t="s">
        <v>43</v>
      </c>
      <c r="B12" s="15">
        <v>46.07</v>
      </c>
      <c r="D12" s="16">
        <v>8</v>
      </c>
      <c r="E12" s="65">
        <v>11.333333333333334</v>
      </c>
      <c r="F12" s="71">
        <v>2.0296773238602723</v>
      </c>
      <c r="G12" s="72">
        <v>2.5029139391778969E-2</v>
      </c>
      <c r="H12" s="13">
        <f>F12*Calculation!I12/Calculation!K11</f>
        <v>2.1165646826446394</v>
      </c>
      <c r="I12" s="13">
        <f>G12*Calculation!I12/Calculation!K11</f>
        <v>2.6100598282722935E-2</v>
      </c>
      <c r="J12" s="13">
        <v>3.7004144464179989</v>
      </c>
      <c r="K12" s="13">
        <v>2.7937516412339981E-2</v>
      </c>
      <c r="L12" s="13">
        <f>J12*Calculation!I12/Calculation!K11</f>
        <v>3.8588234870458336</v>
      </c>
      <c r="M12" s="13">
        <f>K12*Calculation!I12/Calculation!K11</f>
        <v>2.9133478442130208E-2</v>
      </c>
      <c r="N12" s="13">
        <v>25.029142381348876</v>
      </c>
      <c r="O12" s="13">
        <v>0.38409867092991673</v>
      </c>
      <c r="P12" s="13">
        <f>N12*Calculation!$I12/Calculation!$K11</f>
        <v>26.100601400271721</v>
      </c>
      <c r="Q12" s="13">
        <f>O12*Calculation!I12/Calculation!K11</f>
        <v>0.40054134318986645</v>
      </c>
      <c r="R12" s="13">
        <v>8.7624013324643339</v>
      </c>
      <c r="S12" s="13">
        <v>0.13274171033256055</v>
      </c>
      <c r="T12" s="13">
        <f>R12*Calculation!I12/Calculation!K11</f>
        <v>9.1375062318669826</v>
      </c>
      <c r="U12" s="13">
        <f>S12*Calculation!I12/Calculation!K11</f>
        <v>0.13842417841540827</v>
      </c>
    </row>
    <row r="13" spans="1:21">
      <c r="D13" s="16">
        <v>9</v>
      </c>
      <c r="E13" s="65">
        <v>12.666666666666666</v>
      </c>
      <c r="F13" s="71">
        <v>0</v>
      </c>
      <c r="G13" s="72">
        <v>0</v>
      </c>
      <c r="H13" s="13">
        <f>F13*Calculation!I13/Calculation!K12</f>
        <v>0</v>
      </c>
      <c r="I13" s="13">
        <f>G13*Calculation!I13/Calculation!K12</f>
        <v>0</v>
      </c>
      <c r="J13" s="13">
        <v>4.2591770278271159</v>
      </c>
      <c r="K13" s="13">
        <v>3.5685504592188298E-2</v>
      </c>
      <c r="L13" s="13">
        <f>J13*Calculation!I13/Calculation!K12</f>
        <v>4.4572978543314052</v>
      </c>
      <c r="M13" s="13">
        <f>K13*Calculation!I13/Calculation!K12</f>
        <v>3.7345459465591126E-2</v>
      </c>
      <c r="N13" s="13">
        <v>25.045795170691097</v>
      </c>
      <c r="O13" s="13">
        <v>0.31198990832964374</v>
      </c>
      <c r="P13" s="13">
        <f>N13*Calculation!$I13/Calculation!$K12</f>
        <v>26.210830952781134</v>
      </c>
      <c r="Q13" s="13">
        <f>O13*Calculation!I13/Calculation!K12</f>
        <v>0.32650250033871575</v>
      </c>
      <c r="R13" s="13">
        <v>9.2186255340719807</v>
      </c>
      <c r="S13" s="13">
        <v>0.14465192523309578</v>
      </c>
      <c r="T13" s="13">
        <f>R13*Calculation!I13/Calculation!K12</f>
        <v>9.6474411710157355</v>
      </c>
      <c r="U13" s="13">
        <f>S13*Calculation!I13/Calculation!K12</f>
        <v>0.15138058637945775</v>
      </c>
    </row>
    <row r="14" spans="1:21">
      <c r="D14" s="16">
        <v>10</v>
      </c>
      <c r="E14" s="65">
        <v>14</v>
      </c>
      <c r="F14" s="71">
        <v>0</v>
      </c>
      <c r="G14" s="72">
        <v>0</v>
      </c>
      <c r="H14" s="13">
        <f>F14*Calculation!I14/Calculation!K13</f>
        <v>0</v>
      </c>
      <c r="I14" s="13">
        <f>G14*Calculation!I14/Calculation!K13</f>
        <v>0</v>
      </c>
      <c r="J14" s="13">
        <v>4.4034931912374189</v>
      </c>
      <c r="K14" s="13">
        <v>4.6218161622249884E-2</v>
      </c>
      <c r="L14" s="13">
        <f>J14*Calculation!I14/Calculation!K13</f>
        <v>4.6168531050316917</v>
      </c>
      <c r="M14" s="13">
        <f>K14*Calculation!I14/Calculation!K13</f>
        <v>4.8457543529113231E-2</v>
      </c>
      <c r="N14" s="13">
        <v>24.840410768803782</v>
      </c>
      <c r="O14" s="13">
        <v>0.24265881758972321</v>
      </c>
      <c r="P14" s="13">
        <f>N14*Calculation!$I14/Calculation!$K13</f>
        <v>26.043988853310136</v>
      </c>
      <c r="Q14" s="13">
        <f>O14*Calculation!I14/Calculation!K13</f>
        <v>0.25441622520997087</v>
      </c>
      <c r="R14" s="13">
        <v>9.0665508002027657</v>
      </c>
      <c r="S14" s="13">
        <v>0.15259111815269388</v>
      </c>
      <c r="T14" s="13">
        <f>R14*Calculation!I14/Calculation!K13</f>
        <v>9.5058471526967416</v>
      </c>
      <c r="U14" s="13">
        <f>S14*Calculation!I14/Calculation!K13</f>
        <v>0.15998452752133235</v>
      </c>
    </row>
    <row r="15" spans="1:21">
      <c r="D15" s="16">
        <v>11</v>
      </c>
      <c r="E15" s="65">
        <v>15.333333333333334</v>
      </c>
      <c r="F15" s="71">
        <v>0</v>
      </c>
      <c r="G15" s="72">
        <v>0</v>
      </c>
      <c r="H15" s="13">
        <f>F15*Calculation!I15/Calculation!K14</f>
        <v>0</v>
      </c>
      <c r="I15" s="13">
        <f>G15*Calculation!I15/Calculation!K14</f>
        <v>0</v>
      </c>
      <c r="J15" s="13">
        <v>4.5885139135583186</v>
      </c>
      <c r="K15" s="13">
        <v>4.4865140811804878E-2</v>
      </c>
      <c r="L15" s="13">
        <f>J15*Calculation!I15/Calculation!K14</f>
        <v>4.815513785715491</v>
      </c>
      <c r="M15" s="13">
        <f>K15*Calculation!I15/Calculation!K14</f>
        <v>4.7084678862784751E-2</v>
      </c>
      <c r="N15" s="13">
        <v>24.862614487926727</v>
      </c>
      <c r="O15" s="13">
        <v>0.31640299750208112</v>
      </c>
      <c r="P15" s="13">
        <f>N15*Calculation!$I15/Calculation!$K14</f>
        <v>26.092601018767549</v>
      </c>
      <c r="Q15" s="13">
        <f>O15*Calculation!I15/Calculation!K14</f>
        <v>0.33205587364807948</v>
      </c>
      <c r="R15" s="13">
        <v>8.8710261423709174</v>
      </c>
      <c r="S15" s="13">
        <v>0.18476864106268442</v>
      </c>
      <c r="T15" s="13">
        <f>R15*Calculation!I15/Calculation!K14</f>
        <v>9.3098875772836269</v>
      </c>
      <c r="U15" s="13">
        <f>S15*Calculation!I15/Calculation!K14</f>
        <v>0.19390939091983331</v>
      </c>
    </row>
    <row r="16" spans="1:21">
      <c r="D16" s="16">
        <v>12</v>
      </c>
      <c r="E16" s="65">
        <v>16.666666666666668</v>
      </c>
      <c r="F16" s="71">
        <v>0</v>
      </c>
      <c r="G16" s="72">
        <v>0</v>
      </c>
      <c r="H16" s="13">
        <f>F16*Calculation!I16/Calculation!K15</f>
        <v>0</v>
      </c>
      <c r="I16" s="13">
        <f>G16*Calculation!I16/Calculation!K15</f>
        <v>0</v>
      </c>
      <c r="J16" s="13">
        <v>4.7957371225577266</v>
      </c>
      <c r="K16" s="13">
        <v>1.1101243339254007E-2</v>
      </c>
      <c r="L16" s="13">
        <f>J16*Calculation!I16/Calculation!K15</f>
        <v>5.0381506414362134</v>
      </c>
      <c r="M16" s="13">
        <f>K16*Calculation!I16/Calculation!K15</f>
        <v>1.1662385744065321E-2</v>
      </c>
      <c r="N16" s="13">
        <v>24.740494032750487</v>
      </c>
      <c r="O16" s="13">
        <v>0.34141602697045387</v>
      </c>
      <c r="P16" s="13">
        <f>N16*Calculation!$I16/Calculation!$K15</f>
        <v>25.991069296574086</v>
      </c>
      <c r="Q16" s="13">
        <f>O16*Calculation!I16/Calculation!K15</f>
        <v>0.35867382454866625</v>
      </c>
      <c r="R16" s="13">
        <v>8.8565428343833741</v>
      </c>
      <c r="S16" s="13">
        <v>4.5224114696200565E-2</v>
      </c>
      <c r="T16" s="13">
        <f>R16*Calculation!I16/Calculation!K15</f>
        <v>9.3042207739189511</v>
      </c>
      <c r="U16" s="13">
        <f>S16*Calculation!I16/Calculation!K15</f>
        <v>4.7510090032526625E-2</v>
      </c>
    </row>
    <row r="17" spans="4:21">
      <c r="D17" s="16">
        <v>13</v>
      </c>
      <c r="E17" s="65">
        <v>18</v>
      </c>
      <c r="F17" s="71">
        <v>0</v>
      </c>
      <c r="G17" s="72">
        <v>0</v>
      </c>
      <c r="H17" s="13">
        <f>F17*Calculation!I17/Calculation!K16</f>
        <v>0</v>
      </c>
      <c r="I17" s="13">
        <f>G17*Calculation!I17/Calculation!K16</f>
        <v>0</v>
      </c>
      <c r="J17" s="13">
        <v>4.9067495559502667</v>
      </c>
      <c r="K17" s="13">
        <v>2.2202486678508014E-2</v>
      </c>
      <c r="L17" s="13">
        <f>J17*Calculation!I17/Calculation!K16</f>
        <v>5.1547744988768667</v>
      </c>
      <c r="M17" s="13">
        <f>K17*Calculation!I17/Calculation!K16</f>
        <v>2.3324771488130638E-2</v>
      </c>
      <c r="N17" s="13">
        <v>24.440743824590626</v>
      </c>
      <c r="O17" s="13">
        <v>0.23570217869067017</v>
      </c>
      <c r="P17" s="13">
        <f>N17*Calculation!$I17/Calculation!$K16</f>
        <v>25.676167402471556</v>
      </c>
      <c r="Q17" s="13">
        <f>O17*Calculation!I17/Calculation!K16</f>
        <v>0.24761638355293711</v>
      </c>
      <c r="R17" s="13">
        <v>8.6972264465203857</v>
      </c>
      <c r="S17" s="13">
        <v>9.0448229392402116E-2</v>
      </c>
      <c r="T17" s="13">
        <f>R17*Calculation!I17/Calculation!K16</f>
        <v>9.136851307830467</v>
      </c>
      <c r="U17" s="13">
        <f>S17*Calculation!I17/Calculation!K16</f>
        <v>9.5020180065054291E-2</v>
      </c>
    </row>
    <row r="18" spans="4:21">
      <c r="D18" s="16">
        <v>14</v>
      </c>
      <c r="E18" s="65">
        <v>24.333333333333332</v>
      </c>
      <c r="F18" s="71">
        <v>0</v>
      </c>
      <c r="G18" s="72">
        <v>0</v>
      </c>
      <c r="H18" s="13">
        <f>F18*Calculation!I18/Calculation!K17</f>
        <v>0</v>
      </c>
      <c r="I18" s="13">
        <f>G18*Calculation!I18/Calculation!K17</f>
        <v>0</v>
      </c>
      <c r="J18" s="13">
        <v>4.9363528715216107</v>
      </c>
      <c r="K18" s="13">
        <v>2.5637223321031362E-2</v>
      </c>
      <c r="L18" s="13">
        <f>J18*Calculation!I18/Calculation!K17</f>
        <v>5.1917806568301312</v>
      </c>
      <c r="M18" s="13">
        <f>K18*Calculation!I18/Calculation!K17</f>
        <v>2.6963801737280697E-2</v>
      </c>
      <c r="N18" s="13">
        <v>24.307521509852908</v>
      </c>
      <c r="O18" s="13">
        <v>0.2082153686762255</v>
      </c>
      <c r="P18" s="13">
        <f>N18*Calculation!$I18/Calculation!$K17</f>
        <v>25.565295527877492</v>
      </c>
      <c r="Q18" s="13">
        <f>O18*Calculation!I18/Calculation!K17</f>
        <v>0.21898931289625681</v>
      </c>
      <c r="R18" s="13">
        <v>8.5886016366138023</v>
      </c>
      <c r="S18" s="13">
        <v>6.6370855166280607E-2</v>
      </c>
      <c r="T18" s="13">
        <f>R18*Calculation!I18/Calculation!K17</f>
        <v>9.0330122271924242</v>
      </c>
      <c r="U18" s="13">
        <f>S18*Calculation!I18/Calculation!K17</f>
        <v>6.9805164054925734E-2</v>
      </c>
    </row>
    <row r="19" spans="4:21">
      <c r="D19" s="16">
        <v>15</v>
      </c>
      <c r="E19" s="65">
        <v>30.166666666666668</v>
      </c>
      <c r="F19" s="71">
        <v>0</v>
      </c>
      <c r="G19" s="72">
        <v>0</v>
      </c>
      <c r="H19" s="13">
        <f>F19*Calculation!I19/Calculation!K18</f>
        <v>0</v>
      </c>
      <c r="I19" s="13">
        <f>G19*Calculation!I19/Calculation!K18</f>
        <v>0</v>
      </c>
      <c r="J19" s="13">
        <v>4.9548549437537002</v>
      </c>
      <c r="K19" s="13">
        <v>3.5685504592188298E-2</v>
      </c>
      <c r="L19" s="13">
        <f>J19*Calculation!I19/Calculation!K18</f>
        <v>5.2112401045693728</v>
      </c>
      <c r="M19" s="13">
        <f>K19*Calculation!I19/Calculation!K18</f>
        <v>3.7532023599811427E-2</v>
      </c>
      <c r="N19" s="13">
        <v>24.002220371912294</v>
      </c>
      <c r="O19" s="13">
        <v>0.23687580675383677</v>
      </c>
      <c r="P19" s="13">
        <f>N19*Calculation!$I19/Calculation!$K18</f>
        <v>25.244196817205353</v>
      </c>
      <c r="Q19" s="13">
        <f>O19*Calculation!I19/Calculation!K18</f>
        <v>0.24913276331408588</v>
      </c>
      <c r="R19" s="13">
        <v>8.6030849446013473</v>
      </c>
      <c r="S19" s="13">
        <v>0.20724292883270617</v>
      </c>
      <c r="T19" s="13">
        <f>R19*Calculation!I19/Calculation!K18</f>
        <v>9.0482449628200676</v>
      </c>
      <c r="U19" s="13">
        <f>S19*Calculation!I19/Calculation!K18</f>
        <v>0.21796655490044151</v>
      </c>
    </row>
    <row r="20" spans="4:21">
      <c r="D20" s="16">
        <v>16</v>
      </c>
      <c r="E20" s="65">
        <v>48</v>
      </c>
      <c r="F20" s="71">
        <v>0</v>
      </c>
      <c r="G20" s="72">
        <v>0</v>
      </c>
      <c r="H20" s="13">
        <f>F20*Calculation!I20/Calculation!K19</f>
        <v>0</v>
      </c>
      <c r="I20" s="13">
        <f>G20*Calculation!I20/Calculation!K19</f>
        <v>0</v>
      </c>
      <c r="J20" s="13">
        <v>4.9622557726465368</v>
      </c>
      <c r="K20" s="13">
        <v>3.3303730017762018E-2</v>
      </c>
      <c r="L20" s="13">
        <f>J20*Calculation!I20/Calculation!K19</f>
        <v>5.2190238836650709</v>
      </c>
      <c r="M20" s="13">
        <f>K20*Calculation!I20/Calculation!K19</f>
        <v>3.5027005930638087E-2</v>
      </c>
      <c r="N20" s="13">
        <v>23.397169025811824</v>
      </c>
      <c r="O20" s="13">
        <v>0.18318068276436322</v>
      </c>
      <c r="P20" s="13">
        <f>N20*Calculation!$I20/Calculation!$K19</f>
        <v>24.607837554236948</v>
      </c>
      <c r="Q20" s="13">
        <f>O20*Calculation!I20/Calculation!K19</f>
        <v>0.19265922640327879</v>
      </c>
      <c r="R20" s="13">
        <v>8.9144760663335489</v>
      </c>
      <c r="S20" s="13">
        <v>1.2542912648047497E-2</v>
      </c>
      <c r="T20" s="13">
        <f>R20*Calculation!I20/Calculation!K19</f>
        <v>9.3757487788143941</v>
      </c>
      <c r="U20" s="13">
        <f>S20*Calculation!I20/Calculation!K19</f>
        <v>1.3191936022671328E-2</v>
      </c>
    </row>
    <row r="22" spans="4:21">
      <c r="D22" s="150" t="s">
        <v>4</v>
      </c>
      <c r="E22" s="150" t="s">
        <v>59</v>
      </c>
      <c r="F22" s="122" t="s">
        <v>43</v>
      </c>
      <c r="G22" s="122"/>
      <c r="H22" s="122"/>
      <c r="I22" s="122"/>
      <c r="J22" s="122" t="s">
        <v>65</v>
      </c>
      <c r="K22" s="122"/>
      <c r="L22" s="122"/>
      <c r="M22" s="122"/>
      <c r="N22" s="148" t="s">
        <v>66</v>
      </c>
      <c r="O22" s="120"/>
      <c r="P22" s="120"/>
      <c r="Q22" s="149"/>
    </row>
    <row r="23" spans="4:21">
      <c r="D23" s="150"/>
      <c r="E23" s="150"/>
      <c r="F23" s="20" t="s">
        <v>47</v>
      </c>
      <c r="G23" s="20" t="s">
        <v>23</v>
      </c>
      <c r="H23" s="20" t="s">
        <v>47</v>
      </c>
      <c r="I23" s="20" t="s">
        <v>23</v>
      </c>
      <c r="J23" s="20" t="s">
        <v>47</v>
      </c>
      <c r="K23" s="20" t="s">
        <v>23</v>
      </c>
      <c r="L23" s="20" t="s">
        <v>47</v>
      </c>
      <c r="M23" s="20" t="s">
        <v>23</v>
      </c>
      <c r="N23" s="20" t="s">
        <v>47</v>
      </c>
      <c r="O23" s="20" t="s">
        <v>23</v>
      </c>
      <c r="P23" s="20" t="s">
        <v>47</v>
      </c>
      <c r="Q23" s="20" t="s">
        <v>23</v>
      </c>
    </row>
    <row r="24" spans="4:21">
      <c r="D24" s="16">
        <v>0</v>
      </c>
      <c r="E24" s="65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6">
        <v>0</v>
      </c>
      <c r="O24" s="69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5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2.1109976166155944</v>
      </c>
      <c r="K25" s="13">
        <v>1.1349449551696754E-2</v>
      </c>
      <c r="L25" s="13">
        <f>J25*Calculation!I4/Calculation!K3</f>
        <v>2.1179189202766291</v>
      </c>
      <c r="M25" s="13">
        <f>K25*Calculation!I4/Calculation!K3</f>
        <v>1.1386660861702317E-2</v>
      </c>
      <c r="N25" s="16">
        <v>0</v>
      </c>
      <c r="O25" s="69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5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4.4489842242651241</v>
      </c>
      <c r="K26" s="13">
        <v>4.0921022306934431E-2</v>
      </c>
      <c r="L26" s="13">
        <f>J26*Calculation!I5/Calculation!K4</f>
        <v>4.4665972076569913</v>
      </c>
      <c r="M26" s="13">
        <f>K26*Calculation!I5/Calculation!K4</f>
        <v>4.108302362002951E-2</v>
      </c>
      <c r="N26" s="16">
        <v>0</v>
      </c>
      <c r="O26" s="69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5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7.9030000378314966</v>
      </c>
      <c r="K27" s="13">
        <v>6.2507894078834489E-2</v>
      </c>
      <c r="L27" s="13">
        <f>J27*Calculation!I6/Calculation!K5</f>
        <v>7.9620293089954526</v>
      </c>
      <c r="M27" s="13">
        <f>K27*Calculation!I6/Calculation!K5</f>
        <v>6.2974779490931707E-2</v>
      </c>
      <c r="N27" s="16">
        <v>0</v>
      </c>
      <c r="O27" s="69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5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15.177997200469113</v>
      </c>
      <c r="K28" s="13">
        <v>0.29970570605437713</v>
      </c>
      <c r="L28" s="13">
        <f>J28*Calculation!I7/Calculation!K6</f>
        <v>15.379626896482964</v>
      </c>
      <c r="M28" s="13">
        <f>K28*Calculation!I7/Calculation!K6</f>
        <v>0.30368709896196661</v>
      </c>
      <c r="N28" s="16">
        <v>0</v>
      </c>
      <c r="O28" s="69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5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21.89687133507358</v>
      </c>
      <c r="K29" s="13">
        <v>0.21899830724331482</v>
      </c>
      <c r="L29" s="13">
        <f>J29*Calculation!I8/Calculation!K7</f>
        <v>22.303490304656393</v>
      </c>
      <c r="M29" s="13">
        <f>K29*Calculation!I8/Calculation!K7</f>
        <v>0.22306504648971218</v>
      </c>
      <c r="N29" s="16">
        <v>0</v>
      </c>
      <c r="O29" s="69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5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29.372375439791174</v>
      </c>
      <c r="K30" s="13">
        <v>0.20803884666693198</v>
      </c>
      <c r="L30" s="13">
        <f>J30*Calculation!I9/Calculation!K8</f>
        <v>30.078291183458205</v>
      </c>
      <c r="M30" s="13">
        <f>K30*Calculation!I9/Calculation!K8</f>
        <v>0.21303871116401887</v>
      </c>
      <c r="N30" s="16">
        <v>0</v>
      </c>
      <c r="O30" s="69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5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36.567926455566905</v>
      </c>
      <c r="K31" s="13">
        <v>0.21263186919980967</v>
      </c>
      <c r="L31" s="13">
        <f>J31*Calculation!I10/Calculation!K9</f>
        <v>37.624951757658003</v>
      </c>
      <c r="M31" s="13">
        <f>K31*Calculation!I10/Calculation!K9</f>
        <v>0.21877816426109031</v>
      </c>
      <c r="N31" s="16">
        <v>0</v>
      </c>
      <c r="O31" s="69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5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47.315855181023721</v>
      </c>
      <c r="K32" s="13">
        <v>0.91804349763110649</v>
      </c>
      <c r="L32" s="13">
        <f>J32*Calculation!I11/Calculation!K10</f>
        <v>49.005432764160048</v>
      </c>
      <c r="M32" s="13">
        <f>K32*Calculation!I11/Calculation!K10</f>
        <v>0.95082544161177174</v>
      </c>
      <c r="N32" s="16">
        <v>0</v>
      </c>
      <c r="O32" s="69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5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55.143192221843911</v>
      </c>
      <c r="K33" s="13">
        <v>0.99528482159190523</v>
      </c>
      <c r="L33" s="13">
        <f>J33*Calculation!I12/Calculation!K11</f>
        <v>57.503787312881407</v>
      </c>
      <c r="M33" s="13">
        <f>K33*Calculation!I12/Calculation!K11</f>
        <v>1.037891431208954</v>
      </c>
      <c r="N33" s="16">
        <v>0</v>
      </c>
      <c r="O33" s="69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5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57.810312866492644</v>
      </c>
      <c r="K34" s="13">
        <v>0.58428541848451776</v>
      </c>
      <c r="L34" s="13">
        <f>J34*Calculation!I13/Calculation!K12</f>
        <v>60.499430245448892</v>
      </c>
      <c r="M34" s="13">
        <f>K34*Calculation!I13/Calculation!K12</f>
        <v>0.61146416904319412</v>
      </c>
      <c r="N34" s="16">
        <v>0</v>
      </c>
      <c r="O34" s="69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5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58.192411001399776</v>
      </c>
      <c r="K35" s="13">
        <v>0.53551284585897985</v>
      </c>
      <c r="L35" s="13">
        <f>J35*Calculation!I14/Calculation!K13</f>
        <v>61.011974301610209</v>
      </c>
      <c r="M35" s="13">
        <f>K35*Calculation!I14/Calculation!K13</f>
        <v>0.561459740668664</v>
      </c>
      <c r="N35" s="16">
        <v>0</v>
      </c>
      <c r="O35" s="69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5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58.604774335111415</v>
      </c>
      <c r="K36" s="13">
        <v>0.84858167864123235</v>
      </c>
      <c r="L36" s="13">
        <f>J36*Calculation!I15/Calculation!K14</f>
        <v>61.504030288669981</v>
      </c>
      <c r="M36" s="13">
        <f>K36*Calculation!I15/Calculation!K14</f>
        <v>0.89056214033217207</v>
      </c>
      <c r="N36" s="16">
        <v>0</v>
      </c>
      <c r="O36" s="69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5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58.75610032913405</v>
      </c>
      <c r="K37" s="13">
        <v>0.33725247890372934</v>
      </c>
      <c r="L37" s="13">
        <f>J37*Calculation!I16/Calculation!K15</f>
        <v>61.72608652153118</v>
      </c>
      <c r="M37" s="13">
        <f>K37*Calculation!I16/Calculation!K15</f>
        <v>0.35429981867074789</v>
      </c>
      <c r="N37" s="16">
        <v>0</v>
      </c>
      <c r="O37" s="69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5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58.714485680777813</v>
      </c>
      <c r="K38" s="13">
        <v>0.31785213651564431</v>
      </c>
      <c r="L38" s="13">
        <f>J38*Calculation!I17/Calculation!K16</f>
        <v>61.682368348088573</v>
      </c>
      <c r="M38" s="13">
        <f>K38*Calculation!I17/Calculation!K16</f>
        <v>0.33391883344391726</v>
      </c>
      <c r="N38" s="16">
        <v>0</v>
      </c>
      <c r="O38" s="69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5">
        <v>24.333333333333332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59.368970604925671</v>
      </c>
      <c r="K39" s="13">
        <v>0.51047295753147148</v>
      </c>
      <c r="L39" s="13">
        <f>J39*Calculation!I18/Calculation!K17</f>
        <v>62.440972358517563</v>
      </c>
      <c r="M39" s="13">
        <f>K39*Calculation!I18/Calculation!K17</f>
        <v>0.53688698837484627</v>
      </c>
      <c r="N39" s="16">
        <v>0</v>
      </c>
      <c r="O39" s="69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5">
        <v>30.166666666666668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60.413119963681751</v>
      </c>
      <c r="K40" s="13">
        <v>0.53185220809714995</v>
      </c>
      <c r="L40" s="13">
        <f>J40*Calculation!I19/Calculation!K18</f>
        <v>63.539150423320372</v>
      </c>
      <c r="M40" s="13">
        <f>K40*Calculation!I19/Calculation!K18</f>
        <v>0.55937249182918103</v>
      </c>
      <c r="N40" s="16">
        <v>0</v>
      </c>
      <c r="O40" s="69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5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61.903681004804596</v>
      </c>
      <c r="K41" s="13">
        <v>0.26624883002175864</v>
      </c>
      <c r="L41" s="13">
        <f>J41*Calculation!I20/Calculation!K19</f>
        <v>65.106839399886752</v>
      </c>
      <c r="M41" s="13">
        <f>K41*Calculation!I20/Calculation!K19</f>
        <v>0.28002567109521281</v>
      </c>
      <c r="N41" s="16">
        <v>0</v>
      </c>
      <c r="O41" s="69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133</v>
      </c>
      <c r="B2" s="17">
        <v>180.16</v>
      </c>
    </row>
    <row r="4" spans="1:8">
      <c r="A4" s="151" t="s">
        <v>134</v>
      </c>
      <c r="B4" s="152"/>
      <c r="C4" s="152"/>
      <c r="D4" s="152"/>
      <c r="E4" s="152"/>
      <c r="F4" s="152"/>
      <c r="G4" s="152"/>
      <c r="H4" s="153"/>
    </row>
    <row r="5" spans="1:8">
      <c r="A5" s="154" t="s">
        <v>61</v>
      </c>
      <c r="B5" s="152"/>
      <c r="C5" s="153"/>
      <c r="D5" s="155" t="s">
        <v>44</v>
      </c>
      <c r="E5" s="155" t="s">
        <v>45</v>
      </c>
      <c r="F5" s="155" t="s">
        <v>46</v>
      </c>
      <c r="G5" s="157" t="s">
        <v>62</v>
      </c>
      <c r="H5" s="157" t="s">
        <v>63</v>
      </c>
    </row>
    <row r="6" spans="1:8">
      <c r="A6" s="28" t="s">
        <v>4</v>
      </c>
      <c r="B6" s="28" t="s">
        <v>5</v>
      </c>
      <c r="C6" s="28" t="s">
        <v>19</v>
      </c>
      <c r="D6" s="156"/>
      <c r="E6" s="156"/>
      <c r="F6" s="156"/>
      <c r="G6" s="158"/>
      <c r="H6" s="158"/>
    </row>
    <row r="7" spans="1:8">
      <c r="A7" s="16">
        <v>0</v>
      </c>
      <c r="B7" s="65">
        <v>-0.16666666666666666</v>
      </c>
      <c r="C7" s="16">
        <v>1</v>
      </c>
      <c r="D7" s="19">
        <v>9.1150000000000002</v>
      </c>
      <c r="E7" s="19">
        <v>9.2569999999999997</v>
      </c>
      <c r="F7" s="19">
        <v>9.2140000000000004</v>
      </c>
      <c r="G7" s="19">
        <f>(C7*1000*AVERAGE(D7:F7)/$B$2)</f>
        <v>51.03981645944345</v>
      </c>
      <c r="H7" s="19">
        <f>(C7*1000*STDEV(D7:F7))/$B$2</f>
        <v>0.40418029822668006</v>
      </c>
    </row>
    <row r="8" spans="1:8">
      <c r="A8" s="16">
        <v>0</v>
      </c>
      <c r="B8" s="65">
        <v>0.16666666666666666</v>
      </c>
      <c r="C8" s="16">
        <v>1</v>
      </c>
      <c r="D8" s="19">
        <v>8.7759999999999998</v>
      </c>
      <c r="E8" s="19">
        <v>8.9309999999999992</v>
      </c>
      <c r="F8" s="19">
        <v>8.8949999999999996</v>
      </c>
      <c r="G8" s="19">
        <f t="shared" ref="G8:G17" si="0">(C8*1000*AVERAGE(D8:F8))/$B$2</f>
        <v>49.219212551805796</v>
      </c>
      <c r="H8" s="19">
        <f t="shared" ref="H8:H17" si="1">(C8*1000*STDEV(D8:F8))/$B$2</f>
        <v>0.45026228783844963</v>
      </c>
    </row>
    <row r="9" spans="1:8">
      <c r="A9" s="16">
        <v>1</v>
      </c>
      <c r="B9" s="65">
        <v>2</v>
      </c>
      <c r="C9" s="16">
        <v>1</v>
      </c>
      <c r="D9" s="19">
        <v>8.5790000000000006</v>
      </c>
      <c r="E9" s="19">
        <v>8.6820000000000004</v>
      </c>
      <c r="F9" s="19">
        <v>8.74</v>
      </c>
      <c r="G9" s="19">
        <f t="shared" si="0"/>
        <v>48.107238010657206</v>
      </c>
      <c r="H9" s="19">
        <f t="shared" si="1"/>
        <v>0.45260546474014518</v>
      </c>
    </row>
    <row r="10" spans="1:8">
      <c r="A10" s="16">
        <v>2</v>
      </c>
      <c r="B10" s="65">
        <v>3.3333333333333335</v>
      </c>
      <c r="C10" s="16">
        <v>1</v>
      </c>
      <c r="D10" s="19">
        <v>8.1630000000000003</v>
      </c>
      <c r="E10" s="19">
        <v>8.2690000000000001</v>
      </c>
      <c r="F10" s="19">
        <v>8.234</v>
      </c>
      <c r="G10" s="19">
        <f t="shared" si="0"/>
        <v>45.637211367673189</v>
      </c>
      <c r="H10" s="19">
        <f t="shared" si="1"/>
        <v>0.29978496039943947</v>
      </c>
    </row>
    <row r="11" spans="1:8">
      <c r="A11" s="16">
        <v>3</v>
      </c>
      <c r="B11" s="65">
        <v>4.666666666666667</v>
      </c>
      <c r="C11" s="16">
        <v>1</v>
      </c>
      <c r="D11" s="19">
        <v>6.9969999999999999</v>
      </c>
      <c r="E11" s="19">
        <v>7.3140000000000001</v>
      </c>
      <c r="F11" s="19">
        <v>6.9889999999999999</v>
      </c>
      <c r="G11" s="19">
        <f t="shared" si="0"/>
        <v>39.409413854351691</v>
      </c>
      <c r="H11" s="19">
        <f t="shared" si="1"/>
        <v>1.0289331580773526</v>
      </c>
    </row>
    <row r="12" spans="1:8">
      <c r="A12" s="16">
        <v>4</v>
      </c>
      <c r="B12" s="65">
        <v>6</v>
      </c>
      <c r="C12" s="16">
        <v>1</v>
      </c>
      <c r="D12" s="19">
        <v>5.798</v>
      </c>
      <c r="E12" s="19">
        <v>5.819</v>
      </c>
      <c r="F12" s="19">
        <v>5.9039999999999999</v>
      </c>
      <c r="G12" s="19">
        <f t="shared" si="0"/>
        <v>32.417480757844885</v>
      </c>
      <c r="H12" s="19">
        <f t="shared" si="1"/>
        <v>0.31154435109018519</v>
      </c>
    </row>
    <row r="13" spans="1:8">
      <c r="A13" s="16">
        <v>5</v>
      </c>
      <c r="B13" s="65">
        <v>7.333333333333333</v>
      </c>
      <c r="C13" s="16">
        <v>1</v>
      </c>
      <c r="D13" s="19">
        <v>4.6779999999999999</v>
      </c>
      <c r="E13" s="19">
        <v>4.7450000000000001</v>
      </c>
      <c r="F13" s="19">
        <v>4.7140000000000004</v>
      </c>
      <c r="G13" s="19">
        <f t="shared" si="0"/>
        <v>26.156379514505627</v>
      </c>
      <c r="H13" s="19">
        <f t="shared" si="1"/>
        <v>0.1861183398637456</v>
      </c>
    </row>
    <row r="14" spans="1:8">
      <c r="A14" s="16">
        <v>6</v>
      </c>
      <c r="B14" s="65">
        <v>8.6666666666666661</v>
      </c>
      <c r="C14" s="16">
        <v>1</v>
      </c>
      <c r="D14" s="19">
        <v>3.452</v>
      </c>
      <c r="E14" s="19">
        <v>3.492</v>
      </c>
      <c r="F14" s="19">
        <v>3.4750000000000001</v>
      </c>
      <c r="G14" s="19">
        <f t="shared" si="0"/>
        <v>19.277309058614566</v>
      </c>
      <c r="H14" s="19">
        <f t="shared" si="1"/>
        <v>0.11142795237502638</v>
      </c>
    </row>
    <row r="15" spans="1:8">
      <c r="A15" s="16">
        <v>7</v>
      </c>
      <c r="B15" s="65">
        <v>10</v>
      </c>
      <c r="C15" s="16">
        <v>1</v>
      </c>
      <c r="D15" s="19">
        <v>2.0339999999999998</v>
      </c>
      <c r="E15" s="19">
        <v>2.0030000000000001</v>
      </c>
      <c r="F15" s="19">
        <v>2.012</v>
      </c>
      <c r="G15" s="19">
        <f t="shared" si="0"/>
        <v>11.191903493191237</v>
      </c>
      <c r="H15" s="19">
        <f t="shared" si="1"/>
        <v>8.8520379765434948E-2</v>
      </c>
    </row>
    <row r="16" spans="1:8">
      <c r="A16" s="16">
        <v>8</v>
      </c>
      <c r="B16" s="65">
        <v>11.333333333333334</v>
      </c>
      <c r="C16" s="16">
        <v>1</v>
      </c>
      <c r="D16" s="115">
        <v>0.36099999999999999</v>
      </c>
      <c r="E16" s="115">
        <v>0.36599999999999999</v>
      </c>
      <c r="F16" s="115">
        <v>0.37</v>
      </c>
      <c r="G16" s="19">
        <f t="shared" si="0"/>
        <v>2.0296773238602723</v>
      </c>
      <c r="H16" s="19">
        <f t="shared" si="1"/>
        <v>2.5029139391778969E-2</v>
      </c>
    </row>
    <row r="17" spans="1:8">
      <c r="A17" s="16">
        <v>9</v>
      </c>
      <c r="B17" s="65">
        <v>12.666666666666666</v>
      </c>
      <c r="C17" s="16">
        <v>1</v>
      </c>
      <c r="D17" s="83">
        <v>0</v>
      </c>
      <c r="E17" s="84">
        <v>0</v>
      </c>
      <c r="F17" s="84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5">
        <v>14</v>
      </c>
      <c r="C18" s="16">
        <v>1</v>
      </c>
      <c r="D18" s="83">
        <v>0</v>
      </c>
      <c r="E18" s="84">
        <v>0</v>
      </c>
      <c r="F18" s="84">
        <v>0</v>
      </c>
      <c r="G18" s="19">
        <f t="shared" ref="G18:G24" si="2">(C18*1000*AVERAGE(D18:F18))/$B$2</f>
        <v>0</v>
      </c>
      <c r="H18" s="19">
        <f t="shared" ref="H18:H24" si="3">(C18*1000*STDEV(D18:F18))/$B$2</f>
        <v>0</v>
      </c>
    </row>
    <row r="19" spans="1:8">
      <c r="A19" s="16">
        <v>11</v>
      </c>
      <c r="B19" s="65">
        <v>15.333333333333334</v>
      </c>
      <c r="C19" s="16">
        <v>1</v>
      </c>
      <c r="D19" s="83">
        <v>0</v>
      </c>
      <c r="E19" s="84">
        <v>0</v>
      </c>
      <c r="F19" s="84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1</v>
      </c>
      <c r="D20" s="83">
        <v>0</v>
      </c>
      <c r="E20" s="84">
        <v>0</v>
      </c>
      <c r="F20" s="84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1</v>
      </c>
      <c r="D21" s="83">
        <v>0</v>
      </c>
      <c r="E21" s="84">
        <v>0</v>
      </c>
      <c r="F21" s="84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5">
        <v>24.333333333333332</v>
      </c>
      <c r="C22" s="16">
        <v>1</v>
      </c>
      <c r="D22" s="83">
        <v>0</v>
      </c>
      <c r="E22" s="84">
        <v>0</v>
      </c>
      <c r="F22" s="84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5">
        <v>30.166666666666668</v>
      </c>
      <c r="C23" s="16">
        <v>1</v>
      </c>
      <c r="D23" s="83">
        <v>0</v>
      </c>
      <c r="E23" s="84">
        <v>0</v>
      </c>
      <c r="F23" s="84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1</v>
      </c>
      <c r="D24" s="83">
        <v>0</v>
      </c>
      <c r="E24" s="84">
        <v>0</v>
      </c>
      <c r="F24" s="84">
        <v>0</v>
      </c>
      <c r="G24" s="19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2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64</v>
      </c>
      <c r="B2" s="17">
        <v>46.03</v>
      </c>
    </row>
    <row r="4" spans="1:8">
      <c r="A4" s="151" t="s">
        <v>64</v>
      </c>
      <c r="B4" s="152"/>
      <c r="C4" s="152"/>
      <c r="D4" s="152"/>
      <c r="E4" s="152"/>
      <c r="F4" s="152"/>
      <c r="G4" s="152"/>
      <c r="H4" s="153"/>
    </row>
    <row r="5" spans="1:8">
      <c r="A5" s="154" t="s">
        <v>61</v>
      </c>
      <c r="B5" s="152"/>
      <c r="C5" s="153"/>
      <c r="D5" s="155" t="s">
        <v>44</v>
      </c>
      <c r="E5" s="155" t="s">
        <v>45</v>
      </c>
      <c r="F5" s="155" t="s">
        <v>46</v>
      </c>
      <c r="G5" s="157" t="s">
        <v>62</v>
      </c>
      <c r="H5" s="157" t="s">
        <v>63</v>
      </c>
    </row>
    <row r="6" spans="1:8">
      <c r="A6" s="28" t="s">
        <v>4</v>
      </c>
      <c r="B6" s="28" t="s">
        <v>59</v>
      </c>
      <c r="C6" s="28" t="s">
        <v>19</v>
      </c>
      <c r="D6" s="156"/>
      <c r="E6" s="156"/>
      <c r="F6" s="156"/>
      <c r="G6" s="158"/>
      <c r="H6" s="158"/>
    </row>
    <row r="7" spans="1:8">
      <c r="A7" s="16">
        <v>0</v>
      </c>
      <c r="B7" s="65">
        <v>-0.16666666666666666</v>
      </c>
      <c r="C7" s="16">
        <v>1</v>
      </c>
      <c r="D7" s="42">
        <v>4.8000000000000001E-2</v>
      </c>
      <c r="E7" s="42">
        <v>5.8000000000000003E-2</v>
      </c>
      <c r="F7" s="42">
        <v>6.3E-2</v>
      </c>
      <c r="G7" s="16">
        <f>(C7*1000*AVERAGE(D7:F7))/$B$2</f>
        <v>1.2238395249474983</v>
      </c>
      <c r="H7" s="19">
        <f>(C7*1000*STDEV(D7:F7))/$B$2</f>
        <v>0.16592713791570085</v>
      </c>
    </row>
    <row r="8" spans="1:8">
      <c r="A8" s="16">
        <v>0</v>
      </c>
      <c r="B8" s="65">
        <v>0.16666666666666666</v>
      </c>
      <c r="C8" s="16">
        <v>1</v>
      </c>
      <c r="D8" s="42">
        <v>6.3E-2</v>
      </c>
      <c r="E8" s="42">
        <v>5.0999999999999997E-2</v>
      </c>
      <c r="F8" s="42">
        <v>5.3999999999999999E-2</v>
      </c>
      <c r="G8" s="16">
        <f t="shared" ref="G8:G17" si="0">(C8*1000*AVERAGE(D8:F8))/$B$2</f>
        <v>1.2165978709537257</v>
      </c>
      <c r="H8" s="19">
        <f t="shared" ref="H8:H17" si="1">(C8*1000*STDEV(D8:F8))/$B$2</f>
        <v>0.13567234408860307</v>
      </c>
    </row>
    <row r="9" spans="1:8">
      <c r="A9" s="16">
        <v>1</v>
      </c>
      <c r="B9" s="65">
        <v>2</v>
      </c>
      <c r="C9" s="16">
        <v>1</v>
      </c>
      <c r="D9" s="42">
        <v>6.2E-2</v>
      </c>
      <c r="E9" s="42">
        <v>5.8999999999999997E-2</v>
      </c>
      <c r="F9" s="42">
        <v>6.0999999999999999E-2</v>
      </c>
      <c r="G9" s="16">
        <f t="shared" si="0"/>
        <v>1.3179810268665362</v>
      </c>
      <c r="H9" s="19">
        <f t="shared" si="1"/>
        <v>3.3185427583140296E-2</v>
      </c>
    </row>
    <row r="10" spans="1:8">
      <c r="A10" s="16">
        <v>2</v>
      </c>
      <c r="B10" s="65">
        <v>3.3333333333333335</v>
      </c>
      <c r="C10" s="16">
        <v>1</v>
      </c>
      <c r="D10" s="42">
        <v>6.4000000000000001E-2</v>
      </c>
      <c r="E10" s="42">
        <v>5.8000000000000003E-2</v>
      </c>
      <c r="F10" s="42">
        <v>6.5000000000000002E-2</v>
      </c>
      <c r="G10" s="16">
        <f t="shared" si="0"/>
        <v>1.354189296835397</v>
      </c>
      <c r="H10" s="19">
        <f t="shared" si="1"/>
        <v>8.2249378605261395E-2</v>
      </c>
    </row>
    <row r="11" spans="1:8">
      <c r="A11" s="16">
        <v>3</v>
      </c>
      <c r="B11" s="65">
        <v>4.666666666666667</v>
      </c>
      <c r="C11" s="16">
        <v>1</v>
      </c>
      <c r="D11" s="42">
        <v>0.113</v>
      </c>
      <c r="E11" s="42">
        <v>0.109</v>
      </c>
      <c r="F11" s="42">
        <v>9.7000000000000003E-2</v>
      </c>
      <c r="G11" s="16">
        <f t="shared" si="0"/>
        <v>2.3100876240133243</v>
      </c>
      <c r="H11" s="19">
        <f t="shared" si="1"/>
        <v>0.18089645878480404</v>
      </c>
    </row>
    <row r="12" spans="1:8">
      <c r="A12" s="16">
        <v>4</v>
      </c>
      <c r="B12" s="65">
        <v>6</v>
      </c>
      <c r="C12" s="16">
        <v>1</v>
      </c>
      <c r="D12" s="42">
        <v>0.14499999999999999</v>
      </c>
      <c r="E12" s="42">
        <v>0.14599999999999999</v>
      </c>
      <c r="F12" s="42">
        <v>0.14799999999999999</v>
      </c>
      <c r="G12" s="16">
        <f t="shared" si="0"/>
        <v>3.1790861032659854</v>
      </c>
      <c r="H12" s="19">
        <f t="shared" si="1"/>
        <v>3.3185427583140296E-2</v>
      </c>
    </row>
    <row r="13" spans="1:8">
      <c r="A13" s="16">
        <v>5</v>
      </c>
      <c r="B13" s="65">
        <v>7.333333333333333</v>
      </c>
      <c r="C13" s="16">
        <v>1</v>
      </c>
      <c r="D13" s="42">
        <v>0.20100000000000001</v>
      </c>
      <c r="E13" s="42">
        <v>0.21</v>
      </c>
      <c r="F13" s="42">
        <v>0.20599999999999999</v>
      </c>
      <c r="G13" s="16">
        <f t="shared" si="0"/>
        <v>4.4681005141574328</v>
      </c>
      <c r="H13" s="19">
        <f t="shared" si="1"/>
        <v>9.7963279444338122E-2</v>
      </c>
    </row>
    <row r="14" spans="1:8">
      <c r="A14" s="16">
        <v>6</v>
      </c>
      <c r="B14" s="65">
        <v>8.6666666666666661</v>
      </c>
      <c r="C14" s="16">
        <v>1</v>
      </c>
      <c r="D14" s="18">
        <v>0.27600000000000002</v>
      </c>
      <c r="E14" s="18">
        <v>0.26900000000000002</v>
      </c>
      <c r="F14" s="18">
        <v>0.27300000000000002</v>
      </c>
      <c r="G14" s="16">
        <f t="shared" si="0"/>
        <v>5.9236729669056416</v>
      </c>
      <c r="H14" s="19">
        <f t="shared" si="1"/>
        <v>7.6295559076346928E-2</v>
      </c>
    </row>
    <row r="15" spans="1:8">
      <c r="A15" s="16">
        <v>7</v>
      </c>
      <c r="B15" s="65">
        <v>10</v>
      </c>
      <c r="C15" s="16">
        <v>1</v>
      </c>
      <c r="D15" s="18">
        <v>0.36199999999999999</v>
      </c>
      <c r="E15" s="18">
        <v>0.34699999999999998</v>
      </c>
      <c r="F15" s="18">
        <v>0.36699999999999999</v>
      </c>
      <c r="G15" s="16">
        <f t="shared" si="0"/>
        <v>7.7920196972988629</v>
      </c>
      <c r="H15" s="19">
        <f t="shared" si="1"/>
        <v>0.22612057348100525</v>
      </c>
    </row>
    <row r="16" spans="1:8">
      <c r="A16" s="16">
        <v>8</v>
      </c>
      <c r="B16" s="65">
        <v>11.333333333333334</v>
      </c>
      <c r="C16" s="16">
        <v>1</v>
      </c>
      <c r="D16" s="18">
        <v>0.39800000000000002</v>
      </c>
      <c r="E16" s="18">
        <v>0.41</v>
      </c>
      <c r="F16" s="18">
        <v>0.40200000000000002</v>
      </c>
      <c r="G16" s="16">
        <f t="shared" si="0"/>
        <v>8.7624013324643339</v>
      </c>
      <c r="H16" s="19">
        <f t="shared" si="1"/>
        <v>0.13274171033256055</v>
      </c>
    </row>
    <row r="17" spans="1:8">
      <c r="A17" s="16">
        <v>9</v>
      </c>
      <c r="B17" s="65">
        <v>12.666666666666666</v>
      </c>
      <c r="C17" s="16">
        <v>1</v>
      </c>
      <c r="D17" s="18">
        <v>0.41699999999999998</v>
      </c>
      <c r="E17" s="18">
        <v>0.42599999999999999</v>
      </c>
      <c r="F17" s="18">
        <v>0.43</v>
      </c>
      <c r="G17" s="16">
        <f t="shared" si="0"/>
        <v>9.2186255340719807</v>
      </c>
      <c r="H17" s="19">
        <f t="shared" si="1"/>
        <v>0.14465192523309578</v>
      </c>
    </row>
    <row r="18" spans="1:8">
      <c r="A18" s="16">
        <v>10</v>
      </c>
      <c r="B18" s="65">
        <v>14</v>
      </c>
      <c r="C18" s="16">
        <v>1</v>
      </c>
      <c r="D18" s="18">
        <v>0.41799999999999998</v>
      </c>
      <c r="E18" s="18">
        <v>0.42399999999999999</v>
      </c>
      <c r="F18" s="18">
        <v>0.41</v>
      </c>
      <c r="G18" s="16">
        <f t="shared" ref="G18:G24" si="2">(C18*1000*AVERAGE(D18:F18))/$B$2</f>
        <v>9.0665508002027657</v>
      </c>
      <c r="H18" s="19">
        <f t="shared" ref="H18:H24" si="3">(C18*1000*STDEV(D18:F18))/$B$2</f>
        <v>0.15259111815269388</v>
      </c>
    </row>
    <row r="19" spans="1:8">
      <c r="A19" s="16">
        <v>11</v>
      </c>
      <c r="B19" s="65">
        <v>15.333333333333334</v>
      </c>
      <c r="C19" s="16">
        <v>1</v>
      </c>
      <c r="D19" s="18">
        <v>0.4</v>
      </c>
      <c r="E19" s="18">
        <v>0.40799999999999997</v>
      </c>
      <c r="F19" s="18">
        <v>0.41699999999999998</v>
      </c>
      <c r="G19" s="16">
        <f t="shared" si="2"/>
        <v>8.8710261423709174</v>
      </c>
      <c r="H19" s="19">
        <f t="shared" si="3"/>
        <v>0.18476864106268442</v>
      </c>
    </row>
    <row r="20" spans="1:8">
      <c r="A20" s="16">
        <v>12</v>
      </c>
      <c r="B20" s="65">
        <v>16.666666666666668</v>
      </c>
      <c r="C20" s="16">
        <v>1</v>
      </c>
      <c r="D20" s="18">
        <v>0.41</v>
      </c>
      <c r="E20" s="18">
        <v>0.40600000000000003</v>
      </c>
      <c r="F20" s="18">
        <v>0.40699999999999997</v>
      </c>
      <c r="G20" s="16">
        <f t="shared" si="2"/>
        <v>8.8565428343833741</v>
      </c>
      <c r="H20" s="19">
        <f t="shared" si="3"/>
        <v>4.5224114696200565E-2</v>
      </c>
    </row>
    <row r="21" spans="1:8">
      <c r="A21" s="16">
        <v>13</v>
      </c>
      <c r="B21" s="65">
        <v>18</v>
      </c>
      <c r="C21" s="16">
        <v>1</v>
      </c>
      <c r="D21" s="18">
        <v>0.40500000000000003</v>
      </c>
      <c r="E21" s="18">
        <v>0.39700000000000002</v>
      </c>
      <c r="F21" s="18">
        <v>0.39900000000000002</v>
      </c>
      <c r="G21" s="16">
        <f t="shared" si="2"/>
        <v>8.6972264465203857</v>
      </c>
      <c r="H21" s="19">
        <f t="shared" si="3"/>
        <v>9.0448229392402116E-2</v>
      </c>
    </row>
    <row r="22" spans="1:8">
      <c r="A22" s="16">
        <v>14</v>
      </c>
      <c r="B22" s="65">
        <v>24.333333333333332</v>
      </c>
      <c r="C22" s="16">
        <v>1</v>
      </c>
      <c r="D22" s="18">
        <v>0.39200000000000002</v>
      </c>
      <c r="E22" s="18">
        <v>0.39800000000000002</v>
      </c>
      <c r="F22" s="18">
        <v>0.39600000000000002</v>
      </c>
      <c r="G22" s="16">
        <f t="shared" si="2"/>
        <v>8.5886016366138023</v>
      </c>
      <c r="H22" s="19">
        <f t="shared" si="3"/>
        <v>6.6370855166280607E-2</v>
      </c>
    </row>
    <row r="23" spans="1:8">
      <c r="A23" s="16">
        <v>15</v>
      </c>
      <c r="B23" s="65">
        <v>30.166666666666668</v>
      </c>
      <c r="C23" s="16">
        <v>1</v>
      </c>
      <c r="D23" s="18">
        <v>0.39700000000000002</v>
      </c>
      <c r="E23" s="18">
        <v>0.38600000000000001</v>
      </c>
      <c r="F23" s="18">
        <v>0.40500000000000003</v>
      </c>
      <c r="G23" s="16">
        <f t="shared" si="2"/>
        <v>8.6030849446013473</v>
      </c>
      <c r="H23" s="19">
        <f t="shared" si="3"/>
        <v>0.20724292883270617</v>
      </c>
    </row>
    <row r="24" spans="1:8">
      <c r="A24" s="16">
        <v>16</v>
      </c>
      <c r="B24" s="65">
        <v>48</v>
      </c>
      <c r="C24" s="16">
        <v>1</v>
      </c>
      <c r="D24" s="18">
        <v>0.41</v>
      </c>
      <c r="E24" s="18">
        <v>0.41099999999999998</v>
      </c>
      <c r="F24" s="18">
        <v>0.41</v>
      </c>
      <c r="G24" s="16">
        <f t="shared" si="2"/>
        <v>8.9144760663335489</v>
      </c>
      <c r="H24" s="19">
        <f t="shared" si="3"/>
        <v>1.2542912648047497E-2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42</v>
      </c>
      <c r="B2" s="17">
        <v>60.05</v>
      </c>
    </row>
    <row r="4" spans="1:8">
      <c r="A4" s="151" t="s">
        <v>42</v>
      </c>
      <c r="B4" s="152"/>
      <c r="C4" s="152"/>
      <c r="D4" s="152"/>
      <c r="E4" s="152"/>
      <c r="F4" s="152"/>
      <c r="G4" s="152"/>
      <c r="H4" s="153"/>
    </row>
    <row r="5" spans="1:8">
      <c r="A5" s="154" t="s">
        <v>61</v>
      </c>
      <c r="B5" s="152"/>
      <c r="C5" s="153"/>
      <c r="D5" s="155" t="s">
        <v>44</v>
      </c>
      <c r="E5" s="155" t="s">
        <v>45</v>
      </c>
      <c r="F5" s="155" t="s">
        <v>46</v>
      </c>
      <c r="G5" s="157" t="s">
        <v>62</v>
      </c>
      <c r="H5" s="157" t="s">
        <v>63</v>
      </c>
    </row>
    <row r="6" spans="1:8">
      <c r="A6" s="22" t="s">
        <v>4</v>
      </c>
      <c r="B6" s="22" t="s">
        <v>59</v>
      </c>
      <c r="C6" s="22" t="s">
        <v>19</v>
      </c>
      <c r="D6" s="156"/>
      <c r="E6" s="156"/>
      <c r="F6" s="156"/>
      <c r="G6" s="158"/>
      <c r="H6" s="158"/>
    </row>
    <row r="7" spans="1:8">
      <c r="A7" s="16">
        <v>0</v>
      </c>
      <c r="B7" s="65">
        <v>-0.16666666666666666</v>
      </c>
      <c r="C7" s="16">
        <v>1</v>
      </c>
      <c r="D7" s="19">
        <v>2.9729999999999999</v>
      </c>
      <c r="E7" s="19">
        <v>3.0089999999999999</v>
      </c>
      <c r="F7" s="19">
        <v>3.0179999999999998</v>
      </c>
      <c r="G7" s="16">
        <f>(C7*1000*AVERAGE(D7:F7))/$B$2</f>
        <v>49.958368026644465</v>
      </c>
      <c r="H7" s="19">
        <f>(C7*1000*STDEV(D7:F7))/$B$2</f>
        <v>0.39653225311542539</v>
      </c>
    </row>
    <row r="8" spans="1:8">
      <c r="A8" s="16">
        <v>0</v>
      </c>
      <c r="B8" s="65">
        <v>0.16666666666666666</v>
      </c>
      <c r="C8" s="16">
        <v>1</v>
      </c>
      <c r="D8" s="19">
        <v>2.8450000000000002</v>
      </c>
      <c r="E8" s="19">
        <v>2.8889999999999998</v>
      </c>
      <c r="F8" s="19">
        <v>2.8809999999999998</v>
      </c>
      <c r="G8" s="16">
        <f t="shared" ref="G8:G17" si="0">(C8*1000*AVERAGE(D8:F8))/$B$2</f>
        <v>47.821260061060229</v>
      </c>
      <c r="H8" s="19">
        <f t="shared" ref="H8:H17" si="1">(C8*1000*STDEV(D8:F8))/$B$2</f>
        <v>0.39030576366909298</v>
      </c>
    </row>
    <row r="9" spans="1:8">
      <c r="A9" s="16">
        <v>1</v>
      </c>
      <c r="B9" s="65">
        <v>2</v>
      </c>
      <c r="C9" s="16">
        <v>1</v>
      </c>
      <c r="D9" s="19">
        <v>2.7890000000000001</v>
      </c>
      <c r="E9" s="19">
        <v>2.8130000000000002</v>
      </c>
      <c r="F9" s="19">
        <v>2.8290000000000002</v>
      </c>
      <c r="G9" s="16">
        <f t="shared" si="0"/>
        <v>46.799888981404401</v>
      </c>
      <c r="H9" s="19">
        <f t="shared" si="1"/>
        <v>0.33526880645110213</v>
      </c>
    </row>
    <row r="10" spans="1:8">
      <c r="A10" s="16">
        <v>2</v>
      </c>
      <c r="B10" s="65">
        <v>3.3333333333333335</v>
      </c>
      <c r="C10" s="16">
        <v>1</v>
      </c>
      <c r="D10" s="19">
        <v>2.7040000000000002</v>
      </c>
      <c r="E10" s="19">
        <v>2.754</v>
      </c>
      <c r="F10" s="19">
        <v>2.7370000000000001</v>
      </c>
      <c r="G10" s="16">
        <f t="shared" si="0"/>
        <v>45.489869553150157</v>
      </c>
      <c r="H10" s="19">
        <f t="shared" si="1"/>
        <v>0.42336530592657851</v>
      </c>
    </row>
    <row r="11" spans="1:8">
      <c r="A11" s="16">
        <v>3</v>
      </c>
      <c r="B11" s="65">
        <v>4.666666666666667</v>
      </c>
      <c r="C11" s="16">
        <v>1</v>
      </c>
      <c r="D11" s="19">
        <v>2.4940000000000002</v>
      </c>
      <c r="E11" s="19">
        <v>2.5760000000000001</v>
      </c>
      <c r="F11" s="19">
        <v>2.5030000000000001</v>
      </c>
      <c r="G11" s="16">
        <f t="shared" si="0"/>
        <v>42.037191229530954</v>
      </c>
      <c r="H11" s="19">
        <f t="shared" si="1"/>
        <v>0.74888194187063528</v>
      </c>
    </row>
    <row r="12" spans="1:8">
      <c r="A12" s="16">
        <v>4</v>
      </c>
      <c r="B12" s="65">
        <v>6</v>
      </c>
      <c r="C12" s="16">
        <v>1</v>
      </c>
      <c r="D12" s="19">
        <v>2.2490000000000001</v>
      </c>
      <c r="E12" s="19">
        <v>2.27</v>
      </c>
      <c r="F12" s="19">
        <v>2.2999999999999998</v>
      </c>
      <c r="G12" s="16">
        <f t="shared" si="0"/>
        <v>37.851790174854287</v>
      </c>
      <c r="H12" s="19">
        <f t="shared" si="1"/>
        <v>0.42684448352959942</v>
      </c>
    </row>
    <row r="13" spans="1:8">
      <c r="A13" s="16">
        <v>5</v>
      </c>
      <c r="B13" s="65">
        <v>7.333333333333333</v>
      </c>
      <c r="C13" s="16">
        <v>1</v>
      </c>
      <c r="D13" s="19">
        <v>2.0390000000000001</v>
      </c>
      <c r="E13" s="19">
        <v>2.0760000000000001</v>
      </c>
      <c r="F13" s="19">
        <v>2.0659999999999998</v>
      </c>
      <c r="G13" s="16">
        <f t="shared" si="0"/>
        <v>34.310296974743274</v>
      </c>
      <c r="H13" s="19">
        <f t="shared" si="1"/>
        <v>0.31873166183637047</v>
      </c>
    </row>
    <row r="14" spans="1:8">
      <c r="A14" s="16">
        <v>6</v>
      </c>
      <c r="B14" s="65">
        <v>8.6666666666666661</v>
      </c>
      <c r="C14" s="16">
        <v>1</v>
      </c>
      <c r="D14" s="19">
        <v>1.806</v>
      </c>
      <c r="E14" s="19">
        <v>1.82</v>
      </c>
      <c r="F14" s="19">
        <v>1.82</v>
      </c>
      <c r="G14" s="16">
        <f t="shared" si="0"/>
        <v>30.230363585900641</v>
      </c>
      <c r="H14" s="19">
        <f t="shared" si="1"/>
        <v>0.13460289373280213</v>
      </c>
    </row>
    <row r="15" spans="1:8">
      <c r="A15" s="16">
        <v>7</v>
      </c>
      <c r="B15" s="65">
        <v>10</v>
      </c>
      <c r="C15" s="16">
        <v>1</v>
      </c>
      <c r="D15" s="19">
        <v>1.675</v>
      </c>
      <c r="E15" s="19">
        <v>1.6140000000000001</v>
      </c>
      <c r="F15" s="19">
        <v>1.67</v>
      </c>
      <c r="G15" s="16">
        <f t="shared" si="0"/>
        <v>27.527060782681097</v>
      </c>
      <c r="H15" s="19">
        <f t="shared" si="1"/>
        <v>0.56398648532476503</v>
      </c>
    </row>
    <row r="16" spans="1:8">
      <c r="A16" s="16">
        <v>8</v>
      </c>
      <c r="B16" s="65">
        <v>11.333333333333334</v>
      </c>
      <c r="C16" s="16">
        <v>1</v>
      </c>
      <c r="D16" s="19">
        <v>1.4790000000000001</v>
      </c>
      <c r="E16" s="19">
        <v>1.5049999999999999</v>
      </c>
      <c r="F16" s="19">
        <v>1.5249999999999999</v>
      </c>
      <c r="G16" s="16">
        <f t="shared" si="0"/>
        <v>25.029142381348876</v>
      </c>
      <c r="H16" s="19">
        <f t="shared" si="1"/>
        <v>0.38409867092991673</v>
      </c>
    </row>
    <row r="17" spans="1:8">
      <c r="A17" s="16">
        <v>9</v>
      </c>
      <c r="B17" s="65">
        <v>12.666666666666666</v>
      </c>
      <c r="C17" s="16">
        <v>1</v>
      </c>
      <c r="D17" s="19">
        <v>1.4830000000000001</v>
      </c>
      <c r="E17" s="19">
        <v>1.51</v>
      </c>
      <c r="F17" s="19">
        <v>1.5189999999999999</v>
      </c>
      <c r="G17" s="16">
        <f t="shared" si="0"/>
        <v>25.045795170691097</v>
      </c>
      <c r="H17" s="19">
        <f t="shared" si="1"/>
        <v>0.31198990832964374</v>
      </c>
    </row>
    <row r="18" spans="1:8">
      <c r="A18" s="16">
        <v>10</v>
      </c>
      <c r="B18" s="65">
        <v>14</v>
      </c>
      <c r="C18" s="16">
        <v>1</v>
      </c>
      <c r="D18" s="19">
        <v>1.4750000000000001</v>
      </c>
      <c r="E18" s="19">
        <v>1.502</v>
      </c>
      <c r="F18" s="19">
        <v>1.498</v>
      </c>
      <c r="G18" s="16">
        <f t="shared" ref="G18:G24" si="2">(C18*1000*AVERAGE(D18:F18))/$B$2</f>
        <v>24.840410768803782</v>
      </c>
      <c r="H18" s="19">
        <f t="shared" ref="H18:H24" si="3">(C18*1000*STDEV(D18:F18))/$B$2</f>
        <v>0.24265881758972321</v>
      </c>
    </row>
    <row r="19" spans="1:8">
      <c r="A19" s="16">
        <v>11</v>
      </c>
      <c r="B19" s="65">
        <v>15.333333333333334</v>
      </c>
      <c r="C19" s="16">
        <v>1</v>
      </c>
      <c r="D19" s="19">
        <v>1.4770000000000001</v>
      </c>
      <c r="E19" s="19">
        <v>1.488</v>
      </c>
      <c r="F19" s="19">
        <v>1.514</v>
      </c>
      <c r="G19" s="16">
        <f t="shared" si="2"/>
        <v>24.862614487926727</v>
      </c>
      <c r="H19" s="19">
        <f t="shared" si="3"/>
        <v>0.31640299750208112</v>
      </c>
    </row>
    <row r="20" spans="1:8">
      <c r="A20" s="16">
        <v>12</v>
      </c>
      <c r="B20" s="65">
        <v>16.666666666666668</v>
      </c>
      <c r="C20" s="16">
        <v>1</v>
      </c>
      <c r="D20" s="19">
        <v>1.462</v>
      </c>
      <c r="E20" s="19">
        <v>1.4970000000000001</v>
      </c>
      <c r="F20" s="19">
        <v>1.498</v>
      </c>
      <c r="G20" s="16">
        <f t="shared" si="2"/>
        <v>24.740494032750487</v>
      </c>
      <c r="H20" s="19">
        <f t="shared" si="3"/>
        <v>0.34141602697045387</v>
      </c>
    </row>
    <row r="21" spans="1:8">
      <c r="A21" s="16">
        <v>13</v>
      </c>
      <c r="B21" s="65">
        <v>18</v>
      </c>
      <c r="C21" s="16">
        <v>1</v>
      </c>
      <c r="D21" s="19">
        <v>1.46</v>
      </c>
      <c r="E21" s="19">
        <v>1.484</v>
      </c>
      <c r="F21" s="19">
        <v>1.4590000000000001</v>
      </c>
      <c r="G21" s="16">
        <f t="shared" si="2"/>
        <v>24.440743824590626</v>
      </c>
      <c r="H21" s="19">
        <f t="shared" si="3"/>
        <v>0.23570217869067017</v>
      </c>
    </row>
    <row r="22" spans="1:8">
      <c r="A22" s="16">
        <v>14</v>
      </c>
      <c r="B22" s="65">
        <v>24.333333333333332</v>
      </c>
      <c r="C22" s="16">
        <v>1</v>
      </c>
      <c r="D22" s="19">
        <v>1.4510000000000001</v>
      </c>
      <c r="E22" s="19">
        <v>1.454</v>
      </c>
      <c r="F22" s="19">
        <v>1.474</v>
      </c>
      <c r="G22" s="16">
        <f t="shared" si="2"/>
        <v>24.307521509852908</v>
      </c>
      <c r="H22" s="19">
        <f t="shared" si="3"/>
        <v>0.2082153686762255</v>
      </c>
    </row>
    <row r="23" spans="1:8">
      <c r="A23" s="16">
        <v>15</v>
      </c>
      <c r="B23" s="65">
        <v>30.166666666666668</v>
      </c>
      <c r="C23" s="16">
        <v>1</v>
      </c>
      <c r="D23" s="19">
        <v>1.425</v>
      </c>
      <c r="E23" s="19">
        <v>1.4510000000000001</v>
      </c>
      <c r="F23" s="19">
        <v>1.448</v>
      </c>
      <c r="G23" s="16">
        <f t="shared" si="2"/>
        <v>24.002220371912294</v>
      </c>
      <c r="H23" s="19">
        <f t="shared" si="3"/>
        <v>0.23687580675383677</v>
      </c>
    </row>
    <row r="24" spans="1:8">
      <c r="A24" s="16">
        <v>16</v>
      </c>
      <c r="B24" s="65">
        <v>48</v>
      </c>
      <c r="C24" s="16">
        <v>1</v>
      </c>
      <c r="D24" s="19">
        <v>1.405</v>
      </c>
      <c r="E24" s="19">
        <v>1.4159999999999999</v>
      </c>
      <c r="F24" s="19">
        <v>1.3939999999999999</v>
      </c>
      <c r="G24" s="16">
        <f t="shared" si="2"/>
        <v>23.397169025811824</v>
      </c>
      <c r="H24" s="19">
        <f t="shared" si="3"/>
        <v>0.18318068276436322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8" sqref="B8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66</v>
      </c>
      <c r="B2" s="17">
        <v>74.08</v>
      </c>
    </row>
    <row r="4" spans="1:8">
      <c r="A4" s="151" t="s">
        <v>66</v>
      </c>
      <c r="B4" s="152"/>
      <c r="C4" s="152"/>
      <c r="D4" s="152"/>
      <c r="E4" s="152"/>
      <c r="F4" s="152"/>
      <c r="G4" s="152"/>
      <c r="H4" s="153"/>
    </row>
    <row r="5" spans="1:8">
      <c r="A5" s="154" t="s">
        <v>61</v>
      </c>
      <c r="B5" s="152"/>
      <c r="C5" s="153"/>
      <c r="D5" s="155" t="s">
        <v>44</v>
      </c>
      <c r="E5" s="155" t="s">
        <v>45</v>
      </c>
      <c r="F5" s="155" t="s">
        <v>46</v>
      </c>
      <c r="G5" s="157" t="s">
        <v>62</v>
      </c>
      <c r="H5" s="157" t="s">
        <v>63</v>
      </c>
    </row>
    <row r="6" spans="1:8">
      <c r="A6" s="28" t="s">
        <v>4</v>
      </c>
      <c r="B6" s="28" t="s">
        <v>59</v>
      </c>
      <c r="C6" s="28" t="s">
        <v>19</v>
      </c>
      <c r="D6" s="156"/>
      <c r="E6" s="156"/>
      <c r="F6" s="156"/>
      <c r="G6" s="158"/>
      <c r="H6" s="158"/>
    </row>
    <row r="7" spans="1:8">
      <c r="A7" s="16">
        <v>0</v>
      </c>
      <c r="B7" s="65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42">
        <v>0</v>
      </c>
      <c r="E8" s="42">
        <v>0</v>
      </c>
      <c r="F8" s="42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2</v>
      </c>
      <c r="D9" s="42">
        <v>0</v>
      </c>
      <c r="E9" s="42">
        <v>0</v>
      </c>
      <c r="F9" s="42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5">
        <v>3.3333333333333335</v>
      </c>
      <c r="C10" s="16">
        <v>2</v>
      </c>
      <c r="D10" s="42">
        <v>0</v>
      </c>
      <c r="E10" s="42">
        <v>0</v>
      </c>
      <c r="F10" s="42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5">
        <v>4.666666666666667</v>
      </c>
      <c r="C11" s="16">
        <v>2</v>
      </c>
      <c r="D11" s="42">
        <v>0</v>
      </c>
      <c r="E11" s="42">
        <v>0</v>
      </c>
      <c r="F11" s="42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2</v>
      </c>
      <c r="D12" s="42">
        <v>0</v>
      </c>
      <c r="E12" s="42">
        <v>0</v>
      </c>
      <c r="F12" s="42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5">
        <v>7.333333333333333</v>
      </c>
      <c r="C13" s="16">
        <v>2</v>
      </c>
      <c r="D13" s="42">
        <v>0</v>
      </c>
      <c r="E13" s="42">
        <v>0</v>
      </c>
      <c r="F13" s="42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5">
        <v>8.6666666666666661</v>
      </c>
      <c r="C14" s="16">
        <v>2</v>
      </c>
      <c r="D14" s="42">
        <v>0</v>
      </c>
      <c r="E14" s="42">
        <v>0</v>
      </c>
      <c r="F14" s="42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5">
        <v>10</v>
      </c>
      <c r="C15" s="16">
        <v>2</v>
      </c>
      <c r="D15" s="42">
        <v>0</v>
      </c>
      <c r="E15" s="42">
        <v>0</v>
      </c>
      <c r="F15" s="42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5">
        <v>11.333333333333334</v>
      </c>
      <c r="C16" s="16">
        <v>2</v>
      </c>
      <c r="D16" s="42">
        <v>0</v>
      </c>
      <c r="E16" s="42">
        <v>0</v>
      </c>
      <c r="F16" s="42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5">
        <v>12.666666666666666</v>
      </c>
      <c r="C17" s="16">
        <v>2</v>
      </c>
      <c r="D17" s="42">
        <v>0</v>
      </c>
      <c r="E17" s="42">
        <v>0</v>
      </c>
      <c r="F17" s="42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5">
        <v>14</v>
      </c>
      <c r="C18" s="16">
        <v>2</v>
      </c>
      <c r="D18" s="42">
        <v>0</v>
      </c>
      <c r="E18" s="42">
        <v>0</v>
      </c>
      <c r="F18" s="42">
        <v>0</v>
      </c>
      <c r="G18" s="16">
        <f t="shared" ref="G18:G24" si="2">(C18*1000*AVERAGE(D18:F18))/$B$2</f>
        <v>0</v>
      </c>
      <c r="H18" s="19">
        <f t="shared" ref="H18:H24" si="3">(C18*1000*STDEV(D18:F18))/$B$2</f>
        <v>0</v>
      </c>
    </row>
    <row r="19" spans="1:8">
      <c r="A19" s="16">
        <v>11</v>
      </c>
      <c r="B19" s="65">
        <v>15.333333333333334</v>
      </c>
      <c r="C19" s="16">
        <v>2</v>
      </c>
      <c r="D19" s="42">
        <v>0</v>
      </c>
      <c r="E19" s="42">
        <v>0</v>
      </c>
      <c r="F19" s="42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2</v>
      </c>
      <c r="D20" s="42">
        <v>0</v>
      </c>
      <c r="E20" s="42">
        <v>0</v>
      </c>
      <c r="F20" s="42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2</v>
      </c>
      <c r="D21" s="42">
        <v>0</v>
      </c>
      <c r="E21" s="42">
        <v>0</v>
      </c>
      <c r="F21" s="42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5">
        <v>24.333333333333332</v>
      </c>
      <c r="C22" s="16">
        <v>2</v>
      </c>
      <c r="D22" s="42">
        <v>0</v>
      </c>
      <c r="E22" s="42">
        <v>0</v>
      </c>
      <c r="F22" s="42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5">
        <v>30.166666666666668</v>
      </c>
      <c r="C23" s="16">
        <v>2</v>
      </c>
      <c r="D23" s="42">
        <v>0</v>
      </c>
      <c r="E23" s="42">
        <v>0</v>
      </c>
      <c r="F23" s="42">
        <v>0</v>
      </c>
      <c r="G23" s="16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2</v>
      </c>
      <c r="D24" s="42">
        <v>0</v>
      </c>
      <c r="E24" s="42">
        <v>0</v>
      </c>
      <c r="F24" s="42">
        <v>0</v>
      </c>
      <c r="G24" s="16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65</v>
      </c>
      <c r="B2" s="17">
        <v>88.11</v>
      </c>
    </row>
    <row r="4" spans="1:8">
      <c r="A4" s="151" t="s">
        <v>65</v>
      </c>
      <c r="B4" s="152"/>
      <c r="C4" s="152"/>
      <c r="D4" s="152"/>
      <c r="E4" s="152"/>
      <c r="F4" s="152"/>
      <c r="G4" s="152"/>
      <c r="H4" s="153"/>
    </row>
    <row r="5" spans="1:8">
      <c r="A5" s="154" t="s">
        <v>61</v>
      </c>
      <c r="B5" s="152"/>
      <c r="C5" s="153"/>
      <c r="D5" s="155" t="s">
        <v>44</v>
      </c>
      <c r="E5" s="155" t="s">
        <v>45</v>
      </c>
      <c r="F5" s="155" t="s">
        <v>46</v>
      </c>
      <c r="G5" s="157" t="s">
        <v>62</v>
      </c>
      <c r="H5" s="157" t="s">
        <v>63</v>
      </c>
    </row>
    <row r="6" spans="1:8">
      <c r="A6" s="28" t="s">
        <v>4</v>
      </c>
      <c r="B6" s="28" t="s">
        <v>59</v>
      </c>
      <c r="C6" s="28" t="s">
        <v>19</v>
      </c>
      <c r="D6" s="156"/>
      <c r="E6" s="156"/>
      <c r="F6" s="156"/>
      <c r="G6" s="158"/>
      <c r="H6" s="158"/>
    </row>
    <row r="7" spans="1:8">
      <c r="A7" s="16">
        <v>0</v>
      </c>
      <c r="B7" s="65">
        <v>-0.16666666666666666</v>
      </c>
      <c r="C7" s="16">
        <v>1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1</v>
      </c>
      <c r="D8" s="42">
        <v>0.186</v>
      </c>
      <c r="E8" s="42">
        <v>0.187</v>
      </c>
      <c r="F8" s="42">
        <v>0.185</v>
      </c>
      <c r="G8" s="16">
        <f>(C8*1000*AVERAGE(D8:F8))/$B$2</f>
        <v>2.1109976166155944</v>
      </c>
      <c r="H8" s="19">
        <f t="shared" ref="H8:H17" si="0">(C8*1000*STDEV(D8:F8))/$B$2</f>
        <v>1.1349449551696754E-2</v>
      </c>
    </row>
    <row r="9" spans="1:8">
      <c r="A9" s="16">
        <v>1</v>
      </c>
      <c r="B9" s="65">
        <v>2</v>
      </c>
      <c r="C9" s="16">
        <v>1</v>
      </c>
      <c r="D9" s="42">
        <v>0.38900000000000001</v>
      </c>
      <c r="E9" s="42">
        <v>0.39100000000000001</v>
      </c>
      <c r="F9" s="42">
        <v>0.39600000000000002</v>
      </c>
      <c r="G9" s="16">
        <f t="shared" ref="G9:G17" si="1">(C9*1000*AVERAGE(D9:F9))/$B$2</f>
        <v>4.4489842242651241</v>
      </c>
      <c r="H9" s="19">
        <f t="shared" si="0"/>
        <v>4.0921022306934431E-2</v>
      </c>
    </row>
    <row r="10" spans="1:8">
      <c r="A10" s="16">
        <v>2</v>
      </c>
      <c r="B10" s="65">
        <v>3.3333333333333335</v>
      </c>
      <c r="C10" s="16">
        <v>1</v>
      </c>
      <c r="D10" s="116">
        <v>0.69099999999999995</v>
      </c>
      <c r="E10" s="116">
        <v>0.70199999999999996</v>
      </c>
      <c r="F10" s="116">
        <v>0.69599999999999995</v>
      </c>
      <c r="G10" s="16">
        <f t="shared" si="1"/>
        <v>7.9030000378314966</v>
      </c>
      <c r="H10" s="19">
        <f t="shared" si="0"/>
        <v>6.2507894078834489E-2</v>
      </c>
    </row>
    <row r="11" spans="1:8">
      <c r="A11" s="16">
        <v>3</v>
      </c>
      <c r="B11" s="65">
        <v>4.666666666666667</v>
      </c>
      <c r="C11" s="16">
        <v>1</v>
      </c>
      <c r="D11" s="116">
        <v>1.3140000000000001</v>
      </c>
      <c r="E11" s="116">
        <v>1.3660000000000001</v>
      </c>
      <c r="F11" s="116">
        <v>1.3320000000000001</v>
      </c>
      <c r="G11" s="16">
        <f t="shared" si="1"/>
        <v>15.177997200469113</v>
      </c>
      <c r="H11" s="19">
        <f t="shared" si="0"/>
        <v>0.29970570605437713</v>
      </c>
    </row>
    <row r="12" spans="1:8">
      <c r="A12" s="16">
        <v>4</v>
      </c>
      <c r="B12" s="65">
        <v>6</v>
      </c>
      <c r="C12" s="16">
        <v>1</v>
      </c>
      <c r="D12" s="116">
        <v>1.9139999999999999</v>
      </c>
      <c r="E12" s="116">
        <v>1.923</v>
      </c>
      <c r="F12" s="116">
        <v>1.9510000000000001</v>
      </c>
      <c r="G12" s="16">
        <f t="shared" si="1"/>
        <v>21.89687133507358</v>
      </c>
      <c r="H12" s="19">
        <f t="shared" si="0"/>
        <v>0.21899830724331482</v>
      </c>
    </row>
    <row r="13" spans="1:8">
      <c r="A13" s="16">
        <v>5</v>
      </c>
      <c r="B13" s="65">
        <v>7.333333333333333</v>
      </c>
      <c r="C13" s="16">
        <v>1</v>
      </c>
      <c r="D13" s="116">
        <v>2.5680000000000001</v>
      </c>
      <c r="E13" s="116">
        <v>2.6040000000000001</v>
      </c>
      <c r="F13" s="116">
        <v>2.5920000000000001</v>
      </c>
      <c r="G13" s="16">
        <f t="shared" si="1"/>
        <v>29.372375439791174</v>
      </c>
      <c r="H13" s="19">
        <f t="shared" si="0"/>
        <v>0.20803884666693198</v>
      </c>
    </row>
    <row r="14" spans="1:8">
      <c r="A14" s="16">
        <v>6</v>
      </c>
      <c r="B14" s="65">
        <v>8.6666666666666661</v>
      </c>
      <c r="C14" s="16">
        <v>1</v>
      </c>
      <c r="D14" s="116">
        <v>3.2010000000000001</v>
      </c>
      <c r="E14" s="116">
        <v>3.2370000000000001</v>
      </c>
      <c r="F14" s="116">
        <v>3.2280000000000002</v>
      </c>
      <c r="G14" s="16">
        <f t="shared" si="1"/>
        <v>36.567926455566905</v>
      </c>
      <c r="H14" s="19">
        <f t="shared" si="0"/>
        <v>0.21263186919980967</v>
      </c>
    </row>
    <row r="15" spans="1:8">
      <c r="A15" s="16">
        <v>7</v>
      </c>
      <c r="B15" s="65">
        <v>10</v>
      </c>
      <c r="C15" s="16">
        <v>1</v>
      </c>
      <c r="D15" s="116">
        <v>4.2229999999999999</v>
      </c>
      <c r="E15" s="116">
        <v>4.0759999999999996</v>
      </c>
      <c r="F15" s="116">
        <v>4.2080000000000002</v>
      </c>
      <c r="G15" s="16">
        <f t="shared" si="1"/>
        <v>47.315855181023721</v>
      </c>
      <c r="H15" s="19">
        <f t="shared" si="0"/>
        <v>0.91804349763110649</v>
      </c>
    </row>
    <row r="16" spans="1:8">
      <c r="A16" s="16">
        <v>8</v>
      </c>
      <c r="B16" s="65">
        <v>11.333333333333334</v>
      </c>
      <c r="C16" s="16">
        <v>1</v>
      </c>
      <c r="D16" s="116">
        <v>4.7590000000000003</v>
      </c>
      <c r="E16" s="116">
        <v>4.8929999999999998</v>
      </c>
      <c r="F16" s="116">
        <v>4.9240000000000004</v>
      </c>
      <c r="G16" s="16">
        <f t="shared" si="1"/>
        <v>55.143192221843911</v>
      </c>
      <c r="H16" s="19">
        <f t="shared" si="0"/>
        <v>0.99528482159190523</v>
      </c>
    </row>
    <row r="17" spans="1:8">
      <c r="A17" s="16">
        <v>9</v>
      </c>
      <c r="B17" s="65">
        <v>12.666666666666666</v>
      </c>
      <c r="C17" s="16">
        <v>1</v>
      </c>
      <c r="D17" s="116">
        <v>5.0359999999999996</v>
      </c>
      <c r="E17" s="116">
        <v>5.1100000000000003</v>
      </c>
      <c r="F17" s="116">
        <v>5.1349999999999998</v>
      </c>
      <c r="G17" s="16">
        <f t="shared" si="1"/>
        <v>57.810312866492644</v>
      </c>
      <c r="H17" s="19">
        <f t="shared" si="0"/>
        <v>0.58428541848451776</v>
      </c>
    </row>
    <row r="18" spans="1:8">
      <c r="A18" s="16">
        <v>10</v>
      </c>
      <c r="B18" s="65">
        <v>14</v>
      </c>
      <c r="C18" s="16">
        <v>1</v>
      </c>
      <c r="D18" s="116">
        <v>5.0730000000000004</v>
      </c>
      <c r="E18" s="116">
        <v>5.1580000000000004</v>
      </c>
      <c r="F18" s="116">
        <v>5.1509999999999998</v>
      </c>
      <c r="G18" s="16">
        <f t="shared" ref="G18:G23" si="2">(C18*1000*AVERAGE(D18:F18))/$B$2</f>
        <v>58.192411001399776</v>
      </c>
      <c r="H18" s="19">
        <f t="shared" ref="H18:H24" si="3">(C18*1000*STDEV(D18:F18))/$B$2</f>
        <v>0.53551284585897985</v>
      </c>
    </row>
    <row r="19" spans="1:8">
      <c r="A19" s="16">
        <v>11</v>
      </c>
      <c r="B19" s="65">
        <v>15.333333333333334</v>
      </c>
      <c r="C19" s="16">
        <v>1</v>
      </c>
      <c r="D19" s="116">
        <v>5.0999999999999996</v>
      </c>
      <c r="E19" s="116">
        <v>5.1449999999999996</v>
      </c>
      <c r="F19" s="116">
        <v>5.2460000000000004</v>
      </c>
      <c r="G19" s="16">
        <f t="shared" si="2"/>
        <v>58.604774335111415</v>
      </c>
      <c r="H19" s="19">
        <f t="shared" si="3"/>
        <v>0.84858167864123235</v>
      </c>
    </row>
    <row r="20" spans="1:8">
      <c r="A20" s="16">
        <v>12</v>
      </c>
      <c r="B20" s="65">
        <v>16.666666666666668</v>
      </c>
      <c r="C20" s="16">
        <v>1</v>
      </c>
      <c r="D20" s="116">
        <v>5.1429999999999998</v>
      </c>
      <c r="E20" s="116">
        <v>5.19</v>
      </c>
      <c r="F20" s="116">
        <v>5.1980000000000004</v>
      </c>
      <c r="G20" s="16">
        <f t="shared" si="2"/>
        <v>58.75610032913405</v>
      </c>
      <c r="H20" s="19">
        <f t="shared" si="3"/>
        <v>0.33725247890372934</v>
      </c>
    </row>
    <row r="21" spans="1:8">
      <c r="A21" s="16">
        <v>13</v>
      </c>
      <c r="B21" s="65">
        <v>18</v>
      </c>
      <c r="C21" s="16">
        <v>1</v>
      </c>
      <c r="D21" s="116">
        <v>5.141</v>
      </c>
      <c r="E21" s="116">
        <v>5.1890000000000001</v>
      </c>
      <c r="F21" s="116">
        <v>5.19</v>
      </c>
      <c r="G21" s="16">
        <f t="shared" si="2"/>
        <v>58.714485680777813</v>
      </c>
      <c r="H21" s="19">
        <f t="shared" si="3"/>
        <v>0.31785213651564431</v>
      </c>
    </row>
    <row r="22" spans="1:8">
      <c r="A22" s="16">
        <v>14</v>
      </c>
      <c r="B22" s="65">
        <v>24.333333333333332</v>
      </c>
      <c r="C22" s="16">
        <v>1</v>
      </c>
      <c r="D22" s="116">
        <v>5.1970000000000001</v>
      </c>
      <c r="E22" s="116">
        <v>5.2140000000000004</v>
      </c>
      <c r="F22" s="116">
        <v>5.282</v>
      </c>
      <c r="G22" s="16">
        <f t="shared" si="2"/>
        <v>59.368970604925671</v>
      </c>
      <c r="H22" s="19">
        <f t="shared" si="3"/>
        <v>0.51047295753147148</v>
      </c>
    </row>
    <row r="23" spans="1:8">
      <c r="A23" s="16">
        <v>15</v>
      </c>
      <c r="B23" s="65">
        <v>30.166666666666668</v>
      </c>
      <c r="C23" s="16">
        <v>1</v>
      </c>
      <c r="D23" s="116">
        <v>5.2690000000000001</v>
      </c>
      <c r="E23" s="116">
        <v>5.3470000000000004</v>
      </c>
      <c r="F23" s="116">
        <v>5.3529999999999998</v>
      </c>
      <c r="G23" s="16">
        <f t="shared" si="2"/>
        <v>60.413119963681751</v>
      </c>
      <c r="H23" s="19">
        <f t="shared" si="3"/>
        <v>0.53185220809714995</v>
      </c>
    </row>
    <row r="24" spans="1:8">
      <c r="A24" s="16">
        <v>16</v>
      </c>
      <c r="B24" s="65">
        <v>48</v>
      </c>
      <c r="C24" s="16">
        <v>1</v>
      </c>
      <c r="D24" s="18">
        <v>5.4619999999999997</v>
      </c>
      <c r="E24" s="18">
        <v>5.4729999999999999</v>
      </c>
      <c r="F24" s="18">
        <v>5.4279999999999999</v>
      </c>
      <c r="G24" s="16">
        <f>(C24*1000*AVERAGE(D24:F24))/$B$2</f>
        <v>61.903681004804596</v>
      </c>
      <c r="H24" s="19">
        <f t="shared" si="3"/>
        <v>0.26624883002175864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41</v>
      </c>
      <c r="B2" s="17">
        <v>90.08</v>
      </c>
    </row>
    <row r="4" spans="1:8">
      <c r="A4" s="151" t="s">
        <v>41</v>
      </c>
      <c r="B4" s="152"/>
      <c r="C4" s="152"/>
      <c r="D4" s="152"/>
      <c r="E4" s="152"/>
      <c r="F4" s="152"/>
      <c r="G4" s="152"/>
      <c r="H4" s="153"/>
    </row>
    <row r="5" spans="1:8">
      <c r="A5" s="154" t="s">
        <v>61</v>
      </c>
      <c r="B5" s="152"/>
      <c r="C5" s="153"/>
      <c r="D5" s="155" t="s">
        <v>44</v>
      </c>
      <c r="E5" s="155" t="s">
        <v>45</v>
      </c>
      <c r="F5" s="155" t="s">
        <v>46</v>
      </c>
      <c r="G5" s="157" t="s">
        <v>62</v>
      </c>
      <c r="H5" s="157" t="s">
        <v>63</v>
      </c>
    </row>
    <row r="6" spans="1:8">
      <c r="A6" s="22" t="s">
        <v>4</v>
      </c>
      <c r="B6" s="22" t="s">
        <v>59</v>
      </c>
      <c r="C6" s="22" t="s">
        <v>19</v>
      </c>
      <c r="D6" s="156"/>
      <c r="E6" s="156"/>
      <c r="F6" s="156"/>
      <c r="G6" s="158"/>
      <c r="H6" s="158"/>
    </row>
    <row r="7" spans="1:8">
      <c r="A7" s="16">
        <v>0</v>
      </c>
      <c r="B7" s="65">
        <v>-0.16666666666666666</v>
      </c>
      <c r="C7" s="16">
        <v>1</v>
      </c>
      <c r="D7" s="42">
        <v>0.191</v>
      </c>
      <c r="E7" s="42">
        <v>0.191</v>
      </c>
      <c r="F7" s="42">
        <v>0.192</v>
      </c>
      <c r="G7" s="16">
        <f>(C7*1000*AVERAGE(D7:F7))/$B$2</f>
        <v>2.1240378922439316</v>
      </c>
      <c r="H7" s="19">
        <f>(C7*1000*STDEV(D7:F7))/$B$2</f>
        <v>6.4093058302578405E-3</v>
      </c>
    </row>
    <row r="8" spans="1:8">
      <c r="A8" s="16">
        <v>0</v>
      </c>
      <c r="B8" s="65">
        <v>0.16666666666666666</v>
      </c>
      <c r="C8" s="16">
        <v>1</v>
      </c>
      <c r="D8" s="42">
        <v>0.214</v>
      </c>
      <c r="E8" s="42">
        <v>0.214</v>
      </c>
      <c r="F8" s="42">
        <v>0.214</v>
      </c>
      <c r="G8" s="16">
        <f t="shared" ref="G8:G17" si="0">(C8*1000*AVERAGE(D8:F8))/$B$2</f>
        <v>2.3756660746003555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1</v>
      </c>
      <c r="D9" s="42">
        <v>0.215</v>
      </c>
      <c r="E9" s="42">
        <v>0.214</v>
      </c>
      <c r="F9" s="42">
        <v>0.21199999999999999</v>
      </c>
      <c r="G9" s="16">
        <f t="shared" si="0"/>
        <v>2.3719656601539376</v>
      </c>
      <c r="H9" s="19">
        <f t="shared" si="1"/>
        <v>1.6957429303418606E-2</v>
      </c>
    </row>
    <row r="10" spans="1:8">
      <c r="A10" s="16">
        <v>2</v>
      </c>
      <c r="B10" s="65">
        <v>3.3333333333333335</v>
      </c>
      <c r="C10" s="16">
        <v>1</v>
      </c>
      <c r="D10" s="42">
        <v>0.21299999999999999</v>
      </c>
      <c r="E10" s="42">
        <v>0.21199999999999999</v>
      </c>
      <c r="F10" s="42">
        <v>0.214</v>
      </c>
      <c r="G10" s="16">
        <f t="shared" si="0"/>
        <v>2.3645648312611014</v>
      </c>
      <c r="H10" s="19">
        <f t="shared" si="1"/>
        <v>1.1101243339254007E-2</v>
      </c>
    </row>
    <row r="11" spans="1:8">
      <c r="A11" s="16">
        <v>3</v>
      </c>
      <c r="B11" s="65">
        <v>4.666666666666667</v>
      </c>
      <c r="C11" s="16">
        <v>1</v>
      </c>
      <c r="D11" s="42">
        <v>0.20899999999999999</v>
      </c>
      <c r="E11" s="42">
        <v>0.20899999999999999</v>
      </c>
      <c r="F11" s="42">
        <v>0.20899999999999999</v>
      </c>
      <c r="G11" s="16">
        <f t="shared" si="0"/>
        <v>2.3201598579040854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1</v>
      </c>
      <c r="D12" s="61">
        <v>0.20899999999999999</v>
      </c>
      <c r="E12" s="61">
        <v>0.21</v>
      </c>
      <c r="F12" s="61">
        <v>0.21</v>
      </c>
      <c r="G12" s="16">
        <f t="shared" si="0"/>
        <v>2.3275606867969212</v>
      </c>
      <c r="H12" s="19">
        <f t="shared" si="1"/>
        <v>6.4093058302578405E-3</v>
      </c>
    </row>
    <row r="13" spans="1:8">
      <c r="A13" s="16">
        <v>5</v>
      </c>
      <c r="B13" s="65">
        <v>7.333333333333333</v>
      </c>
      <c r="C13" s="16">
        <v>1</v>
      </c>
      <c r="D13" s="61">
        <v>0.21199999999999999</v>
      </c>
      <c r="E13" s="61">
        <v>0.21299999999999999</v>
      </c>
      <c r="F13" s="61">
        <v>0.215</v>
      </c>
      <c r="G13" s="16">
        <f t="shared" si="0"/>
        <v>2.3682652457075193</v>
      </c>
      <c r="H13" s="19">
        <f t="shared" si="1"/>
        <v>1.6957429303418606E-2</v>
      </c>
    </row>
    <row r="14" spans="1:8">
      <c r="A14" s="16">
        <v>6</v>
      </c>
      <c r="B14" s="65">
        <v>8.6666666666666661</v>
      </c>
      <c r="C14" s="16">
        <v>1</v>
      </c>
      <c r="D14" s="61">
        <v>0.217</v>
      </c>
      <c r="E14" s="61">
        <v>0.219</v>
      </c>
      <c r="F14" s="61">
        <v>0.215</v>
      </c>
      <c r="G14" s="16">
        <f t="shared" si="0"/>
        <v>2.4089698046181174</v>
      </c>
      <c r="H14" s="19">
        <f t="shared" si="1"/>
        <v>2.2202486678508014E-2</v>
      </c>
    </row>
    <row r="15" spans="1:8">
      <c r="A15" s="16">
        <v>7</v>
      </c>
      <c r="B15" s="65">
        <v>10</v>
      </c>
      <c r="C15" s="16">
        <v>1</v>
      </c>
      <c r="D15" s="61">
        <v>0.23300000000000001</v>
      </c>
      <c r="E15" s="61">
        <v>0.23200000000000001</v>
      </c>
      <c r="F15" s="61">
        <v>0.23400000000000001</v>
      </c>
      <c r="G15" s="16">
        <f t="shared" si="0"/>
        <v>2.5865896980461813</v>
      </c>
      <c r="H15" s="19">
        <f t="shared" si="1"/>
        <v>1.1101243339254007E-2</v>
      </c>
    </row>
    <row r="16" spans="1:8">
      <c r="A16" s="16">
        <v>8</v>
      </c>
      <c r="B16" s="65">
        <v>11.333333333333334</v>
      </c>
      <c r="C16" s="16">
        <v>1</v>
      </c>
      <c r="D16" s="61">
        <v>0.33100000000000002</v>
      </c>
      <c r="E16" s="61">
        <v>0.33600000000000002</v>
      </c>
      <c r="F16" s="61">
        <v>0.33300000000000002</v>
      </c>
      <c r="G16" s="16">
        <f t="shared" si="0"/>
        <v>3.7004144464179989</v>
      </c>
      <c r="H16" s="19">
        <f t="shared" si="1"/>
        <v>2.7937516412339981E-2</v>
      </c>
    </row>
    <row r="17" spans="1:8">
      <c r="A17" s="16">
        <v>9</v>
      </c>
      <c r="B17" s="65">
        <v>12.666666666666666</v>
      </c>
      <c r="C17" s="16">
        <v>1</v>
      </c>
      <c r="D17" s="61">
        <v>0.38</v>
      </c>
      <c r="E17" s="61">
        <v>0.38600000000000001</v>
      </c>
      <c r="F17" s="61">
        <v>0.38500000000000001</v>
      </c>
      <c r="G17" s="16">
        <f t="shared" si="0"/>
        <v>4.2591770278271159</v>
      </c>
      <c r="H17" s="19">
        <f t="shared" si="1"/>
        <v>3.5685504592188298E-2</v>
      </c>
    </row>
    <row r="18" spans="1:8">
      <c r="A18" s="16">
        <v>10</v>
      </c>
      <c r="B18" s="65">
        <v>14</v>
      </c>
      <c r="C18" s="16">
        <v>1</v>
      </c>
      <c r="D18" s="42">
        <v>0.39200000000000002</v>
      </c>
      <c r="E18" s="42">
        <v>0.39800000000000002</v>
      </c>
      <c r="F18" s="42">
        <v>0.4</v>
      </c>
      <c r="G18" s="16">
        <f t="shared" ref="G18:G24" si="2">(C18*1000*AVERAGE(D18:F18))/$B$2</f>
        <v>4.4034931912374189</v>
      </c>
      <c r="H18" s="19">
        <f t="shared" ref="H18:H24" si="3">(C18*1000*STDEV(D18:F18))/$B$2</f>
        <v>4.6218161622249884E-2</v>
      </c>
    </row>
    <row r="19" spans="1:8">
      <c r="A19" s="16">
        <v>11</v>
      </c>
      <c r="B19" s="65">
        <v>15.333333333333334</v>
      </c>
      <c r="C19" s="16">
        <v>1</v>
      </c>
      <c r="D19" s="61">
        <v>0.41099999999999998</v>
      </c>
      <c r="E19" s="61">
        <v>0.41099999999999998</v>
      </c>
      <c r="F19" s="61">
        <v>0.41799999999999998</v>
      </c>
      <c r="G19" s="16">
        <f t="shared" si="2"/>
        <v>4.5885139135583186</v>
      </c>
      <c r="H19" s="19">
        <f t="shared" si="3"/>
        <v>4.4865140811804878E-2</v>
      </c>
    </row>
    <row r="20" spans="1:8">
      <c r="A20" s="16">
        <v>12</v>
      </c>
      <c r="B20" s="65">
        <v>16.666666666666668</v>
      </c>
      <c r="C20" s="16">
        <v>1</v>
      </c>
      <c r="D20" s="61">
        <v>0.432</v>
      </c>
      <c r="E20" s="61">
        <v>0.43099999999999999</v>
      </c>
      <c r="F20" s="61">
        <v>0.433</v>
      </c>
      <c r="G20" s="16">
        <f t="shared" si="2"/>
        <v>4.7957371225577266</v>
      </c>
      <c r="H20" s="19">
        <f t="shared" si="3"/>
        <v>1.1101243339254007E-2</v>
      </c>
    </row>
    <row r="21" spans="1:8">
      <c r="A21" s="16">
        <v>13</v>
      </c>
      <c r="B21" s="65">
        <v>18</v>
      </c>
      <c r="C21" s="16">
        <v>1</v>
      </c>
      <c r="D21" s="61">
        <v>0.44</v>
      </c>
      <c r="E21" s="61">
        <v>0.44400000000000001</v>
      </c>
      <c r="F21" s="61">
        <v>0.442</v>
      </c>
      <c r="G21" s="16">
        <f t="shared" si="2"/>
        <v>4.9067495559502667</v>
      </c>
      <c r="H21" s="19">
        <f t="shared" si="3"/>
        <v>2.2202486678508014E-2</v>
      </c>
    </row>
    <row r="22" spans="1:8">
      <c r="A22" s="16">
        <v>14</v>
      </c>
      <c r="B22" s="65">
        <v>24.333333333333332</v>
      </c>
      <c r="C22" s="16">
        <v>1</v>
      </c>
      <c r="D22" s="61">
        <v>0.44600000000000001</v>
      </c>
      <c r="E22" s="61">
        <v>0.442</v>
      </c>
      <c r="F22" s="61">
        <v>0.44600000000000001</v>
      </c>
      <c r="G22" s="16">
        <f t="shared" si="2"/>
        <v>4.9363528715216107</v>
      </c>
      <c r="H22" s="19">
        <f t="shared" si="3"/>
        <v>2.5637223321031362E-2</v>
      </c>
    </row>
    <row r="23" spans="1:8">
      <c r="A23" s="16">
        <v>15</v>
      </c>
      <c r="B23" s="65">
        <v>30.166666666666668</v>
      </c>
      <c r="C23" s="16">
        <v>1</v>
      </c>
      <c r="D23" s="61">
        <v>0.44400000000000001</v>
      </c>
      <c r="E23" s="61">
        <v>0.45</v>
      </c>
      <c r="F23" s="61">
        <v>0.44500000000000001</v>
      </c>
      <c r="G23" s="16">
        <f t="shared" si="2"/>
        <v>4.9548549437537002</v>
      </c>
      <c r="H23" s="19">
        <f t="shared" si="3"/>
        <v>3.5685504592188298E-2</v>
      </c>
    </row>
    <row r="24" spans="1:8">
      <c r="A24" s="16">
        <v>16</v>
      </c>
      <c r="B24" s="65">
        <v>48</v>
      </c>
      <c r="C24" s="16">
        <v>1</v>
      </c>
      <c r="D24" s="42">
        <v>0.44400000000000001</v>
      </c>
      <c r="E24" s="42">
        <v>0.45</v>
      </c>
      <c r="F24" s="42">
        <v>0.44700000000000001</v>
      </c>
      <c r="G24" s="16">
        <f t="shared" si="2"/>
        <v>4.9622557726465368</v>
      </c>
      <c r="H24" s="19">
        <f t="shared" si="3"/>
        <v>3.3303730017762018E-2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8" sqref="B8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43</v>
      </c>
      <c r="B2" s="17">
        <v>46.07</v>
      </c>
    </row>
    <row r="4" spans="1:8">
      <c r="A4" s="151" t="s">
        <v>43</v>
      </c>
      <c r="B4" s="152"/>
      <c r="C4" s="152"/>
      <c r="D4" s="152"/>
      <c r="E4" s="152"/>
      <c r="F4" s="152"/>
      <c r="G4" s="152"/>
      <c r="H4" s="153"/>
    </row>
    <row r="5" spans="1:8">
      <c r="A5" s="154" t="s">
        <v>61</v>
      </c>
      <c r="B5" s="152"/>
      <c r="C5" s="153"/>
      <c r="D5" s="155" t="s">
        <v>44</v>
      </c>
      <c r="E5" s="155" t="s">
        <v>45</v>
      </c>
      <c r="F5" s="155" t="s">
        <v>46</v>
      </c>
      <c r="G5" s="157" t="s">
        <v>62</v>
      </c>
      <c r="H5" s="157" t="s">
        <v>63</v>
      </c>
    </row>
    <row r="6" spans="1:8">
      <c r="A6" s="22" t="s">
        <v>4</v>
      </c>
      <c r="B6" s="22" t="s">
        <v>59</v>
      </c>
      <c r="C6" s="22" t="s">
        <v>19</v>
      </c>
      <c r="D6" s="156"/>
      <c r="E6" s="156"/>
      <c r="F6" s="156"/>
      <c r="G6" s="158"/>
      <c r="H6" s="158"/>
    </row>
    <row r="7" spans="1:8">
      <c r="A7" s="16">
        <v>0</v>
      </c>
      <c r="B7" s="65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4" si="2">(C18*1000*AVERAGE(D18:F18))/$B$2</f>
        <v>0</v>
      </c>
      <c r="H18" s="19">
        <f t="shared" ref="H18:H24" si="3">(C18*1000*STDEV(D18:F18))/$B$2</f>
        <v>0</v>
      </c>
    </row>
    <row r="19" spans="1:8">
      <c r="A19" s="16">
        <v>11</v>
      </c>
      <c r="B19" s="65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5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5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5">
        <v>24.333333333333332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5">
        <v>30.166666666666668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16">
        <v>16</v>
      </c>
      <c r="B24" s="65">
        <v>48</v>
      </c>
      <c r="C24" s="16">
        <v>2</v>
      </c>
      <c r="D24" s="18">
        <v>0</v>
      </c>
      <c r="E24" s="18">
        <v>0</v>
      </c>
      <c r="F24" s="18">
        <v>0</v>
      </c>
      <c r="G24" s="16">
        <f t="shared" si="2"/>
        <v>0</v>
      </c>
      <c r="H24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topLeftCell="A7" workbookViewId="0">
      <selection activeCell="P41" sqref="P41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30" t="s">
        <v>77</v>
      </c>
      <c r="C1" s="30" t="s">
        <v>78</v>
      </c>
    </row>
    <row r="2" spans="1:4">
      <c r="A2" s="30" t="s">
        <v>135</v>
      </c>
      <c r="B2" s="77">
        <f>Metabolites!H4-Metabolites!H20</f>
        <v>49.380587019188766</v>
      </c>
      <c r="C2" s="77">
        <f>Metabolites!I4+Metabolites!I20</f>
        <v>0.45173855763464127</v>
      </c>
      <c r="D2" s="77"/>
    </row>
    <row r="3" spans="1:4">
      <c r="A3" s="30" t="s">
        <v>110</v>
      </c>
      <c r="B3" s="77">
        <f>Metabolites!P4-Metabolites!P20</f>
        <v>23.370213523416925</v>
      </c>
      <c r="C3" s="77">
        <f>Metabolites!Q4+Metabolites!Q20</f>
        <v>0.58424468110079497</v>
      </c>
      <c r="D3" s="77"/>
    </row>
    <row r="4" spans="1:4">
      <c r="A4" s="30" t="s">
        <v>111</v>
      </c>
      <c r="B4" s="77">
        <f>Metabolites!T20-Metabolites!T4</f>
        <v>8.1551620623821321</v>
      </c>
      <c r="C4" s="77">
        <f>Metabolites!U4+Metabolites!U20</f>
        <v>0.14930910746894194</v>
      </c>
      <c r="D4" s="77"/>
    </row>
    <row r="5" spans="1:4">
      <c r="A5" s="30" t="s">
        <v>112</v>
      </c>
      <c r="B5" s="77">
        <f>Metabolites!L20-Metabolites!L4</f>
        <v>2.8355687399676648</v>
      </c>
      <c r="C5" s="77">
        <f>Metabolites!M20+Metabolites!M4</f>
        <v>3.5027005930638087E-2</v>
      </c>
      <c r="D5" s="77"/>
    </row>
    <row r="6" spans="1:4">
      <c r="A6" s="30" t="s">
        <v>113</v>
      </c>
      <c r="B6" s="77">
        <f>Metabolites!L41-Metabolites!L25</f>
        <v>62.988920479610123</v>
      </c>
      <c r="C6" s="77">
        <f>Metabolites!M41+Metabolites!M25</f>
        <v>0.29141233195691513</v>
      </c>
      <c r="D6" s="77"/>
    </row>
    <row r="7" spans="1:4">
      <c r="A7" s="30" t="s">
        <v>79</v>
      </c>
      <c r="B7" s="77">
        <f>'H2'!G101</f>
        <v>68.715169788745783</v>
      </c>
      <c r="C7" s="77"/>
      <c r="D7" s="77"/>
    </row>
    <row r="8" spans="1:4">
      <c r="A8" s="30" t="s">
        <v>80</v>
      </c>
      <c r="B8" s="77">
        <f>'CO2'!G101</f>
        <v>84.545773874237298</v>
      </c>
      <c r="C8" s="77"/>
      <c r="D8" s="77"/>
    </row>
    <row r="9" spans="1:4">
      <c r="A9" s="30" t="s">
        <v>115</v>
      </c>
      <c r="B9" s="77">
        <f xml:space="preserve"> Calculation!G20*1.5/1000</f>
        <v>8.5500000000000007E-2</v>
      </c>
      <c r="C9" s="77"/>
      <c r="D9" s="77"/>
    </row>
    <row r="10" spans="1:4" ht="16">
      <c r="A10" s="30" t="s">
        <v>116</v>
      </c>
      <c r="B10" s="77">
        <f>Calculation!H20*1.5/1000</f>
        <v>1.0500000000000001E-2</v>
      </c>
      <c r="C10" s="77"/>
      <c r="D10" s="77"/>
    </row>
    <row r="12" spans="1:4">
      <c r="A12" s="30" t="s">
        <v>81</v>
      </c>
      <c r="B12" s="79">
        <f>((4*$B$6)+(3*$B$5)+($B$4)+(B8))/((6*$B$2)+(2*$B$3))</f>
        <v>1.0295587959317936</v>
      </c>
    </row>
    <row r="13" spans="1:4">
      <c r="A13" s="30" t="s">
        <v>114</v>
      </c>
    </row>
    <row r="15" spans="1:4">
      <c r="C15" t="s">
        <v>126</v>
      </c>
      <c r="D15" t="s">
        <v>127</v>
      </c>
    </row>
    <row r="16" spans="1:4">
      <c r="A16" t="s">
        <v>164</v>
      </c>
      <c r="B16" t="s">
        <v>118</v>
      </c>
      <c r="C16" s="31">
        <f>B2</f>
        <v>49.380587019188766</v>
      </c>
      <c r="D16" s="31">
        <f>B2</f>
        <v>49.380587019188766</v>
      </c>
    </row>
    <row r="17" spans="1:5">
      <c r="A17" t="s">
        <v>165</v>
      </c>
      <c r="B17" t="s">
        <v>119</v>
      </c>
      <c r="C17" s="77">
        <f>2*C16</f>
        <v>98.761174038377533</v>
      </c>
      <c r="D17" s="77">
        <f>2*B2</f>
        <v>98.761174038377533</v>
      </c>
    </row>
    <row r="18" spans="1:5">
      <c r="A18" t="s">
        <v>166</v>
      </c>
      <c r="B18" t="s">
        <v>120</v>
      </c>
      <c r="C18" s="77">
        <f>B5</f>
        <v>2.8355687399676648</v>
      </c>
      <c r="D18" s="77">
        <f>B5</f>
        <v>2.8355687399676648</v>
      </c>
    </row>
    <row r="19" spans="1:5">
      <c r="A19" t="s">
        <v>167</v>
      </c>
      <c r="B19" t="s">
        <v>129</v>
      </c>
      <c r="C19" s="77">
        <f>B4</f>
        <v>8.1551620623821321</v>
      </c>
      <c r="D19" s="77">
        <f>B4</f>
        <v>8.1551620623821321</v>
      </c>
    </row>
    <row r="20" spans="1:5">
      <c r="A20" t="s">
        <v>168</v>
      </c>
      <c r="B20" t="s">
        <v>121</v>
      </c>
      <c r="C20" s="82">
        <f>C17-C18</f>
        <v>95.925605298409863</v>
      </c>
      <c r="D20" s="82">
        <f>B8</f>
        <v>84.545773874237298</v>
      </c>
    </row>
    <row r="21" spans="1:5">
      <c r="A21" t="s">
        <v>169</v>
      </c>
      <c r="B21" s="80" t="s">
        <v>130</v>
      </c>
      <c r="C21" s="81">
        <f>C20-C19</f>
        <v>87.770443236027731</v>
      </c>
      <c r="D21" s="78">
        <f>B8</f>
        <v>84.545773874237298</v>
      </c>
    </row>
    <row r="22" spans="1:5">
      <c r="A22" t="s">
        <v>170</v>
      </c>
      <c r="B22" t="s">
        <v>122</v>
      </c>
      <c r="C22" s="77">
        <f>B3</f>
        <v>23.370213523416925</v>
      </c>
      <c r="D22" s="77">
        <f>B3</f>
        <v>23.370213523416925</v>
      </c>
    </row>
    <row r="23" spans="1:5">
      <c r="A23" t="s">
        <v>171</v>
      </c>
      <c r="B23" t="s">
        <v>138</v>
      </c>
      <c r="C23" s="77">
        <f>C20+C22</f>
        <v>119.29581882182678</v>
      </c>
      <c r="D23" s="77"/>
    </row>
    <row r="24" spans="1:5">
      <c r="A24" t="s">
        <v>172</v>
      </c>
      <c r="B24" t="s">
        <v>123</v>
      </c>
      <c r="C24" s="81">
        <f>C23/2</f>
        <v>59.647909410913392</v>
      </c>
      <c r="D24" s="81">
        <f>B6</f>
        <v>62.988920479610123</v>
      </c>
    </row>
    <row r="25" spans="1:5">
      <c r="A25" t="s">
        <v>143</v>
      </c>
      <c r="B25" t="s">
        <v>128</v>
      </c>
      <c r="C25" s="77">
        <f>C20-C22</f>
        <v>72.555391774992941</v>
      </c>
      <c r="D25" s="77">
        <f>B7</f>
        <v>68.715169788745783</v>
      </c>
    </row>
    <row r="26" spans="1:5">
      <c r="A26" t="s">
        <v>173</v>
      </c>
      <c r="B26" t="s">
        <v>137</v>
      </c>
      <c r="C26" s="81">
        <f>C25-C19</f>
        <v>64.400229712610809</v>
      </c>
      <c r="D26" s="81">
        <f>D25+F25</f>
        <v>68.715169788745783</v>
      </c>
      <c r="E26">
        <f>D26/1.8</f>
        <v>38.175094327080991</v>
      </c>
    </row>
    <row r="28" spans="1:5">
      <c r="A28" t="s">
        <v>124</v>
      </c>
    </row>
    <row r="29" spans="1:5">
      <c r="A29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1" workbookViewId="0">
      <selection activeCell="D4" sqref="D4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126" t="s">
        <v>4</v>
      </c>
      <c r="B1" s="126" t="s">
        <v>104</v>
      </c>
      <c r="C1" s="126" t="s">
        <v>104</v>
      </c>
      <c r="D1" s="126" t="s">
        <v>5</v>
      </c>
      <c r="E1" s="4" t="s">
        <v>7</v>
      </c>
      <c r="F1" s="4" t="s">
        <v>9</v>
      </c>
      <c r="G1" s="122" t="s">
        <v>11</v>
      </c>
      <c r="H1" s="122" t="s">
        <v>12</v>
      </c>
      <c r="I1" s="4" t="s">
        <v>13</v>
      </c>
      <c r="J1" s="4" t="s">
        <v>16</v>
      </c>
      <c r="K1" s="4" t="s">
        <v>16</v>
      </c>
    </row>
    <row r="2" spans="1:11">
      <c r="A2" s="127"/>
      <c r="B2" s="127"/>
      <c r="C2" s="127"/>
      <c r="D2" s="127"/>
      <c r="E2" s="5" t="s">
        <v>8</v>
      </c>
      <c r="F2" s="5" t="s">
        <v>10</v>
      </c>
      <c r="G2" s="122"/>
      <c r="H2" s="122"/>
      <c r="I2" s="5" t="s">
        <v>14</v>
      </c>
      <c r="J2" s="5" t="s">
        <v>17</v>
      </c>
      <c r="K2" s="5" t="s">
        <v>139</v>
      </c>
    </row>
    <row r="3" spans="1:11">
      <c r="A3" s="33" t="s">
        <v>6</v>
      </c>
      <c r="B3" s="52">
        <v>-10</v>
      </c>
      <c r="C3" s="53">
        <v>-10</v>
      </c>
      <c r="D3" s="65">
        <f>C3/60</f>
        <v>-0.16666666666666666</v>
      </c>
      <c r="E3" s="3">
        <v>50</v>
      </c>
      <c r="F3" s="1">
        <f>E3</f>
        <v>50</v>
      </c>
      <c r="G3" s="1">
        <v>0</v>
      </c>
      <c r="H3" s="1">
        <v>0</v>
      </c>
      <c r="I3" s="1">
        <f>F22+G3+H3</f>
        <v>1500</v>
      </c>
      <c r="J3" s="13">
        <f>F3*1500/I3</f>
        <v>50</v>
      </c>
      <c r="K3" s="13">
        <f>F23-J3</f>
        <v>1525</v>
      </c>
    </row>
    <row r="4" spans="1:11">
      <c r="A4" s="1">
        <v>0</v>
      </c>
      <c r="B4" s="54">
        <v>10</v>
      </c>
      <c r="C4" s="55">
        <v>10</v>
      </c>
      <c r="D4" s="65">
        <f t="shared" ref="D4:D19" si="0">C4/60</f>
        <v>0.16666666666666666</v>
      </c>
      <c r="E4" s="1">
        <v>55</v>
      </c>
      <c r="F4" s="1">
        <f>E4+F3</f>
        <v>105</v>
      </c>
      <c r="G4" s="1">
        <v>5</v>
      </c>
      <c r="H4" s="40">
        <v>0</v>
      </c>
      <c r="I4" s="1">
        <f t="shared" ref="I4:I19" si="1">$F$23-F3+G4+H4</f>
        <v>1530</v>
      </c>
      <c r="J4" s="13">
        <f>E4*K3/I4</f>
        <v>54.820261437908499</v>
      </c>
      <c r="K4" s="13">
        <f>K3-J4</f>
        <v>1470.1797385620914</v>
      </c>
    </row>
    <row r="5" spans="1:11">
      <c r="A5" s="1">
        <v>1</v>
      </c>
      <c r="B5" s="54">
        <v>110</v>
      </c>
      <c r="C5" s="55">
        <f>C4+B5</f>
        <v>120</v>
      </c>
      <c r="D5" s="65">
        <f t="shared" si="0"/>
        <v>2</v>
      </c>
      <c r="E5" s="1">
        <v>46</v>
      </c>
      <c r="F5" s="40">
        <f t="shared" ref="F5:F18" si="2">E5+F4</f>
        <v>151</v>
      </c>
      <c r="G5" s="40">
        <v>6</v>
      </c>
      <c r="H5" s="40">
        <v>0</v>
      </c>
      <c r="I5" s="40">
        <f t="shared" si="1"/>
        <v>1476</v>
      </c>
      <c r="J5" s="13">
        <f>E5*K4/I5</f>
        <v>45.818609738384957</v>
      </c>
      <c r="K5" s="13">
        <f>K4-J5</f>
        <v>1424.3611288237064</v>
      </c>
    </row>
    <row r="6" spans="1:11">
      <c r="A6" s="1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1">
        <v>49</v>
      </c>
      <c r="F6" s="40">
        <f t="shared" si="2"/>
        <v>200</v>
      </c>
      <c r="G6" s="40">
        <v>11</v>
      </c>
      <c r="H6" s="40">
        <v>0</v>
      </c>
      <c r="I6" s="40">
        <f t="shared" si="1"/>
        <v>1435</v>
      </c>
      <c r="J6" s="13">
        <f t="shared" ref="J6:J19" si="4">E6*K5/I6</f>
        <v>48.636721472028995</v>
      </c>
      <c r="K6" s="13">
        <f>K5-J6</f>
        <v>1375.7244073516774</v>
      </c>
    </row>
    <row r="7" spans="1:11">
      <c r="A7" s="1">
        <v>3</v>
      </c>
      <c r="B7" s="54">
        <v>80</v>
      </c>
      <c r="C7" s="55">
        <f>C6+B7</f>
        <v>280</v>
      </c>
      <c r="D7" s="65">
        <f t="shared" si="0"/>
        <v>4.666666666666667</v>
      </c>
      <c r="E7" s="1">
        <v>52</v>
      </c>
      <c r="F7" s="40">
        <f t="shared" si="2"/>
        <v>252</v>
      </c>
      <c r="G7" s="40">
        <v>19</v>
      </c>
      <c r="H7" s="40">
        <v>0</v>
      </c>
      <c r="I7" s="40">
        <f t="shared" si="1"/>
        <v>1394</v>
      </c>
      <c r="J7" s="13">
        <f t="shared" si="4"/>
        <v>51.318270575528857</v>
      </c>
      <c r="K7" s="13">
        <f t="shared" ref="K7:K19" si="5">K6-J7</f>
        <v>1324.4061367761485</v>
      </c>
    </row>
    <row r="8" spans="1:11">
      <c r="A8" s="1">
        <v>4</v>
      </c>
      <c r="B8" s="54">
        <v>80</v>
      </c>
      <c r="C8" s="55">
        <f t="shared" si="3"/>
        <v>360</v>
      </c>
      <c r="D8" s="65">
        <f t="shared" si="0"/>
        <v>6</v>
      </c>
      <c r="E8" s="1">
        <v>44</v>
      </c>
      <c r="F8" s="40">
        <f t="shared" si="2"/>
        <v>296</v>
      </c>
      <c r="G8" s="40">
        <v>26</v>
      </c>
      <c r="H8" s="40">
        <v>0</v>
      </c>
      <c r="I8" s="40">
        <f t="shared" si="1"/>
        <v>1349</v>
      </c>
      <c r="J8" s="13">
        <f t="shared" si="4"/>
        <v>43.197828034210922</v>
      </c>
      <c r="K8" s="13">
        <f t="shared" si="5"/>
        <v>1281.2083087419376</v>
      </c>
    </row>
    <row r="9" spans="1:11">
      <c r="A9" s="1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1">
        <v>51</v>
      </c>
      <c r="F9" s="40">
        <f>E9+F8</f>
        <v>347</v>
      </c>
      <c r="G9" s="40">
        <v>33</v>
      </c>
      <c r="H9" s="40">
        <v>0</v>
      </c>
      <c r="I9" s="40">
        <f t="shared" si="1"/>
        <v>1312</v>
      </c>
      <c r="J9" s="13">
        <f t="shared" si="4"/>
        <v>49.803066879450313</v>
      </c>
      <c r="K9" s="13">
        <f>K8-J9</f>
        <v>1231.4052418624872</v>
      </c>
    </row>
    <row r="10" spans="1:11">
      <c r="A10" s="1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1">
        <v>57</v>
      </c>
      <c r="F10" s="40">
        <f t="shared" si="2"/>
        <v>404</v>
      </c>
      <c r="G10" s="40">
        <v>39</v>
      </c>
      <c r="H10" s="40">
        <v>0</v>
      </c>
      <c r="I10" s="40">
        <f t="shared" si="1"/>
        <v>1267</v>
      </c>
      <c r="J10" s="13">
        <f t="shared" si="4"/>
        <v>55.398657289788297</v>
      </c>
      <c r="K10" s="13">
        <f>K9-J10</f>
        <v>1176.0065845726988</v>
      </c>
    </row>
    <row r="11" spans="1:11">
      <c r="A11" s="1">
        <v>7</v>
      </c>
      <c r="B11" s="54">
        <v>80</v>
      </c>
      <c r="C11" s="55">
        <f t="shared" si="3"/>
        <v>600</v>
      </c>
      <c r="D11" s="65">
        <f t="shared" si="0"/>
        <v>10</v>
      </c>
      <c r="E11" s="1">
        <v>51</v>
      </c>
      <c r="F11" s="40">
        <f t="shared" si="2"/>
        <v>455</v>
      </c>
      <c r="G11" s="40">
        <v>47</v>
      </c>
      <c r="H11" s="40">
        <v>0</v>
      </c>
      <c r="I11" s="40">
        <f t="shared" si="1"/>
        <v>1218</v>
      </c>
      <c r="J11" s="13">
        <f>E11*K10/I11</f>
        <v>49.241655019053894</v>
      </c>
      <c r="K11" s="13">
        <f t="shared" si="5"/>
        <v>1126.7649295536448</v>
      </c>
    </row>
    <row r="12" spans="1:11">
      <c r="A12" s="1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1">
        <v>50</v>
      </c>
      <c r="F12" s="40">
        <f t="shared" si="2"/>
        <v>505</v>
      </c>
      <c r="G12" s="40">
        <v>55</v>
      </c>
      <c r="H12" s="40">
        <v>0</v>
      </c>
      <c r="I12" s="40">
        <f t="shared" si="1"/>
        <v>1175</v>
      </c>
      <c r="J12" s="13">
        <f>E12*K11/I12</f>
        <v>47.947443810793402</v>
      </c>
      <c r="K12" s="13">
        <f t="shared" si="5"/>
        <v>1078.8174857428514</v>
      </c>
    </row>
    <row r="13" spans="1:11">
      <c r="A13" s="1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3">
        <v>48</v>
      </c>
      <c r="F13" s="40">
        <f t="shared" si="2"/>
        <v>553</v>
      </c>
      <c r="G13" s="40">
        <v>57</v>
      </c>
      <c r="H13" s="40">
        <v>2</v>
      </c>
      <c r="I13" s="40">
        <f t="shared" si="1"/>
        <v>1129</v>
      </c>
      <c r="J13" s="13">
        <f>E13*K12/I13</f>
        <v>45.866465292875887</v>
      </c>
      <c r="K13" s="13">
        <f t="shared" si="5"/>
        <v>1032.9510204499757</v>
      </c>
    </row>
    <row r="14" spans="1:11">
      <c r="A14" s="37">
        <v>10</v>
      </c>
      <c r="B14" s="54">
        <v>80</v>
      </c>
      <c r="C14" s="55">
        <f t="shared" si="3"/>
        <v>840</v>
      </c>
      <c r="D14" s="65">
        <f t="shared" si="0"/>
        <v>14</v>
      </c>
      <c r="E14" s="37">
        <v>54</v>
      </c>
      <c r="F14" s="40">
        <f t="shared" si="2"/>
        <v>607</v>
      </c>
      <c r="G14" s="40">
        <v>57</v>
      </c>
      <c r="H14" s="40">
        <v>4</v>
      </c>
      <c r="I14" s="40">
        <f t="shared" si="1"/>
        <v>1083</v>
      </c>
      <c r="J14" s="13">
        <f t="shared" si="4"/>
        <v>51.504483014126215</v>
      </c>
      <c r="K14" s="13">
        <f t="shared" si="5"/>
        <v>981.44653743584945</v>
      </c>
    </row>
    <row r="15" spans="1:11">
      <c r="A15" s="37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37">
        <v>55</v>
      </c>
      <c r="F15" s="40">
        <f t="shared" si="2"/>
        <v>662</v>
      </c>
      <c r="G15" s="40">
        <v>57</v>
      </c>
      <c r="H15" s="40">
        <v>5</v>
      </c>
      <c r="I15" s="40">
        <f t="shared" si="1"/>
        <v>1030</v>
      </c>
      <c r="J15" s="13">
        <f t="shared" si="4"/>
        <v>52.407339377642444</v>
      </c>
      <c r="K15" s="13">
        <f t="shared" si="5"/>
        <v>929.03919805820703</v>
      </c>
    </row>
    <row r="16" spans="1:11">
      <c r="A16" s="37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37">
        <v>48</v>
      </c>
      <c r="F16" s="40">
        <f t="shared" si="2"/>
        <v>710</v>
      </c>
      <c r="G16" s="40">
        <v>57</v>
      </c>
      <c r="H16" s="40">
        <v>6</v>
      </c>
      <c r="I16" s="40">
        <f t="shared" si="1"/>
        <v>976</v>
      </c>
      <c r="J16" s="13">
        <f t="shared" si="4"/>
        <v>45.690452363518375</v>
      </c>
      <c r="K16" s="13">
        <f t="shared" si="5"/>
        <v>883.34874569468866</v>
      </c>
    </row>
    <row r="17" spans="1:11">
      <c r="A17" s="37">
        <v>13</v>
      </c>
      <c r="B17" s="54">
        <v>80</v>
      </c>
      <c r="C17" s="55">
        <f t="shared" si="3"/>
        <v>1080</v>
      </c>
      <c r="D17" s="65">
        <f t="shared" si="0"/>
        <v>18</v>
      </c>
      <c r="E17" s="37">
        <v>50</v>
      </c>
      <c r="F17" s="40">
        <f t="shared" si="2"/>
        <v>760</v>
      </c>
      <c r="G17" s="40">
        <v>57</v>
      </c>
      <c r="H17" s="40">
        <v>6</v>
      </c>
      <c r="I17" s="40">
        <f t="shared" si="1"/>
        <v>928</v>
      </c>
      <c r="J17" s="13">
        <f t="shared" si="4"/>
        <v>47.594221211998317</v>
      </c>
      <c r="K17" s="13">
        <f t="shared" si="5"/>
        <v>835.75452448269039</v>
      </c>
    </row>
    <row r="18" spans="1:11">
      <c r="A18" s="37">
        <v>14</v>
      </c>
      <c r="B18" s="54">
        <v>380</v>
      </c>
      <c r="C18" s="55">
        <f t="shared" si="3"/>
        <v>1460</v>
      </c>
      <c r="D18" s="65">
        <f t="shared" si="0"/>
        <v>24.333333333333332</v>
      </c>
      <c r="E18" s="2">
        <v>52</v>
      </c>
      <c r="F18" s="40">
        <f t="shared" si="2"/>
        <v>812</v>
      </c>
      <c r="G18" s="40">
        <v>57</v>
      </c>
      <c r="H18" s="40">
        <v>7</v>
      </c>
      <c r="I18" s="40">
        <f t="shared" si="1"/>
        <v>879</v>
      </c>
      <c r="J18" s="13">
        <f t="shared" si="4"/>
        <v>49.4416783539248</v>
      </c>
      <c r="K18" s="13">
        <f>K17-J18</f>
        <v>786.31284612876561</v>
      </c>
    </row>
    <row r="19" spans="1:11">
      <c r="A19" s="37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37">
        <v>52</v>
      </c>
      <c r="F19" s="40">
        <f>E19+F18</f>
        <v>864</v>
      </c>
      <c r="G19" s="40">
        <v>57</v>
      </c>
      <c r="H19" s="40">
        <v>7</v>
      </c>
      <c r="I19" s="40">
        <f t="shared" si="1"/>
        <v>827</v>
      </c>
      <c r="J19" s="13">
        <f t="shared" si="4"/>
        <v>49.4416783539248</v>
      </c>
      <c r="K19" s="13">
        <f t="shared" si="5"/>
        <v>736.87116777484084</v>
      </c>
    </row>
    <row r="20" spans="1:11">
      <c r="A20" s="40">
        <v>16</v>
      </c>
      <c r="B20" s="54">
        <v>1070</v>
      </c>
      <c r="C20" s="55">
        <f>C19+B20</f>
        <v>2880</v>
      </c>
      <c r="D20" s="65">
        <f t="shared" ref="D20" si="6">C20/60</f>
        <v>48</v>
      </c>
      <c r="E20" s="40">
        <v>93</v>
      </c>
      <c r="F20" s="40">
        <f>E20+F19</f>
        <v>957</v>
      </c>
      <c r="G20" s="40">
        <v>57</v>
      </c>
      <c r="H20" s="40">
        <v>7</v>
      </c>
      <c r="I20" s="40">
        <f t="shared" ref="I20" si="7">$F$23-F19+G20+H20</f>
        <v>775</v>
      </c>
      <c r="J20" s="13">
        <f>E20*K19/I20</f>
        <v>88.424540132980908</v>
      </c>
      <c r="K20" s="13">
        <f>K19-J20</f>
        <v>648.44662764185989</v>
      </c>
    </row>
    <row r="22" spans="1:11">
      <c r="A22" s="119" t="s">
        <v>15</v>
      </c>
      <c r="B22" s="120"/>
      <c r="C22" s="120"/>
      <c r="D22" s="120"/>
      <c r="E22" s="121"/>
      <c r="F22" s="1">
        <v>1500</v>
      </c>
    </row>
    <row r="23" spans="1:11">
      <c r="A23" s="123" t="s">
        <v>140</v>
      </c>
      <c r="B23" s="124"/>
      <c r="C23" s="124"/>
      <c r="D23" s="124"/>
      <c r="E23" s="125"/>
      <c r="F23" s="53">
        <v>1575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4" sqref="A4:D2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6" t="s">
        <v>4</v>
      </c>
      <c r="B1" s="126" t="s">
        <v>104</v>
      </c>
      <c r="C1" s="126" t="s">
        <v>104</v>
      </c>
      <c r="D1" s="126" t="s">
        <v>5</v>
      </c>
      <c r="E1" s="131" t="s">
        <v>18</v>
      </c>
      <c r="F1" s="131"/>
      <c r="G1" s="131"/>
      <c r="H1" s="131"/>
      <c r="I1" s="131" t="s">
        <v>20</v>
      </c>
      <c r="J1" s="131"/>
      <c r="K1" s="131"/>
      <c r="L1" s="131"/>
      <c r="M1" s="131" t="s">
        <v>21</v>
      </c>
      <c r="N1" s="131"/>
      <c r="O1" s="131"/>
      <c r="P1" s="131"/>
      <c r="Q1" s="38" t="s">
        <v>22</v>
      </c>
      <c r="R1" s="38" t="s">
        <v>22</v>
      </c>
      <c r="S1" s="38" t="s">
        <v>22</v>
      </c>
    </row>
    <row r="2" spans="1:19">
      <c r="A2" s="127"/>
      <c r="B2" s="127"/>
      <c r="C2" s="127"/>
      <c r="D2" s="127"/>
      <c r="E2" s="41" t="s">
        <v>19</v>
      </c>
      <c r="F2" s="41" t="s">
        <v>67</v>
      </c>
      <c r="G2" s="41" t="s">
        <v>105</v>
      </c>
      <c r="H2" s="41" t="s">
        <v>69</v>
      </c>
      <c r="I2" s="41" t="s">
        <v>19</v>
      </c>
      <c r="J2" s="41" t="s">
        <v>67</v>
      </c>
      <c r="K2" s="41" t="s">
        <v>68</v>
      </c>
      <c r="L2" s="41" t="s">
        <v>69</v>
      </c>
      <c r="M2" s="41" t="s">
        <v>19</v>
      </c>
      <c r="N2" s="41" t="s">
        <v>67</v>
      </c>
      <c r="O2" s="41" t="s">
        <v>68</v>
      </c>
      <c r="P2" s="41" t="s">
        <v>70</v>
      </c>
      <c r="Q2" s="39" t="s">
        <v>69</v>
      </c>
      <c r="R2" s="39" t="s">
        <v>23</v>
      </c>
      <c r="S2" s="39" t="s">
        <v>71</v>
      </c>
    </row>
    <row r="3" spans="1:19" s="6" customFormat="1">
      <c r="A3" s="40" t="s">
        <v>6</v>
      </c>
      <c r="B3" s="52">
        <v>-10</v>
      </c>
      <c r="C3" s="53">
        <v>-10</v>
      </c>
      <c r="D3" s="65">
        <f>C3/60</f>
        <v>-0.16666666666666666</v>
      </c>
      <c r="Q3" s="128"/>
      <c r="R3" s="129"/>
      <c r="S3" s="130"/>
    </row>
    <row r="4" spans="1:19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40">
        <v>1</v>
      </c>
      <c r="B5" s="54">
        <v>110</v>
      </c>
      <c r="C5" s="55">
        <f>C4+B5</f>
        <v>120</v>
      </c>
      <c r="D5" s="65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40">
        <v>2</v>
      </c>
      <c r="B6" s="54">
        <v>80</v>
      </c>
      <c r="C6" s="55">
        <f t="shared" ref="C6:C18" si="2">C5+B6</f>
        <v>200</v>
      </c>
      <c r="D6" s="65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40">
        <v>4</v>
      </c>
      <c r="B8" s="54">
        <v>80</v>
      </c>
      <c r="C8" s="55">
        <f t="shared" si="2"/>
        <v>360</v>
      </c>
      <c r="D8" s="65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40">
        <v>5</v>
      </c>
      <c r="B9" s="54">
        <v>80</v>
      </c>
      <c r="C9" s="55">
        <f t="shared" si="2"/>
        <v>440</v>
      </c>
      <c r="D9" s="65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40">
        <v>6</v>
      </c>
      <c r="B10" s="54">
        <v>80</v>
      </c>
      <c r="C10" s="55">
        <f t="shared" si="2"/>
        <v>520</v>
      </c>
      <c r="D10" s="65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40">
        <v>7</v>
      </c>
      <c r="B11" s="54">
        <v>80</v>
      </c>
      <c r="C11" s="55">
        <f t="shared" si="2"/>
        <v>600</v>
      </c>
      <c r="D11" s="65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40">
        <v>8</v>
      </c>
      <c r="B12" s="54">
        <v>80</v>
      </c>
      <c r="C12" s="55">
        <f t="shared" si="2"/>
        <v>680</v>
      </c>
      <c r="D12" s="65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40">
        <v>9</v>
      </c>
      <c r="B13" s="54">
        <v>80</v>
      </c>
      <c r="C13" s="55">
        <f t="shared" si="2"/>
        <v>760</v>
      </c>
      <c r="D13" s="65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40">
        <v>10</v>
      </c>
      <c r="B14" s="54">
        <v>80</v>
      </c>
      <c r="C14" s="55">
        <f t="shared" si="2"/>
        <v>840</v>
      </c>
      <c r="D14" s="65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40">
        <v>11</v>
      </c>
      <c r="B15" s="54">
        <v>80</v>
      </c>
      <c r="C15" s="55">
        <f t="shared" si="2"/>
        <v>920</v>
      </c>
      <c r="D15" s="65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40">
        <v>12</v>
      </c>
      <c r="B16" s="54">
        <v>80</v>
      </c>
      <c r="C16" s="55">
        <f t="shared" si="2"/>
        <v>1000</v>
      </c>
      <c r="D16" s="65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40">
        <v>13</v>
      </c>
      <c r="B17" s="54">
        <v>80</v>
      </c>
      <c r="C17" s="55">
        <f t="shared" si="2"/>
        <v>1080</v>
      </c>
      <c r="D17" s="65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40">
        <v>14</v>
      </c>
      <c r="B18" s="54">
        <v>380</v>
      </c>
      <c r="C18" s="55">
        <f t="shared" si="2"/>
        <v>1460</v>
      </c>
      <c r="D18" s="65">
        <f t="shared" si="0"/>
        <v>24.333333333333332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5"/>
  <sheetViews>
    <sheetView topLeftCell="E2" workbookViewId="0">
      <selection activeCell="N27" sqref="N27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126" t="s">
        <v>4</v>
      </c>
      <c r="B1" s="126" t="s">
        <v>104</v>
      </c>
      <c r="C1" s="126" t="s">
        <v>104</v>
      </c>
      <c r="D1" s="126" t="s">
        <v>5</v>
      </c>
      <c r="E1" s="122" t="s">
        <v>106</v>
      </c>
      <c r="F1" s="122"/>
      <c r="G1" s="122"/>
      <c r="H1" s="122"/>
      <c r="I1" s="122" t="s">
        <v>107</v>
      </c>
      <c r="J1" s="122"/>
      <c r="K1" s="122"/>
      <c r="L1" s="122"/>
      <c r="M1" s="122" t="s">
        <v>108</v>
      </c>
      <c r="N1" s="122"/>
      <c r="O1" s="122"/>
      <c r="P1" s="122"/>
      <c r="Q1" s="24" t="s">
        <v>109</v>
      </c>
      <c r="R1" s="24" t="s">
        <v>109</v>
      </c>
      <c r="S1" s="24" t="s">
        <v>109</v>
      </c>
      <c r="T1" s="59" t="s">
        <v>109</v>
      </c>
      <c r="U1" s="73" t="s">
        <v>106</v>
      </c>
      <c r="V1" s="73" t="s">
        <v>107</v>
      </c>
      <c r="W1" s="73" t="s">
        <v>108</v>
      </c>
      <c r="X1" s="73" t="s">
        <v>109</v>
      </c>
    </row>
    <row r="2" spans="1:24">
      <c r="A2" s="127"/>
      <c r="B2" s="127"/>
      <c r="C2" s="127"/>
      <c r="D2" s="127"/>
      <c r="E2" s="23" t="s">
        <v>19</v>
      </c>
      <c r="F2" s="23" t="s">
        <v>67</v>
      </c>
      <c r="G2" s="23" t="s">
        <v>68</v>
      </c>
      <c r="H2" s="23" t="s">
        <v>69</v>
      </c>
      <c r="I2" s="23" t="s">
        <v>19</v>
      </c>
      <c r="J2" s="23" t="s">
        <v>67</v>
      </c>
      <c r="K2" s="23" t="s">
        <v>68</v>
      </c>
      <c r="L2" s="23" t="s">
        <v>69</v>
      </c>
      <c r="M2" s="23" t="s">
        <v>19</v>
      </c>
      <c r="N2" s="23" t="s">
        <v>67</v>
      </c>
      <c r="O2" s="23" t="s">
        <v>68</v>
      </c>
      <c r="P2" s="23" t="s">
        <v>70</v>
      </c>
      <c r="Q2" s="25" t="s">
        <v>69</v>
      </c>
      <c r="R2" s="25" t="s">
        <v>23</v>
      </c>
      <c r="S2" s="25" t="s">
        <v>71</v>
      </c>
      <c r="T2" s="60" t="s">
        <v>131</v>
      </c>
      <c r="U2" s="74" t="s">
        <v>144</v>
      </c>
      <c r="V2" s="74" t="s">
        <v>144</v>
      </c>
      <c r="W2" s="74" t="s">
        <v>144</v>
      </c>
      <c r="X2" s="74" t="s">
        <v>145</v>
      </c>
    </row>
    <row r="3" spans="1:24">
      <c r="A3" s="40" t="s">
        <v>6</v>
      </c>
      <c r="B3" s="52">
        <v>-10</v>
      </c>
      <c r="C3" s="53">
        <v>-10</v>
      </c>
      <c r="D3" s="65">
        <v>-0.16666666666666666</v>
      </c>
      <c r="E3" s="43" t="s">
        <v>91</v>
      </c>
      <c r="F3" s="43" t="s">
        <v>91</v>
      </c>
      <c r="G3" s="43" t="s">
        <v>91</v>
      </c>
      <c r="H3" s="44" t="s">
        <v>91</v>
      </c>
      <c r="I3" s="43" t="s">
        <v>91</v>
      </c>
      <c r="J3" s="43" t="s">
        <v>91</v>
      </c>
      <c r="K3" s="43" t="s">
        <v>91</v>
      </c>
      <c r="L3" s="44" t="s">
        <v>91</v>
      </c>
      <c r="M3" s="43" t="s">
        <v>91</v>
      </c>
      <c r="N3" s="43" t="s">
        <v>91</v>
      </c>
      <c r="O3" s="43" t="s">
        <v>91</v>
      </c>
      <c r="P3" s="44" t="s">
        <v>91</v>
      </c>
      <c r="Q3" s="132" t="s">
        <v>91</v>
      </c>
      <c r="R3" s="133"/>
      <c r="S3" s="134"/>
      <c r="T3" s="44" t="s">
        <v>91</v>
      </c>
      <c r="U3" s="44" t="s">
        <v>91</v>
      </c>
      <c r="V3" s="44" t="s">
        <v>91</v>
      </c>
      <c r="W3" s="44" t="s">
        <v>91</v>
      </c>
      <c r="X3" s="44" t="s">
        <v>91</v>
      </c>
    </row>
    <row r="4" spans="1:24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32">
        <v>2</v>
      </c>
      <c r="F4" s="32">
        <v>13160</v>
      </c>
      <c r="G4" s="32">
        <v>7</v>
      </c>
      <c r="H4" s="44">
        <f>('Flow cytometer'!F4/'Flow cytometer'!G4)*POWER(10,'Flow cytometer'!E4+2)*10.2</f>
        <v>191760000</v>
      </c>
      <c r="I4" s="32">
        <v>2</v>
      </c>
      <c r="J4" s="32">
        <v>14108</v>
      </c>
      <c r="K4" s="32">
        <v>7</v>
      </c>
      <c r="L4" s="44">
        <f>('Flow cytometer'!J4/'Flow cytometer'!K4)*POWER(10,'Flow cytometer'!I4+2)*10.2</f>
        <v>205573714.28571427</v>
      </c>
      <c r="M4" s="32">
        <v>2</v>
      </c>
      <c r="N4" s="32">
        <v>14588</v>
      </c>
      <c r="O4" s="32">
        <v>7</v>
      </c>
      <c r="P4" s="44">
        <f>('Flow cytometer'!N4/'Flow cytometer'!O4)*POWER(10,'Flow cytometer'!M4+2)*10.2</f>
        <v>212568000</v>
      </c>
      <c r="Q4" s="47">
        <f>AVERAGE(H4,L4,P4)*Calculation!I4/Calculation!K3</f>
        <v>203967130.67915693</v>
      </c>
      <c r="R4" s="48">
        <f>STDEV(H4,L4,P4)*Calculation!I4/Calculation!K3</f>
        <v>10623323.821781959</v>
      </c>
      <c r="S4" s="49">
        <f>LOG(Q4)</f>
        <v>8.3095601864709465</v>
      </c>
      <c r="T4" s="49">
        <f>LN(Q4)</f>
        <v>19.133469414704823</v>
      </c>
      <c r="U4" s="49">
        <f>LOG(H4)</f>
        <v>8.2827580210255967</v>
      </c>
      <c r="V4" s="49">
        <f>LOG(L4)</f>
        <v>8.3129675827431129</v>
      </c>
      <c r="W4" s="49">
        <f>LOG(P4)</f>
        <v>8.3274978863894038</v>
      </c>
      <c r="X4" s="49">
        <f xml:space="preserve"> STDEV(U4:W4)*Calculation!I4/Calculation!K3</f>
        <v>2.2898074659456299E-2</v>
      </c>
    </row>
    <row r="5" spans="1:24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32">
        <v>2</v>
      </c>
      <c r="F5" s="32">
        <v>38917</v>
      </c>
      <c r="G5" s="32">
        <v>7</v>
      </c>
      <c r="H5" s="44">
        <f>('Flow cytometer'!F5/'Flow cytometer'!G5)*POWER(10,'Flow cytometer'!E5+2)*10.2</f>
        <v>567076285.71428561</v>
      </c>
      <c r="I5" s="32">
        <v>2</v>
      </c>
      <c r="J5" s="32">
        <v>40713</v>
      </c>
      <c r="K5" s="32">
        <v>7</v>
      </c>
      <c r="L5" s="44">
        <f>('Flow cytometer'!J5/'Flow cytometer'!K5)*POWER(10,'Flow cytometer'!I5+2)*10.2</f>
        <v>593246571.42857134</v>
      </c>
      <c r="M5" s="32">
        <v>2</v>
      </c>
      <c r="N5" s="32">
        <v>40067</v>
      </c>
      <c r="O5" s="32">
        <v>7</v>
      </c>
      <c r="P5" s="44">
        <f>('Flow cytometer'!N5/'Flow cytometer'!O5)*POWER(10,'Flow cytometer'!M5+2)*10.2</f>
        <v>583833428.57142854</v>
      </c>
      <c r="Q5" s="47">
        <f>AVERAGE(H5,L5,P5)*Calculation!I5/Calculation!K4</f>
        <v>583687062.24363911</v>
      </c>
      <c r="R5" s="48">
        <f>STDEV(H5,L5,P5)*Calculation!I5/Calculation!K4</f>
        <v>13308249.987510951</v>
      </c>
      <c r="S5" s="49">
        <f t="shared" ref="S5:S19" si="1">LOG(Q5)</f>
        <v>8.7661800670321632</v>
      </c>
      <c r="T5" s="49">
        <f t="shared" ref="T5:T19" si="2">LN(Q5)</f>
        <v>20.184875544849803</v>
      </c>
      <c r="U5" s="49">
        <f t="shared" ref="U5:U19" si="3">LOG(H5)</f>
        <v>8.7536414861172993</v>
      </c>
      <c r="V5" s="49">
        <f t="shared" ref="V5:V19" si="4">LOG(L5)</f>
        <v>8.773235236962778</v>
      </c>
      <c r="W5" s="49">
        <f t="shared" ref="W5:W19" si="5">LOG(P5)</f>
        <v>8.7662889577785403</v>
      </c>
      <c r="X5" s="49">
        <f xml:space="preserve"> STDEV(U5:W5)*Calculation!I5/Calculation!K4</f>
        <v>9.9734813568567761E-3</v>
      </c>
    </row>
    <row r="6" spans="1:24">
      <c r="A6" s="40">
        <v>2</v>
      </c>
      <c r="B6" s="54">
        <v>80</v>
      </c>
      <c r="C6" s="55">
        <f t="shared" ref="C6:C18" si="6">C5+B6</f>
        <v>200</v>
      </c>
      <c r="D6" s="65">
        <f t="shared" si="0"/>
        <v>3.3333333333333335</v>
      </c>
      <c r="E6" s="32">
        <v>3</v>
      </c>
      <c r="F6" s="32">
        <v>8036</v>
      </c>
      <c r="G6" s="32">
        <v>7</v>
      </c>
      <c r="H6" s="44">
        <f>('Flow cytometer'!F6/'Flow cytometer'!G6)*POWER(10,'Flow cytometer'!E6+2)*10.2</f>
        <v>1170960000</v>
      </c>
      <c r="I6" s="32">
        <v>3</v>
      </c>
      <c r="J6" s="32">
        <v>8497</v>
      </c>
      <c r="K6" s="32">
        <v>7</v>
      </c>
      <c r="L6" s="44">
        <f>('Flow cytometer'!J6/'Flow cytometer'!K6)*POWER(10,'Flow cytometer'!I6+2)*10.2</f>
        <v>1238134285.7142856</v>
      </c>
      <c r="M6" s="32">
        <v>3</v>
      </c>
      <c r="N6" s="32">
        <v>8765</v>
      </c>
      <c r="O6" s="32">
        <v>7</v>
      </c>
      <c r="P6" s="44">
        <f>('Flow cytometer'!N6/'Flow cytometer'!O6)*POWER(10,'Flow cytometer'!M6+2)*10.2</f>
        <v>1277185714.2857141</v>
      </c>
      <c r="Q6" s="47">
        <f>AVERAGE(H6,L6,P6)*Calculation!I6/Calculation!K5</f>
        <v>1237937882.6886258</v>
      </c>
      <c r="R6" s="48">
        <f>STDEV(H6,L6,P6)*Calculation!I6/Calculation!K5</f>
        <v>54131045.899891414</v>
      </c>
      <c r="S6" s="49">
        <f t="shared" si="1"/>
        <v>9.092698853179753</v>
      </c>
      <c r="T6" s="49">
        <f t="shared" si="2"/>
        <v>20.936712834415754</v>
      </c>
      <c r="U6" s="49">
        <f t="shared" si="3"/>
        <v>9.0685420598238728</v>
      </c>
      <c r="V6" s="49">
        <f t="shared" si="4"/>
        <v>9.0927677500007267</v>
      </c>
      <c r="W6" s="49">
        <f t="shared" si="5"/>
        <v>9.1062540521774746</v>
      </c>
      <c r="X6" s="49">
        <f xml:space="preserve"> STDEV(U6:W6)*Calculation!I6/Calculation!K5</f>
        <v>1.9251885321125865E-2</v>
      </c>
    </row>
    <row r="7" spans="1:24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32">
        <v>3</v>
      </c>
      <c r="F7" s="32">
        <v>15489</v>
      </c>
      <c r="G7" s="32">
        <v>7</v>
      </c>
      <c r="H7" s="44">
        <f>('Flow cytometer'!F7/'Flow cytometer'!G7)*POWER(10,'Flow cytometer'!E7+2)*10.2</f>
        <v>2256968571.4285712</v>
      </c>
      <c r="I7" s="32">
        <v>3</v>
      </c>
      <c r="J7" s="32">
        <v>15626</v>
      </c>
      <c r="K7" s="32">
        <v>7</v>
      </c>
      <c r="L7" s="44">
        <f>('Flow cytometer'!J7/'Flow cytometer'!K7)*POWER(10,'Flow cytometer'!I7+2)*10.2</f>
        <v>2276931428.5714283</v>
      </c>
      <c r="M7" s="32">
        <v>3</v>
      </c>
      <c r="N7" s="32">
        <v>15523</v>
      </c>
      <c r="O7" s="32">
        <v>7</v>
      </c>
      <c r="P7" s="44">
        <f>('Flow cytometer'!N7/'Flow cytometer'!O7)*POWER(10,'Flow cytometer'!M7+2)*10.2</f>
        <v>2261922857.1428566</v>
      </c>
      <c r="Q7" s="47">
        <f>AVERAGE(H7,L7,P7)*Calculation!I7/Calculation!K6</f>
        <v>2295366962.605967</v>
      </c>
      <c r="R7" s="48">
        <f>STDEV(H7,L7,P7)*Calculation!I7/Calculation!K6</f>
        <v>10532941.899318418</v>
      </c>
      <c r="S7" s="49">
        <f t="shared" si="1"/>
        <v>9.3608521265159155</v>
      </c>
      <c r="T7" s="49">
        <f t="shared" si="2"/>
        <v>21.554158564237163</v>
      </c>
      <c r="U7" s="49">
        <f t="shared" si="3"/>
        <v>9.3535255115145457</v>
      </c>
      <c r="V7" s="49">
        <f t="shared" si="4"/>
        <v>9.3573499517212184</v>
      </c>
      <c r="W7" s="49">
        <f t="shared" si="5"/>
        <v>9.3544777892329058</v>
      </c>
      <c r="X7" s="49">
        <f xml:space="preserve"> STDEV(U7:W7)*Calculation!I7/Calculation!K6</f>
        <v>2.0173646012185652E-3</v>
      </c>
    </row>
    <row r="8" spans="1:24">
      <c r="A8" s="40">
        <v>4</v>
      </c>
      <c r="B8" s="54">
        <v>80</v>
      </c>
      <c r="C8" s="55">
        <f t="shared" si="6"/>
        <v>360</v>
      </c>
      <c r="D8" s="65">
        <f t="shared" si="0"/>
        <v>6</v>
      </c>
      <c r="E8" s="32">
        <v>3</v>
      </c>
      <c r="F8" s="32">
        <v>20795</v>
      </c>
      <c r="G8" s="32">
        <v>7</v>
      </c>
      <c r="H8" s="44">
        <f>('Flow cytometer'!F8/'Flow cytometer'!G8)*POWER(10,'Flow cytometer'!E8+2)*10.2</f>
        <v>3030128571.4285717</v>
      </c>
      <c r="I8" s="32">
        <v>3</v>
      </c>
      <c r="J8" s="32">
        <v>20765</v>
      </c>
      <c r="K8" s="32">
        <v>7</v>
      </c>
      <c r="L8" s="44">
        <f>('Flow cytometer'!J8/'Flow cytometer'!K8)*POWER(10,'Flow cytometer'!I8+2)*10.2</f>
        <v>3025757142.8571424</v>
      </c>
      <c r="M8" s="32">
        <v>3</v>
      </c>
      <c r="N8" s="32">
        <v>20679</v>
      </c>
      <c r="O8" s="32">
        <v>7</v>
      </c>
      <c r="P8" s="44">
        <f>('Flow cytometer'!N8/'Flow cytometer'!O8)*POWER(10,'Flow cytometer'!M8+2)*10.2</f>
        <v>3013225714.2857141</v>
      </c>
      <c r="Q8" s="47">
        <f>AVERAGE(H8,L8,P8)*Calculation!I8/Calculation!K7</f>
        <v>3079174123.7631879</v>
      </c>
      <c r="R8" s="48">
        <f>STDEV(H8,L8,P8)*Calculation!I8/Calculation!K7</f>
        <v>8936487.8468391709</v>
      </c>
      <c r="S8" s="49">
        <f t="shared" si="1"/>
        <v>9.4884342484521884</v>
      </c>
      <c r="T8" s="49">
        <f t="shared" si="2"/>
        <v>21.847927256340171</v>
      </c>
      <c r="U8" s="49">
        <f t="shared" si="3"/>
        <v>9.4814610564486124</v>
      </c>
      <c r="V8" s="49">
        <f t="shared" si="4"/>
        <v>9.4808340671935571</v>
      </c>
      <c r="W8" s="49">
        <f t="shared" si="5"/>
        <v>9.4790316649615107</v>
      </c>
      <c r="X8" s="49">
        <f xml:space="preserve"> STDEV(U8:W8)*Calculation!I8/Calculation!K7</f>
        <v>1.2846174294288187E-3</v>
      </c>
    </row>
    <row r="9" spans="1:24">
      <c r="A9" s="40">
        <v>5</v>
      </c>
      <c r="B9" s="54">
        <v>80</v>
      </c>
      <c r="C9" s="55">
        <f t="shared" si="6"/>
        <v>440</v>
      </c>
      <c r="D9" s="65">
        <f t="shared" si="0"/>
        <v>7.333333333333333</v>
      </c>
      <c r="E9" s="32">
        <v>3</v>
      </c>
      <c r="F9" s="32">
        <v>23307</v>
      </c>
      <c r="G9" s="32">
        <v>7</v>
      </c>
      <c r="H9" s="44">
        <f>('Flow cytometer'!F9/'Flow cytometer'!G9)*POWER(10,'Flow cytometer'!E9+2)*10.2</f>
        <v>3396162857.1428571</v>
      </c>
      <c r="I9" s="32">
        <v>3</v>
      </c>
      <c r="J9" s="32">
        <v>22297</v>
      </c>
      <c r="K9" s="32">
        <v>7</v>
      </c>
      <c r="L9" s="44">
        <f>('Flow cytometer'!J9/'Flow cytometer'!K9)*POWER(10,'Flow cytometer'!I9+2)*10.2</f>
        <v>3248991428.5714283</v>
      </c>
      <c r="M9" s="32">
        <v>3</v>
      </c>
      <c r="N9" s="32">
        <v>22777</v>
      </c>
      <c r="O9" s="32">
        <v>7</v>
      </c>
      <c r="P9" s="44">
        <f>('Flow cytometer'!N9/'Flow cytometer'!O9)*POWER(10,'Flow cytometer'!M9+2)*10.2</f>
        <v>3318934285.7142854</v>
      </c>
      <c r="Q9" s="47">
        <f>AVERAGE(H9,L9,P9)*Calculation!I9/Calculation!K8</f>
        <v>3401186238.6767788</v>
      </c>
      <c r="R9" s="48">
        <f>STDEV(H9,L9,P9)*Calculation!I9/Calculation!K8</f>
        <v>75384996.071820721</v>
      </c>
      <c r="S9" s="49">
        <f t="shared" si="1"/>
        <v>9.5316304132367975</v>
      </c>
      <c r="T9" s="49">
        <f t="shared" si="2"/>
        <v>21.947390101447727</v>
      </c>
      <c r="U9" s="49">
        <f t="shared" si="3"/>
        <v>9.5309885079154473</v>
      </c>
      <c r="V9" s="49">
        <f t="shared" si="4"/>
        <v>9.5117485655988947</v>
      </c>
      <c r="W9" s="49">
        <f t="shared" si="5"/>
        <v>9.5209986535432218</v>
      </c>
      <c r="X9" s="49">
        <f xml:space="preserve"> STDEV(U9:W9)*Calculation!I9/Calculation!K8</f>
        <v>9.8535979907359468E-3</v>
      </c>
    </row>
    <row r="10" spans="1:24">
      <c r="A10" s="40">
        <v>6</v>
      </c>
      <c r="B10" s="54">
        <v>80</v>
      </c>
      <c r="C10" s="55">
        <f t="shared" si="6"/>
        <v>520</v>
      </c>
      <c r="D10" s="65">
        <f t="shared" si="0"/>
        <v>8.6666666666666661</v>
      </c>
      <c r="E10" s="32">
        <v>3</v>
      </c>
      <c r="F10" s="32">
        <v>32196</v>
      </c>
      <c r="G10" s="32">
        <v>7</v>
      </c>
      <c r="H10" s="44">
        <f>('Flow cytometer'!F10/'Flow cytometer'!G10)*POWER(10,'Flow cytometer'!E10+2)*10.2</f>
        <v>4691417142.8571424</v>
      </c>
      <c r="I10" s="32">
        <v>3</v>
      </c>
      <c r="J10" s="32">
        <v>29648</v>
      </c>
      <c r="K10" s="32">
        <v>7</v>
      </c>
      <c r="L10" s="44">
        <f>('Flow cytometer'!J10/'Flow cytometer'!K10)*POWER(10,'Flow cytometer'!I10+2)*10.2</f>
        <v>4320137142.8571424</v>
      </c>
      <c r="M10" s="32">
        <v>3</v>
      </c>
      <c r="N10" s="32">
        <v>31027</v>
      </c>
      <c r="O10" s="32">
        <v>7</v>
      </c>
      <c r="P10" s="44">
        <f>('Flow cytometer'!N10/'Flow cytometer'!O10)*POWER(10,'Flow cytometer'!M10+2)*10.2</f>
        <v>4521077142.8571424</v>
      </c>
      <c r="Q10" s="47">
        <f>AVERAGE(H10,L10,P10)*Calculation!I10/Calculation!K9</f>
        <v>4641267671.8475695</v>
      </c>
      <c r="R10" s="48">
        <f>STDEV(H10,L10,P10)*Calculation!I10/Calculation!K9</f>
        <v>191222190.94339693</v>
      </c>
      <c r="S10" s="49">
        <f t="shared" si="1"/>
        <v>9.6666366158342747</v>
      </c>
      <c r="T10" s="49">
        <f t="shared" si="2"/>
        <v>22.258253371010408</v>
      </c>
      <c r="U10" s="49">
        <f t="shared" si="3"/>
        <v>9.6713040504672243</v>
      </c>
      <c r="V10" s="49">
        <f t="shared" si="4"/>
        <v>9.6354975337224822</v>
      </c>
      <c r="W10" s="49">
        <f t="shared" si="5"/>
        <v>9.6552419174371575</v>
      </c>
      <c r="X10" s="49">
        <f xml:space="preserve"> STDEV(U10:W10)*Calculation!I10/Calculation!K9</f>
        <v>1.8453206138633788E-2</v>
      </c>
    </row>
    <row r="11" spans="1:24">
      <c r="A11" s="40">
        <v>7</v>
      </c>
      <c r="B11" s="54">
        <v>80</v>
      </c>
      <c r="C11" s="55">
        <f t="shared" si="6"/>
        <v>600</v>
      </c>
      <c r="D11" s="65">
        <f t="shared" si="0"/>
        <v>10</v>
      </c>
      <c r="E11" s="32">
        <v>3</v>
      </c>
      <c r="F11" s="32">
        <v>37624</v>
      </c>
      <c r="G11" s="32">
        <v>7</v>
      </c>
      <c r="H11" s="44">
        <f>('Flow cytometer'!F11/'Flow cytometer'!G11)*POWER(10,'Flow cytometer'!E11+2)*10.2</f>
        <v>5482354285.7142849</v>
      </c>
      <c r="I11" s="32">
        <v>3</v>
      </c>
      <c r="J11" s="32">
        <v>39736</v>
      </c>
      <c r="K11" s="32">
        <v>7</v>
      </c>
      <c r="L11" s="44">
        <f>('Flow cytometer'!J11/'Flow cytometer'!K11)*POWER(10,'Flow cytometer'!I11+2)*10.2</f>
        <v>5790102857.1428566</v>
      </c>
      <c r="M11" s="32">
        <v>3</v>
      </c>
      <c r="N11" s="32">
        <v>35047</v>
      </c>
      <c r="O11" s="32">
        <v>7</v>
      </c>
      <c r="P11" s="44">
        <f>('Flow cytometer'!N11/'Flow cytometer'!O11)*POWER(10,'Flow cytometer'!M11+2)*10.2</f>
        <v>5106848571.4285707</v>
      </c>
      <c r="Q11" s="47">
        <f>AVERAGE(H11,L11,P11)*Calculation!I11/Calculation!K10</f>
        <v>5654728644.5817575</v>
      </c>
      <c r="R11" s="48">
        <f>STDEV(H11,L11,P11)*Calculation!I11/Calculation!K10</f>
        <v>354405598.00107419</v>
      </c>
      <c r="S11" s="49">
        <f t="shared" si="1"/>
        <v>9.7524117691220678</v>
      </c>
      <c r="T11" s="49">
        <f t="shared" si="2"/>
        <v>22.455757960320163</v>
      </c>
      <c r="U11" s="49">
        <f t="shared" si="3"/>
        <v>9.7389670974856841</v>
      </c>
      <c r="V11" s="49">
        <f t="shared" si="4"/>
        <v>9.7626862787348276</v>
      </c>
      <c r="W11" s="49">
        <f t="shared" si="5"/>
        <v>9.7081529803211772</v>
      </c>
      <c r="X11" s="49">
        <f xml:space="preserve"> STDEV(U11:W11)*Calculation!I11/Calculation!K10</f>
        <v>2.8319857310530789E-2</v>
      </c>
    </row>
    <row r="12" spans="1:24">
      <c r="A12" s="40">
        <v>8</v>
      </c>
      <c r="B12" s="54">
        <v>80</v>
      </c>
      <c r="C12" s="55">
        <f t="shared" si="6"/>
        <v>680</v>
      </c>
      <c r="D12" s="65">
        <f t="shared" si="0"/>
        <v>11.333333333333334</v>
      </c>
      <c r="E12" s="32">
        <v>3</v>
      </c>
      <c r="F12" s="32">
        <v>43492</v>
      </c>
      <c r="G12" s="32">
        <v>7</v>
      </c>
      <c r="H12" s="44">
        <f>('Flow cytometer'!F12/'Flow cytometer'!G12)*POWER(10,'Flow cytometer'!E12+2)*10.2</f>
        <v>6337405714.2857141</v>
      </c>
      <c r="I12" s="32">
        <v>3</v>
      </c>
      <c r="J12" s="32">
        <v>43582</v>
      </c>
      <c r="K12" s="32">
        <v>7</v>
      </c>
      <c r="L12" s="44">
        <f>('Flow cytometer'!J12/'Flow cytometer'!K12)*POWER(10,'Flow cytometer'!I12+2)*10.2</f>
        <v>6350520000</v>
      </c>
      <c r="M12" s="32">
        <v>3</v>
      </c>
      <c r="N12" s="32">
        <v>44340</v>
      </c>
      <c r="O12" s="32">
        <v>7</v>
      </c>
      <c r="P12" s="44">
        <f>('Flow cytometer'!N12/'Flow cytometer'!O12)*POWER(10,'Flow cytometer'!M12+2)*10.2</f>
        <v>6460971428.5714283</v>
      </c>
      <c r="Q12" s="47">
        <f>AVERAGE(H12,L12,P12)*Calculation!I12/Calculation!K11</f>
        <v>6656210641.2530489</v>
      </c>
      <c r="R12" s="48">
        <f>STDEV(H12,L12,P12)*Calculation!I12/Calculation!K11</f>
        <v>70777928.507553354</v>
      </c>
      <c r="S12" s="49">
        <f t="shared" si="1"/>
        <v>9.8232270571057381</v>
      </c>
      <c r="T12" s="49">
        <f t="shared" si="2"/>
        <v>22.618816186787441</v>
      </c>
      <c r="U12" s="49">
        <f t="shared" si="3"/>
        <v>9.8019115111074608</v>
      </c>
      <c r="V12" s="49">
        <f t="shared" si="4"/>
        <v>9.8028092881084135</v>
      </c>
      <c r="W12" s="49">
        <f t="shared" si="5"/>
        <v>9.8102978205261309</v>
      </c>
      <c r="X12" s="49">
        <f xml:space="preserve"> STDEV(U12:W12)*Calculation!I12/Calculation!K11</f>
        <v>4.8017207382057047E-3</v>
      </c>
    </row>
    <row r="13" spans="1:24">
      <c r="A13" s="40">
        <v>9</v>
      </c>
      <c r="B13" s="54">
        <v>80</v>
      </c>
      <c r="C13" s="55">
        <f t="shared" si="6"/>
        <v>760</v>
      </c>
      <c r="D13" s="65">
        <f t="shared" si="0"/>
        <v>12.666666666666666</v>
      </c>
      <c r="E13" s="32">
        <v>3</v>
      </c>
      <c r="F13" s="32">
        <v>40151</v>
      </c>
      <c r="G13" s="32">
        <v>7</v>
      </c>
      <c r="H13" s="44">
        <f>('Flow cytometer'!F13/'Flow cytometer'!G13)*POWER(10,'Flow cytometer'!E13+2)*10.2</f>
        <v>5850574285.7142849</v>
      </c>
      <c r="I13" s="32">
        <v>3</v>
      </c>
      <c r="J13" s="32">
        <v>41506</v>
      </c>
      <c r="K13" s="32">
        <v>7</v>
      </c>
      <c r="L13" s="44">
        <f>('Flow cytometer'!J13/'Flow cytometer'!K13)*POWER(10,'Flow cytometer'!I13+2)*10.2</f>
        <v>6048017142.8571434</v>
      </c>
      <c r="M13" s="32">
        <v>3</v>
      </c>
      <c r="N13" s="32">
        <v>39668</v>
      </c>
      <c r="O13" s="32">
        <v>7</v>
      </c>
      <c r="P13" s="44">
        <f>('Flow cytometer'!N13/'Flow cytometer'!O13)*POWER(10,'Flow cytometer'!M13+2)*10.2</f>
        <v>5780194285.7142849</v>
      </c>
      <c r="Q13" s="47">
        <f>AVERAGE(H13,L13,P13)*Calculation!I13/Calculation!K12</f>
        <v>6167045348.3256788</v>
      </c>
      <c r="R13" s="48">
        <f>STDEV(H13,L13,P13)*Calculation!I13/Calculation!K12</f>
        <v>145302605.82905892</v>
      </c>
      <c r="S13" s="49">
        <f t="shared" si="1"/>
        <v>9.7900771419491193</v>
      </c>
      <c r="T13" s="49">
        <f t="shared" si="2"/>
        <v>22.542485686313793</v>
      </c>
      <c r="U13" s="49">
        <f t="shared" si="3"/>
        <v>9.7671984980267084</v>
      </c>
      <c r="V13" s="49">
        <f t="shared" si="4"/>
        <v>9.7816130134848347</v>
      </c>
      <c r="W13" s="49">
        <f t="shared" si="5"/>
        <v>9.7619424363090328</v>
      </c>
      <c r="X13" s="49">
        <f xml:space="preserve"> STDEV(U13:W13)*Calculation!I13/Calculation!K12</f>
        <v>1.0658174299844135E-2</v>
      </c>
    </row>
    <row r="14" spans="1:24">
      <c r="A14" s="40">
        <v>10</v>
      </c>
      <c r="B14" s="54">
        <v>80</v>
      </c>
      <c r="C14" s="55">
        <f t="shared" si="6"/>
        <v>840</v>
      </c>
      <c r="D14" s="65">
        <f t="shared" si="0"/>
        <v>14</v>
      </c>
      <c r="E14" s="32">
        <v>3</v>
      </c>
      <c r="F14" s="32">
        <v>39353</v>
      </c>
      <c r="G14" s="32">
        <v>7</v>
      </c>
      <c r="H14" s="44">
        <f>('Flow cytometer'!F14/'Flow cytometer'!G14)*POWER(10,'Flow cytometer'!E14+2)*10.2</f>
        <v>5734294285.7142849</v>
      </c>
      <c r="I14" s="32">
        <v>3</v>
      </c>
      <c r="J14" s="32">
        <v>38193</v>
      </c>
      <c r="K14" s="32">
        <v>7</v>
      </c>
      <c r="L14" s="44">
        <f>('Flow cytometer'!J14/'Flow cytometer'!K14)*POWER(10,'Flow cytometer'!I14+2)*10.2</f>
        <v>5565265714.2857141</v>
      </c>
      <c r="M14" s="32">
        <v>3</v>
      </c>
      <c r="N14" s="32">
        <v>37374</v>
      </c>
      <c r="O14" s="32">
        <v>7</v>
      </c>
      <c r="P14" s="44">
        <f>('Flow cytometer'!N14/'Flow cytometer'!O14)*POWER(10,'Flow cytometer'!M14+2)*10.2</f>
        <v>5445925714.2857132</v>
      </c>
      <c r="Q14" s="47">
        <f>AVERAGE(H14,L14,P14)*Calculation!I14/Calculation!K13</f>
        <v>5852281689.2361059</v>
      </c>
      <c r="R14" s="48">
        <f>STDEV(H14,L14,P14)*Calculation!I14/Calculation!K13</f>
        <v>151916575.30591923</v>
      </c>
      <c r="S14" s="49">
        <f t="shared" si="1"/>
        <v>9.7673252219537154</v>
      </c>
      <c r="T14" s="49">
        <f t="shared" si="2"/>
        <v>22.490097454495384</v>
      </c>
      <c r="U14" s="49">
        <f t="shared" si="3"/>
        <v>9.7584799773063544</v>
      </c>
      <c r="V14" s="49">
        <f t="shared" si="4"/>
        <v>9.745485904608401</v>
      </c>
      <c r="W14" s="49">
        <f t="shared" si="5"/>
        <v>9.7360717130054457</v>
      </c>
      <c r="X14" s="49">
        <f xml:space="preserve"> STDEV(U14:W14)*Calculation!I14/Calculation!K13</f>
        <v>1.1796862189510017E-2</v>
      </c>
    </row>
    <row r="15" spans="1:24">
      <c r="A15" s="40">
        <v>11</v>
      </c>
      <c r="B15" s="54">
        <v>80</v>
      </c>
      <c r="C15" s="55">
        <f t="shared" si="6"/>
        <v>920</v>
      </c>
      <c r="D15" s="65">
        <f t="shared" si="0"/>
        <v>15.333333333333334</v>
      </c>
      <c r="E15" s="32">
        <v>3</v>
      </c>
      <c r="F15" s="32">
        <v>40305</v>
      </c>
      <c r="G15" s="32">
        <v>7</v>
      </c>
      <c r="H15" s="44">
        <f>('Flow cytometer'!F15/'Flow cytometer'!G15)*POWER(10,'Flow cytometer'!E15+2)*10.2</f>
        <v>5873014285.7142849</v>
      </c>
      <c r="I15" s="32">
        <v>3</v>
      </c>
      <c r="J15" s="32">
        <v>41104</v>
      </c>
      <c r="K15" s="32">
        <v>7</v>
      </c>
      <c r="L15" s="44">
        <f>('Flow cytometer'!J15/'Flow cytometer'!K15)*POWER(10,'Flow cytometer'!I15+2)*10.2</f>
        <v>5989440000</v>
      </c>
      <c r="M15" s="32">
        <v>3</v>
      </c>
      <c r="N15" s="32">
        <v>38474</v>
      </c>
      <c r="O15" s="32">
        <v>7</v>
      </c>
      <c r="P15" s="44">
        <f>('Flow cytometer'!N15/'Flow cytometer'!O15)*POWER(10,'Flow cytometer'!M15+2)*10.2</f>
        <v>5606211428.5714283</v>
      </c>
      <c r="Q15" s="47">
        <f>AVERAGE(H15,L15,P15)*Calculation!I15/Calculation!K14</f>
        <v>6110954595.8976383</v>
      </c>
      <c r="R15" s="48">
        <f>STDEV(H15,L15,P15)*Calculation!I15/Calculation!K14</f>
        <v>206189669.04082149</v>
      </c>
      <c r="S15" s="49">
        <f t="shared" si="1"/>
        <v>9.7861090569444436</v>
      </c>
      <c r="T15" s="49">
        <f t="shared" si="2"/>
        <v>22.533348832934294</v>
      </c>
      <c r="U15" s="49">
        <f t="shared" si="3"/>
        <v>9.76886105723651</v>
      </c>
      <c r="V15" s="49">
        <f t="shared" si="4"/>
        <v>9.7773862186699318</v>
      </c>
      <c r="W15" s="49">
        <f t="shared" si="5"/>
        <v>9.7486694723986531</v>
      </c>
      <c r="X15" s="49">
        <f xml:space="preserve"> STDEV(U15:W15)*Calculation!I15/Calculation!K14</f>
        <v>1.5477656311419412E-2</v>
      </c>
    </row>
    <row r="16" spans="1:24">
      <c r="A16" s="40">
        <v>12</v>
      </c>
      <c r="B16" s="54">
        <v>80</v>
      </c>
      <c r="C16" s="55">
        <f t="shared" si="6"/>
        <v>1000</v>
      </c>
      <c r="D16" s="65">
        <f t="shared" si="0"/>
        <v>16.666666666666668</v>
      </c>
      <c r="E16" s="32">
        <v>3</v>
      </c>
      <c r="F16" s="32">
        <v>34242</v>
      </c>
      <c r="G16" s="32">
        <v>7</v>
      </c>
      <c r="H16" s="44">
        <f>('Flow cytometer'!F16/'Flow cytometer'!G16)*POWER(10,'Flow cytometer'!E16+2)*10.2</f>
        <v>4989548571.4285707</v>
      </c>
      <c r="I16" s="32">
        <v>3</v>
      </c>
      <c r="J16" s="32">
        <v>35830</v>
      </c>
      <c r="K16" s="32">
        <v>7</v>
      </c>
      <c r="L16" s="44">
        <f>('Flow cytometer'!J16/'Flow cytometer'!K16)*POWER(10,'Flow cytometer'!I16+2)*10.2</f>
        <v>5220942857.1428566</v>
      </c>
      <c r="M16" s="32">
        <v>3</v>
      </c>
      <c r="N16" s="32">
        <v>34037</v>
      </c>
      <c r="O16" s="32">
        <v>7</v>
      </c>
      <c r="P16" s="44">
        <f>('Flow cytometer'!N16/'Flow cytometer'!O16)*POWER(10,'Flow cytometer'!M16+2)*10.2</f>
        <v>4959677142.8571424</v>
      </c>
      <c r="Q16" s="47">
        <f>AVERAGE(H16,L16,P16)*Calculation!I16/Calculation!K15</f>
        <v>5312328606.6797504</v>
      </c>
      <c r="R16" s="48">
        <f>STDEV(H16,L16,P16)*Calculation!I16/Calculation!K15</f>
        <v>150229173.89940837</v>
      </c>
      <c r="S16" s="49">
        <f t="shared" si="1"/>
        <v>9.7252849315056213</v>
      </c>
      <c r="T16" s="49">
        <f t="shared" si="2"/>
        <v>22.39329610840446</v>
      </c>
      <c r="U16" s="49">
        <f t="shared" si="3"/>
        <v>9.6980612546802618</v>
      </c>
      <c r="V16" s="49">
        <f t="shared" si="4"/>
        <v>9.717748939913772</v>
      </c>
      <c r="W16" s="49">
        <f t="shared" si="5"/>
        <v>9.6954534064016418</v>
      </c>
      <c r="X16" s="49">
        <f xml:space="preserve"> STDEV(U16:W16)*Calculation!I16/Calculation!K15</f>
        <v>1.2805602271155486E-2</v>
      </c>
    </row>
    <row r="17" spans="1:24">
      <c r="A17" s="40">
        <v>13</v>
      </c>
      <c r="B17" s="54">
        <v>80</v>
      </c>
      <c r="C17" s="55">
        <f t="shared" si="6"/>
        <v>1080</v>
      </c>
      <c r="D17" s="65">
        <f t="shared" si="0"/>
        <v>18</v>
      </c>
      <c r="E17" s="32">
        <v>3</v>
      </c>
      <c r="F17" s="32">
        <v>33196</v>
      </c>
      <c r="G17" s="32">
        <v>7</v>
      </c>
      <c r="H17" s="44">
        <f>('Flow cytometer'!F17/'Flow cytometer'!G17)*POWER(10,'Flow cytometer'!E17+2)*10.2</f>
        <v>4837131428.5714283</v>
      </c>
      <c r="I17" s="32">
        <v>3</v>
      </c>
      <c r="J17" s="32">
        <v>35926</v>
      </c>
      <c r="K17" s="32">
        <v>7</v>
      </c>
      <c r="L17" s="44">
        <f>('Flow cytometer'!J17/'Flow cytometer'!K17)*POWER(10,'Flow cytometer'!I17+2)*10.2</f>
        <v>5234931428.5714283</v>
      </c>
      <c r="M17" s="32">
        <v>3</v>
      </c>
      <c r="N17" s="32">
        <v>35926</v>
      </c>
      <c r="O17" s="32">
        <v>7</v>
      </c>
      <c r="P17" s="44">
        <f>('Flow cytometer'!N17/'Flow cytometer'!O17)*POWER(10,'Flow cytometer'!M17+2)*10.2</f>
        <v>5234931428.5714283</v>
      </c>
      <c r="Q17" s="47">
        <f>AVERAGE(H17,L17,P17)*Calculation!I17/Calculation!K16</f>
        <v>5360242586.8512278</v>
      </c>
      <c r="R17" s="48">
        <f>STDEV(H17,L17,P17)*Calculation!I17/Calculation!K16</f>
        <v>241279225.95961529</v>
      </c>
      <c r="S17" s="49">
        <f t="shared" si="1"/>
        <v>9.7291844448694196</v>
      </c>
      <c r="T17" s="49">
        <f t="shared" si="2"/>
        <v>22.402275069745876</v>
      </c>
      <c r="U17" s="49">
        <f t="shared" si="3"/>
        <v>9.6845878876629836</v>
      </c>
      <c r="V17" s="49">
        <f t="shared" si="4"/>
        <v>9.7189109973065353</v>
      </c>
      <c r="W17" s="49">
        <f t="shared" si="5"/>
        <v>9.7189109973065353</v>
      </c>
      <c r="X17" s="49">
        <f xml:space="preserve"> STDEV(U17:W17)*Calculation!I17/Calculation!K16</f>
        <v>2.0818133050083346E-2</v>
      </c>
    </row>
    <row r="18" spans="1:24">
      <c r="A18" s="40">
        <v>14</v>
      </c>
      <c r="B18" s="54">
        <v>380</v>
      </c>
      <c r="C18" s="55">
        <f t="shared" si="6"/>
        <v>1460</v>
      </c>
      <c r="D18" s="65">
        <f t="shared" si="0"/>
        <v>24.333333333333332</v>
      </c>
      <c r="E18" s="32">
        <v>3</v>
      </c>
      <c r="F18" s="32">
        <v>30131</v>
      </c>
      <c r="G18" s="32">
        <v>7</v>
      </c>
      <c r="H18" s="44">
        <f>('Flow cytometer'!F18/'Flow cytometer'!G18)*POWER(10,'Flow cytometer'!E18+2)*10.2</f>
        <v>4390517142.8571424</v>
      </c>
      <c r="I18" s="32">
        <v>3</v>
      </c>
      <c r="J18" s="32">
        <v>31679</v>
      </c>
      <c r="K18" s="32">
        <v>7</v>
      </c>
      <c r="L18" s="44">
        <f>('Flow cytometer'!J18/'Flow cytometer'!K18)*POWER(10,'Flow cytometer'!I18+2)*10.2</f>
        <v>4616082857.1428566</v>
      </c>
      <c r="M18" s="32">
        <v>3</v>
      </c>
      <c r="N18" s="32">
        <v>30411</v>
      </c>
      <c r="O18" s="32">
        <v>7</v>
      </c>
      <c r="P18" s="44">
        <f>('Flow cytometer'!N18/'Flow cytometer'!O18)*POWER(10,'Flow cytometer'!M18+2)*10.2</f>
        <v>4431317142.8571424</v>
      </c>
      <c r="Q18" s="47">
        <f>AVERAGE(H18,L18,P18)*Calculation!I18/Calculation!K17</f>
        <v>4711083945.7246513</v>
      </c>
      <c r="R18" s="48">
        <f>STDEV(H18,L18,P18)*Calculation!I18/Calculation!K17</f>
        <v>126415763.29124551</v>
      </c>
      <c r="S18" s="49">
        <f t="shared" si="1"/>
        <v>9.6731208429009765</v>
      </c>
      <c r="T18" s="49">
        <f t="shared" si="2"/>
        <v>22.273183855593786</v>
      </c>
      <c r="U18" s="49">
        <f t="shared" si="3"/>
        <v>9.6425156772037948</v>
      </c>
      <c r="V18" s="49">
        <f t="shared" si="4"/>
        <v>9.664273595658285</v>
      </c>
      <c r="W18" s="49">
        <f t="shared" si="5"/>
        <v>9.6465328329618814</v>
      </c>
      <c r="X18" s="49">
        <f xml:space="preserve"> STDEV(U18:W18)*Calculation!I18/Calculation!K17</f>
        <v>1.2176933567110044E-2</v>
      </c>
    </row>
    <row r="19" spans="1:24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32">
        <v>3</v>
      </c>
      <c r="F19" s="32">
        <v>32000</v>
      </c>
      <c r="G19" s="32">
        <v>7</v>
      </c>
      <c r="H19" s="44">
        <f>('Flow cytometer'!F19/'Flow cytometer'!G19)*POWER(10,'Flow cytometer'!E19+2)*10.2</f>
        <v>4662857142.8571424</v>
      </c>
      <c r="I19" s="32">
        <v>3</v>
      </c>
      <c r="J19" s="32">
        <v>28742</v>
      </c>
      <c r="K19" s="32">
        <v>7</v>
      </c>
      <c r="L19" s="44">
        <f>('Flow cytometer'!J19/'Flow cytometer'!K19)*POWER(10,'Flow cytometer'!I19+2)*10.2</f>
        <v>4188119999.9999995</v>
      </c>
      <c r="M19" s="32">
        <v>3</v>
      </c>
      <c r="N19" s="32">
        <v>30760</v>
      </c>
      <c r="O19" s="32">
        <v>7</v>
      </c>
      <c r="P19" s="44">
        <f>('Flow cytometer'!N19/'Flow cytometer'!O19)*POWER(10,'Flow cytometer'!M19+2)*10.2</f>
        <v>4482171428.5714283</v>
      </c>
      <c r="Q19" s="47">
        <f>AVERAGE(H19,L19,P19)*Calculation!I19/Calculation!K18</f>
        <v>4674354032.180274</v>
      </c>
      <c r="R19" s="48">
        <f>STDEV(H19,L19,P19)*Calculation!I19/Calculation!K18</f>
        <v>252012536.49119824</v>
      </c>
      <c r="S19" s="49">
        <f t="shared" si="1"/>
        <v>9.6697216024506343</v>
      </c>
      <c r="T19" s="49">
        <f t="shared" si="2"/>
        <v>22.265356815205326</v>
      </c>
      <c r="U19" s="49">
        <f t="shared" si="3"/>
        <v>9.6686521100675673</v>
      </c>
      <c r="V19" s="49">
        <f t="shared" si="4"/>
        <v>9.6220191167964906</v>
      </c>
      <c r="W19" s="49">
        <f t="shared" si="5"/>
        <v>9.6514884628770545</v>
      </c>
      <c r="X19" s="49">
        <f xml:space="preserve"> STDEV(U19:W19)*Calculation!I19/Calculation!K18</f>
        <v>2.4805966870265501E-2</v>
      </c>
    </row>
    <row r="20" spans="1:24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32">
        <v>3</v>
      </c>
      <c r="F20" s="32">
        <v>28534</v>
      </c>
      <c r="G20" s="32">
        <v>7</v>
      </c>
      <c r="H20" s="44">
        <f>('Flow cytometer'!F20/'Flow cytometer'!G20)*POWER(10,'Flow cytometer'!E20+2)*10.2</f>
        <v>4157811428.5714278</v>
      </c>
      <c r="I20" s="32">
        <v>3</v>
      </c>
      <c r="J20" s="32">
        <v>29234</v>
      </c>
      <c r="K20" s="32">
        <v>7</v>
      </c>
      <c r="L20" s="44">
        <f>('Flow cytometer'!J20/'Flow cytometer'!K20)*POWER(10,'Flow cytometer'!I20+2)*10.2</f>
        <v>4259811428.5714288</v>
      </c>
      <c r="M20" s="32">
        <v>3</v>
      </c>
      <c r="N20" s="32">
        <v>29148</v>
      </c>
      <c r="O20" s="32">
        <v>7</v>
      </c>
      <c r="P20" s="44">
        <f>('Flow cytometer'!N20/'Flow cytometer'!O20)*POWER(10,'Flow cytometer'!M20+2)*10.2</f>
        <v>4247279999.9999995</v>
      </c>
      <c r="Q20" s="47">
        <f>AVERAGE(H20,L20,P20)*Calculation!I20/Calculation!K19</f>
        <v>4440079507.1253157</v>
      </c>
      <c r="R20" s="48">
        <f>STDEV(H20,L20,P20)*Calculation!I20/Calculation!K19</f>
        <v>58504562.092408881</v>
      </c>
      <c r="S20" s="49">
        <f>LOG(Q20)</f>
        <v>9.6473907469607099</v>
      </c>
      <c r="T20" s="49">
        <f>LN(Q20)</f>
        <v>22.213938120240421</v>
      </c>
      <c r="U20" s="49">
        <f>LOG(H20)</f>
        <v>9.6188647886539478</v>
      </c>
      <c r="V20" s="49">
        <f>LOG(L20)</f>
        <v>9.6293903743741964</v>
      </c>
      <c r="W20" s="49">
        <f>LOG(P20)</f>
        <v>9.6281108926004162</v>
      </c>
      <c r="X20" s="49">
        <f xml:space="preserve"> STDEV(U20:W20)*Calculation!I20/Calculation!K19</f>
        <v>6.0405207527334213E-3</v>
      </c>
    </row>
    <row r="71" spans="17:21">
      <c r="Q71" s="62"/>
      <c r="R71" s="62"/>
      <c r="S71" s="62"/>
      <c r="T71" s="62"/>
      <c r="U71" s="62"/>
    </row>
    <row r="72" spans="17:21">
      <c r="Q72" s="62"/>
      <c r="R72" s="62"/>
      <c r="S72" s="62"/>
      <c r="T72" s="62"/>
      <c r="U72" s="62"/>
    </row>
    <row r="73" spans="17:21">
      <c r="R73" s="63"/>
      <c r="S73" s="62"/>
      <c r="T73" s="63"/>
      <c r="U73" s="62"/>
    </row>
    <row r="74" spans="17:21">
      <c r="Q74" s="62"/>
      <c r="R74" s="62"/>
      <c r="S74" s="62"/>
      <c r="T74" s="62"/>
      <c r="U74" s="62"/>
    </row>
    <row r="75" spans="17:21">
      <c r="Q75" s="62"/>
      <c r="R75" s="62"/>
      <c r="S75" s="62"/>
      <c r="T75" s="62"/>
      <c r="U75" s="62"/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23" workbookViewId="0">
      <selection activeCell="F44" sqref="F44:F45"/>
    </sheetView>
  </sheetViews>
  <sheetFormatPr baseColWidth="10" defaultColWidth="8.83203125" defaultRowHeight="14" x14ac:dyDescent="0"/>
  <cols>
    <col min="1" max="2" width="8.83203125" style="85"/>
    <col min="3" max="3" width="9.83203125" style="85" customWidth="1"/>
    <col min="4" max="17" width="8.83203125" style="85"/>
    <col min="18" max="18" width="13.83203125" style="85" bestFit="1" customWidth="1"/>
    <col min="19" max="16384" width="8.83203125" style="85"/>
  </cols>
  <sheetData>
    <row r="1" spans="2:18">
      <c r="B1" s="138" t="s">
        <v>4</v>
      </c>
      <c r="C1" s="140" t="s">
        <v>207</v>
      </c>
      <c r="D1" s="141" t="s">
        <v>18</v>
      </c>
      <c r="E1" s="141"/>
      <c r="F1" s="141"/>
      <c r="G1" s="141"/>
      <c r="H1" s="141" t="s">
        <v>20</v>
      </c>
      <c r="I1" s="141"/>
      <c r="J1" s="141"/>
      <c r="K1" s="141"/>
      <c r="L1" s="141" t="s">
        <v>21</v>
      </c>
      <c r="M1" s="141"/>
      <c r="N1" s="141"/>
      <c r="O1" s="141"/>
      <c r="P1" s="96" t="s">
        <v>22</v>
      </c>
      <c r="Q1" s="96" t="s">
        <v>22</v>
      </c>
      <c r="R1" s="96" t="s">
        <v>22</v>
      </c>
    </row>
    <row r="2" spans="2:18">
      <c r="B2" s="139"/>
      <c r="C2" s="139"/>
      <c r="D2" s="95" t="s">
        <v>19</v>
      </c>
      <c r="E2" s="95" t="s">
        <v>67</v>
      </c>
      <c r="F2" s="95" t="s">
        <v>68</v>
      </c>
      <c r="G2" s="95" t="s">
        <v>69</v>
      </c>
      <c r="H2" s="95" t="s">
        <v>19</v>
      </c>
      <c r="I2" s="95" t="s">
        <v>67</v>
      </c>
      <c r="J2" s="95" t="s">
        <v>68</v>
      </c>
      <c r="K2" s="95" t="s">
        <v>69</v>
      </c>
      <c r="L2" s="95" t="s">
        <v>19</v>
      </c>
      <c r="M2" s="95" t="s">
        <v>67</v>
      </c>
      <c r="N2" s="95" t="s">
        <v>68</v>
      </c>
      <c r="O2" s="95" t="s">
        <v>70</v>
      </c>
      <c r="P2" s="94" t="s">
        <v>69</v>
      </c>
      <c r="Q2" s="94" t="s">
        <v>23</v>
      </c>
      <c r="R2" s="94" t="s">
        <v>71</v>
      </c>
    </row>
    <row r="3" spans="2:18">
      <c r="B3" s="93"/>
      <c r="C3" s="93"/>
      <c r="D3" s="92"/>
      <c r="E3" s="92"/>
      <c r="F3" s="92"/>
      <c r="G3" s="90"/>
      <c r="H3" s="92"/>
      <c r="I3" s="92"/>
      <c r="J3" s="92"/>
      <c r="K3" s="90"/>
      <c r="L3" s="92"/>
      <c r="M3" s="92"/>
      <c r="N3" s="92"/>
      <c r="O3" s="90"/>
      <c r="P3" s="135"/>
      <c r="Q3" s="136"/>
      <c r="R3" s="137"/>
    </row>
    <row r="4" spans="2:18">
      <c r="B4" s="98" t="s">
        <v>191</v>
      </c>
      <c r="C4" s="91">
        <v>500</v>
      </c>
      <c r="D4" s="91">
        <v>3</v>
      </c>
      <c r="E4" s="91">
        <v>14133</v>
      </c>
      <c r="F4" s="91">
        <v>7</v>
      </c>
      <c r="G4" s="90">
        <f>(E4/F4)*(10.2)*POWER(10,D4+2)</f>
        <v>2059380000</v>
      </c>
      <c r="H4" s="91">
        <v>3</v>
      </c>
      <c r="I4" s="91">
        <v>15082</v>
      </c>
      <c r="J4" s="91">
        <v>7</v>
      </c>
      <c r="K4" s="90">
        <f t="shared" ref="K4:K18" si="0">(I4/J4)*(10.2)*POWER(10,H4+2)</f>
        <v>2197662857.1428571</v>
      </c>
      <c r="L4" s="91">
        <v>3</v>
      </c>
      <c r="M4" s="91">
        <v>15922</v>
      </c>
      <c r="N4" s="91">
        <v>7</v>
      </c>
      <c r="O4" s="90">
        <f t="shared" ref="O4:O19" si="1">(M4/N4)*(10.2)*POWER(10,L4+2)</f>
        <v>2320062857.1428571</v>
      </c>
      <c r="P4" s="89">
        <f t="shared" ref="P4:P10" si="2">AVERAGE(O4,K4,G4)</f>
        <v>2192368571.4285712</v>
      </c>
      <c r="Q4" s="89">
        <f t="shared" ref="Q4:Q10" si="3">STDEV(O4,K4,G4)</f>
        <v>130422046.05801573</v>
      </c>
      <c r="R4" s="88">
        <f>LOG(P4)</f>
        <v>9.3409135676416426</v>
      </c>
    </row>
    <row r="5" spans="2:18">
      <c r="B5" s="98" t="s">
        <v>192</v>
      </c>
      <c r="C5" s="91">
        <v>500</v>
      </c>
      <c r="D5" s="91">
        <v>2</v>
      </c>
      <c r="E5" s="91">
        <v>16544</v>
      </c>
      <c r="F5" s="91">
        <v>7</v>
      </c>
      <c r="G5" s="90">
        <f t="shared" ref="G5:G19" si="4">(E5/F5)*(10.2)*POWER(10,D5+2)</f>
        <v>241069714.2857143</v>
      </c>
      <c r="H5" s="91">
        <v>2</v>
      </c>
      <c r="I5" s="91">
        <v>15924</v>
      </c>
      <c r="J5" s="91">
        <v>7</v>
      </c>
      <c r="K5" s="90">
        <f t="shared" si="0"/>
        <v>232035428.57142854</v>
      </c>
      <c r="L5" s="91">
        <v>2</v>
      </c>
      <c r="M5" s="91">
        <v>15173</v>
      </c>
      <c r="N5" s="91">
        <v>7</v>
      </c>
      <c r="O5" s="90">
        <f t="shared" si="1"/>
        <v>221092285.71428567</v>
      </c>
      <c r="P5" s="89">
        <f t="shared" si="2"/>
        <v>231399142.85714284</v>
      </c>
      <c r="Q5" s="89">
        <f t="shared" si="3"/>
        <v>10003902.124385577</v>
      </c>
      <c r="R5" s="88">
        <f t="shared" ref="R5:R19" si="5">LOG(P5)</f>
        <v>8.3643617459160655</v>
      </c>
    </row>
    <row r="6" spans="2:18">
      <c r="B6" s="98" t="s">
        <v>193</v>
      </c>
      <c r="C6" s="91">
        <v>500</v>
      </c>
      <c r="D6" s="91">
        <v>1</v>
      </c>
      <c r="E6" s="91">
        <v>18107</v>
      </c>
      <c r="F6" s="91">
        <v>7</v>
      </c>
      <c r="G6" s="90">
        <f t="shared" si="4"/>
        <v>26384485.714285713</v>
      </c>
      <c r="H6" s="91">
        <v>1</v>
      </c>
      <c r="I6" s="91">
        <v>18423</v>
      </c>
      <c r="J6" s="91">
        <v>7</v>
      </c>
      <c r="K6" s="90">
        <f t="shared" si="0"/>
        <v>26844942.857142854</v>
      </c>
      <c r="L6" s="91">
        <v>1</v>
      </c>
      <c r="M6" s="91">
        <v>17005</v>
      </c>
      <c r="N6" s="91">
        <v>7</v>
      </c>
      <c r="O6" s="90">
        <f t="shared" si="1"/>
        <v>24778714.285714284</v>
      </c>
      <c r="P6" s="89">
        <f t="shared" si="2"/>
        <v>26002714.285714284</v>
      </c>
      <c r="Q6" s="89">
        <f t="shared" si="3"/>
        <v>1084729.0883451225</v>
      </c>
      <c r="R6" s="88">
        <f t="shared" si="5"/>
        <v>7.4150186840393397</v>
      </c>
    </row>
    <row r="7" spans="2:18">
      <c r="B7" s="98" t="s">
        <v>194</v>
      </c>
      <c r="C7" s="91">
        <v>500</v>
      </c>
      <c r="D7" s="91">
        <v>1</v>
      </c>
      <c r="E7" s="91">
        <v>1825</v>
      </c>
      <c r="F7" s="91">
        <v>7</v>
      </c>
      <c r="G7" s="90">
        <f t="shared" si="4"/>
        <v>2659285.7142857141</v>
      </c>
      <c r="H7" s="91">
        <v>1</v>
      </c>
      <c r="I7" s="91">
        <v>1808</v>
      </c>
      <c r="J7" s="91">
        <v>7</v>
      </c>
      <c r="K7" s="90">
        <f t="shared" si="0"/>
        <v>2634514.2857142854</v>
      </c>
      <c r="L7" s="91">
        <v>1</v>
      </c>
      <c r="M7" s="91">
        <v>1822</v>
      </c>
      <c r="N7" s="91">
        <v>7</v>
      </c>
      <c r="O7" s="90">
        <f t="shared" si="1"/>
        <v>2654914.2857142854</v>
      </c>
      <c r="P7" s="89">
        <f t="shared" si="2"/>
        <v>2649571.4285714286</v>
      </c>
      <c r="Q7" s="89">
        <f t="shared" si="3"/>
        <v>13221.78165770719</v>
      </c>
      <c r="R7" s="88">
        <f t="shared" si="5"/>
        <v>6.4231756319523594</v>
      </c>
    </row>
    <row r="8" spans="2:18">
      <c r="B8" s="98" t="s">
        <v>195</v>
      </c>
      <c r="C8" s="91">
        <v>500</v>
      </c>
      <c r="D8" s="91">
        <v>0</v>
      </c>
      <c r="E8" s="91">
        <v>2306</v>
      </c>
      <c r="F8" s="91">
        <v>7</v>
      </c>
      <c r="G8" s="90">
        <f t="shared" si="4"/>
        <v>336017.14285714284</v>
      </c>
      <c r="H8" s="91">
        <v>0</v>
      </c>
      <c r="I8" s="91">
        <v>2052</v>
      </c>
      <c r="J8" s="91">
        <v>7</v>
      </c>
      <c r="K8" s="90">
        <f t="shared" si="0"/>
        <v>299005.71428571432</v>
      </c>
      <c r="L8" s="91">
        <v>0</v>
      </c>
      <c r="M8" s="91">
        <v>2049</v>
      </c>
      <c r="N8" s="91">
        <v>7</v>
      </c>
      <c r="O8" s="90">
        <f t="shared" si="1"/>
        <v>298568.57142857142</v>
      </c>
      <c r="P8" s="89">
        <f t="shared" si="2"/>
        <v>311197.14285714284</v>
      </c>
      <c r="Q8" s="89">
        <f t="shared" si="3"/>
        <v>21495.861775453133</v>
      </c>
      <c r="R8" s="88">
        <f t="shared" si="5"/>
        <v>5.4930356010198587</v>
      </c>
    </row>
    <row r="9" spans="2:18">
      <c r="B9" s="98" t="s">
        <v>196</v>
      </c>
      <c r="C9" s="91">
        <v>1000</v>
      </c>
      <c r="D9" s="91">
        <v>3</v>
      </c>
      <c r="E9" s="91">
        <v>13995</v>
      </c>
      <c r="F9" s="91">
        <v>7</v>
      </c>
      <c r="G9" s="90">
        <f t="shared" si="4"/>
        <v>2039271428.5714283</v>
      </c>
      <c r="H9" s="91">
        <v>3</v>
      </c>
      <c r="I9" s="91">
        <v>13769</v>
      </c>
      <c r="J9" s="91">
        <v>7</v>
      </c>
      <c r="K9" s="90">
        <f t="shared" si="0"/>
        <v>2006339999.9999998</v>
      </c>
      <c r="L9" s="91">
        <v>3</v>
      </c>
      <c r="M9" s="91">
        <v>15093</v>
      </c>
      <c r="N9" s="91">
        <v>7</v>
      </c>
      <c r="O9" s="90">
        <f t="shared" si="1"/>
        <v>2199265714.2857146</v>
      </c>
      <c r="P9" s="89">
        <f t="shared" si="2"/>
        <v>2081625714.2857141</v>
      </c>
      <c r="Q9" s="89">
        <f t="shared" si="3"/>
        <v>103201244.89045103</v>
      </c>
      <c r="R9" s="88">
        <f t="shared" si="5"/>
        <v>9.3184026440827186</v>
      </c>
    </row>
    <row r="10" spans="2:18">
      <c r="B10" s="98" t="s">
        <v>197</v>
      </c>
      <c r="C10" s="91">
        <v>900</v>
      </c>
      <c r="D10" s="91">
        <v>3</v>
      </c>
      <c r="E10" s="91">
        <v>6387</v>
      </c>
      <c r="F10" s="91">
        <v>7</v>
      </c>
      <c r="G10" s="90">
        <f t="shared" si="4"/>
        <v>930677142.85714281</v>
      </c>
      <c r="H10" s="91">
        <v>3</v>
      </c>
      <c r="I10" s="91">
        <v>7378</v>
      </c>
      <c r="J10" s="91">
        <v>7</v>
      </c>
      <c r="K10" s="90">
        <f t="shared" si="0"/>
        <v>1075080000</v>
      </c>
      <c r="L10" s="91">
        <v>3</v>
      </c>
      <c r="M10" s="91">
        <v>6564</v>
      </c>
      <c r="N10" s="91">
        <v>7</v>
      </c>
      <c r="O10" s="90">
        <f t="shared" si="1"/>
        <v>956468571.42857134</v>
      </c>
      <c r="P10" s="89">
        <f t="shared" si="2"/>
        <v>987408571.42857134</v>
      </c>
      <c r="Q10" s="89">
        <f t="shared" si="3"/>
        <v>77013044.270143658</v>
      </c>
      <c r="R10" s="88">
        <f t="shared" si="5"/>
        <v>8.9944968928936131</v>
      </c>
    </row>
    <row r="11" spans="2:18">
      <c r="B11" s="98" t="s">
        <v>198</v>
      </c>
      <c r="C11" s="91">
        <v>900</v>
      </c>
      <c r="D11" s="91">
        <v>3</v>
      </c>
      <c r="E11" s="91">
        <v>3341</v>
      </c>
      <c r="F11" s="91">
        <v>7</v>
      </c>
      <c r="G11" s="90">
        <f t="shared" si="4"/>
        <v>486831428.5714286</v>
      </c>
      <c r="H11" s="91">
        <v>3</v>
      </c>
      <c r="I11" s="91">
        <v>3712</v>
      </c>
      <c r="J11" s="91">
        <v>7</v>
      </c>
      <c r="K11" s="90">
        <f t="shared" si="0"/>
        <v>540891428.57142866</v>
      </c>
      <c r="L11" s="91">
        <v>3</v>
      </c>
      <c r="M11" s="91">
        <v>3690</v>
      </c>
      <c r="N11" s="91">
        <v>7</v>
      </c>
      <c r="O11" s="90">
        <f t="shared" si="1"/>
        <v>537685714.28571427</v>
      </c>
      <c r="P11" s="89">
        <f t="shared" ref="P11:P19" si="6">AVERAGE(O11,K11,G11)</f>
        <v>521802857.14285713</v>
      </c>
      <c r="Q11" s="89">
        <f t="shared" ref="Q11:Q19" si="7">STDEV(O11,K11,G11)</f>
        <v>30328530.516088422</v>
      </c>
      <c r="R11" s="88">
        <f t="shared" si="5"/>
        <v>8.7175064527595634</v>
      </c>
    </row>
    <row r="12" spans="2:18">
      <c r="B12" s="98" t="s">
        <v>199</v>
      </c>
      <c r="C12" s="91">
        <v>900</v>
      </c>
      <c r="D12" s="91">
        <v>2</v>
      </c>
      <c r="E12" s="91">
        <v>19134</v>
      </c>
      <c r="F12" s="91">
        <v>7</v>
      </c>
      <c r="G12" s="90">
        <f>(E12/F12)*(10.2)*POWER(10,D12+2)</f>
        <v>278809714.28571427</v>
      </c>
      <c r="H12" s="91">
        <v>2</v>
      </c>
      <c r="I12" s="91">
        <v>18838</v>
      </c>
      <c r="J12" s="91">
        <v>7</v>
      </c>
      <c r="K12" s="90">
        <f t="shared" si="0"/>
        <v>274496571.42857146</v>
      </c>
      <c r="L12" s="91">
        <v>2</v>
      </c>
      <c r="M12" s="91">
        <v>18096</v>
      </c>
      <c r="N12" s="91">
        <v>7</v>
      </c>
      <c r="O12" s="90">
        <f t="shared" si="1"/>
        <v>263684571.42857143</v>
      </c>
      <c r="P12" s="89">
        <f t="shared" si="6"/>
        <v>272330285.71428573</v>
      </c>
      <c r="Q12" s="89">
        <f t="shared" si="7"/>
        <v>7791795.8109272597</v>
      </c>
      <c r="R12" s="88">
        <f t="shared" si="5"/>
        <v>8.4350959416969342</v>
      </c>
    </row>
    <row r="13" spans="2:18">
      <c r="B13" s="98" t="s">
        <v>200</v>
      </c>
      <c r="C13" s="91">
        <v>900</v>
      </c>
      <c r="D13" s="91">
        <v>2</v>
      </c>
      <c r="E13" s="91">
        <v>9224</v>
      </c>
      <c r="F13" s="91">
        <v>7</v>
      </c>
      <c r="G13" s="90">
        <f t="shared" si="4"/>
        <v>134406857.14285713</v>
      </c>
      <c r="H13" s="91">
        <v>2</v>
      </c>
      <c r="I13" s="91">
        <v>9341</v>
      </c>
      <c r="J13" s="91">
        <v>7</v>
      </c>
      <c r="K13" s="90">
        <f t="shared" si="0"/>
        <v>136111714.28571427</v>
      </c>
      <c r="L13" s="91">
        <v>2</v>
      </c>
      <c r="M13" s="91">
        <v>9173</v>
      </c>
      <c r="N13" s="91">
        <v>7</v>
      </c>
      <c r="O13" s="90">
        <f t="shared" si="1"/>
        <v>133663714.28571427</v>
      </c>
      <c r="P13" s="89">
        <f t="shared" si="6"/>
        <v>134727428.57142857</v>
      </c>
      <c r="Q13" s="89">
        <f t="shared" si="7"/>
        <v>1255089.8496172463</v>
      </c>
      <c r="R13" s="88">
        <f t="shared" si="5"/>
        <v>8.1294560208497231</v>
      </c>
    </row>
    <row r="14" spans="2:18">
      <c r="B14" s="98" t="s">
        <v>201</v>
      </c>
      <c r="C14" s="91">
        <v>900</v>
      </c>
      <c r="D14" s="91">
        <v>2</v>
      </c>
      <c r="E14" s="91">
        <v>4238</v>
      </c>
      <c r="F14" s="91">
        <v>7</v>
      </c>
      <c r="G14" s="90">
        <f t="shared" si="4"/>
        <v>61753714.285714284</v>
      </c>
      <c r="H14" s="91">
        <v>2</v>
      </c>
      <c r="I14" s="91">
        <v>4832</v>
      </c>
      <c r="J14" s="91">
        <v>7</v>
      </c>
      <c r="K14" s="90">
        <f t="shared" si="0"/>
        <v>70409142.857142866</v>
      </c>
      <c r="L14" s="91">
        <v>2</v>
      </c>
      <c r="M14" s="91">
        <v>4770</v>
      </c>
      <c r="N14" s="91">
        <v>7</v>
      </c>
      <c r="O14" s="90">
        <f t="shared" si="1"/>
        <v>69505714.285714284</v>
      </c>
      <c r="P14" s="89">
        <f t="shared" si="6"/>
        <v>67222857.142857134</v>
      </c>
      <c r="Q14" s="89">
        <f t="shared" si="7"/>
        <v>4757907.9950957391</v>
      </c>
      <c r="R14" s="88">
        <f t="shared" si="5"/>
        <v>7.8275169671487372</v>
      </c>
    </row>
    <row r="15" spans="2:18">
      <c r="B15" s="98" t="s">
        <v>202</v>
      </c>
      <c r="C15" s="91">
        <v>900</v>
      </c>
      <c r="D15" s="91">
        <v>1</v>
      </c>
      <c r="E15" s="91">
        <v>22411</v>
      </c>
      <c r="F15" s="91">
        <v>7</v>
      </c>
      <c r="G15" s="90">
        <f t="shared" si="4"/>
        <v>32656028.571428567</v>
      </c>
      <c r="H15" s="91">
        <v>1</v>
      </c>
      <c r="I15" s="91">
        <v>23826</v>
      </c>
      <c r="J15" s="91">
        <v>7</v>
      </c>
      <c r="K15" s="90">
        <f t="shared" si="0"/>
        <v>34717885.714285716</v>
      </c>
      <c r="L15" s="91">
        <v>1</v>
      </c>
      <c r="M15" s="91">
        <v>24471</v>
      </c>
      <c r="N15" s="91">
        <v>7</v>
      </c>
      <c r="O15" s="90">
        <f t="shared" si="1"/>
        <v>35657742.857142851</v>
      </c>
      <c r="P15" s="89">
        <f t="shared" si="6"/>
        <v>34343885.714285709</v>
      </c>
      <c r="Q15" s="89">
        <f t="shared" si="7"/>
        <v>1535408.4678890193</v>
      </c>
      <c r="R15" s="88">
        <f t="shared" si="5"/>
        <v>7.5358494302775298</v>
      </c>
    </row>
    <row r="16" spans="2:18">
      <c r="B16" s="98" t="s">
        <v>203</v>
      </c>
      <c r="C16" s="91">
        <v>900</v>
      </c>
      <c r="D16" s="91">
        <v>1</v>
      </c>
      <c r="E16" s="91">
        <v>12012</v>
      </c>
      <c r="F16" s="91">
        <v>7</v>
      </c>
      <c r="G16" s="90">
        <f t="shared" si="4"/>
        <v>17503199.999999996</v>
      </c>
      <c r="H16" s="91">
        <v>1</v>
      </c>
      <c r="I16" s="91">
        <v>12668</v>
      </c>
      <c r="J16" s="91">
        <v>7</v>
      </c>
      <c r="K16" s="90">
        <f t="shared" si="0"/>
        <v>18459085.714285713</v>
      </c>
      <c r="L16" s="91">
        <v>1</v>
      </c>
      <c r="M16" s="91">
        <v>11470</v>
      </c>
      <c r="N16" s="91">
        <v>7</v>
      </c>
      <c r="O16" s="90">
        <f t="shared" si="1"/>
        <v>16713428.571428573</v>
      </c>
      <c r="P16" s="89">
        <f t="shared" si="6"/>
        <v>17558571.428571429</v>
      </c>
      <c r="Q16" s="89">
        <f t="shared" si="7"/>
        <v>874144.84579420183</v>
      </c>
      <c r="R16" s="88">
        <f t="shared" si="5"/>
        <v>7.2444891786585481</v>
      </c>
    </row>
    <row r="17" spans="2:18">
      <c r="B17" s="98" t="s">
        <v>204</v>
      </c>
      <c r="C17" s="91">
        <v>900</v>
      </c>
      <c r="D17" s="91">
        <v>1</v>
      </c>
      <c r="E17" s="91">
        <v>5750</v>
      </c>
      <c r="F17" s="91">
        <v>7</v>
      </c>
      <c r="G17" s="90">
        <f t="shared" si="4"/>
        <v>8378571.4285714272</v>
      </c>
      <c r="H17" s="91">
        <v>1</v>
      </c>
      <c r="I17" s="91">
        <v>5481</v>
      </c>
      <c r="J17" s="91">
        <v>7</v>
      </c>
      <c r="K17" s="90">
        <f t="shared" si="0"/>
        <v>7986599.9999999991</v>
      </c>
      <c r="L17" s="91">
        <v>1</v>
      </c>
      <c r="M17" s="91">
        <v>5831</v>
      </c>
      <c r="N17" s="91">
        <v>7</v>
      </c>
      <c r="O17" s="90">
        <f t="shared" si="1"/>
        <v>8496599.9999999981</v>
      </c>
      <c r="P17" s="89">
        <f t="shared" si="6"/>
        <v>8287257.1428571418</v>
      </c>
      <c r="Q17" s="89">
        <f t="shared" si="7"/>
        <v>266980.75601367303</v>
      </c>
      <c r="R17" s="88">
        <f t="shared" si="5"/>
        <v>6.9184108146481318</v>
      </c>
    </row>
    <row r="18" spans="2:18">
      <c r="B18" s="98" t="s">
        <v>205</v>
      </c>
      <c r="C18" s="91">
        <v>900</v>
      </c>
      <c r="D18" s="91">
        <v>1</v>
      </c>
      <c r="E18" s="91">
        <v>2868</v>
      </c>
      <c r="F18" s="91">
        <v>7</v>
      </c>
      <c r="G18" s="90">
        <f t="shared" si="4"/>
        <v>4179085.7142857141</v>
      </c>
      <c r="H18" s="91">
        <v>1</v>
      </c>
      <c r="I18" s="91">
        <v>2835</v>
      </c>
      <c r="J18" s="91">
        <v>7</v>
      </c>
      <c r="K18" s="90">
        <f t="shared" si="0"/>
        <v>4131000</v>
      </c>
      <c r="L18" s="91">
        <v>1</v>
      </c>
      <c r="M18" s="91">
        <v>2976</v>
      </c>
      <c r="N18" s="91">
        <v>7</v>
      </c>
      <c r="O18" s="90">
        <f t="shared" si="1"/>
        <v>4336457.1428571427</v>
      </c>
      <c r="P18" s="89">
        <f t="shared" si="6"/>
        <v>4215514.2857142854</v>
      </c>
      <c r="Q18" s="89">
        <f t="shared" si="7"/>
        <v>107463.6682790979</v>
      </c>
      <c r="R18" s="88">
        <f t="shared" si="5"/>
        <v>6.6248505653956435</v>
      </c>
    </row>
    <row r="19" spans="2:18">
      <c r="B19" s="98" t="s">
        <v>206</v>
      </c>
      <c r="C19" s="91">
        <v>900</v>
      </c>
      <c r="D19" s="91">
        <v>0</v>
      </c>
      <c r="E19" s="91">
        <v>10096</v>
      </c>
      <c r="F19" s="91">
        <v>7</v>
      </c>
      <c r="G19" s="90">
        <f t="shared" si="4"/>
        <v>1471131.4285714284</v>
      </c>
      <c r="H19" s="91">
        <v>0</v>
      </c>
      <c r="I19" s="91">
        <v>8923</v>
      </c>
      <c r="J19" s="91">
        <v>7</v>
      </c>
      <c r="K19" s="90">
        <f>(I19/J19)*(10.2)*POWER(10,H19+2)</f>
        <v>1300208.5714285716</v>
      </c>
      <c r="L19" s="91">
        <v>0</v>
      </c>
      <c r="M19" s="91">
        <v>8050</v>
      </c>
      <c r="N19" s="91">
        <v>7</v>
      </c>
      <c r="O19" s="90">
        <f t="shared" si="1"/>
        <v>1173000</v>
      </c>
      <c r="P19" s="89">
        <f t="shared" si="6"/>
        <v>1314780</v>
      </c>
      <c r="Q19" s="89">
        <f t="shared" si="7"/>
        <v>149598.9039848533</v>
      </c>
      <c r="R19" s="88">
        <f t="shared" si="5"/>
        <v>6.118853089115321</v>
      </c>
    </row>
    <row r="20" spans="2:18" ht="15" thickBot="1"/>
    <row r="21" spans="2:18" ht="55" customHeight="1" thickBot="1">
      <c r="B21" s="101" t="s">
        <v>4</v>
      </c>
      <c r="C21" s="101" t="s">
        <v>180</v>
      </c>
      <c r="D21" s="101" t="s">
        <v>179</v>
      </c>
      <c r="E21" s="101" t="s">
        <v>178</v>
      </c>
      <c r="F21" s="101" t="s">
        <v>177</v>
      </c>
      <c r="G21" s="102" t="s">
        <v>215</v>
      </c>
      <c r="H21" s="104" t="s">
        <v>216</v>
      </c>
      <c r="I21" s="104" t="s">
        <v>211</v>
      </c>
      <c r="J21" s="104" t="s">
        <v>212</v>
      </c>
      <c r="K21" s="104" t="s">
        <v>213</v>
      </c>
      <c r="L21" s="104" t="s">
        <v>214</v>
      </c>
      <c r="M21" s="103" t="s">
        <v>231</v>
      </c>
    </row>
    <row r="23" spans="2:18">
      <c r="B23" s="98" t="s">
        <v>191</v>
      </c>
      <c r="C23" s="105">
        <v>16.382114410400391</v>
      </c>
      <c r="D23" s="105">
        <v>16.2430419921875</v>
      </c>
      <c r="E23" s="105">
        <v>16.416009902954102</v>
      </c>
      <c r="F23" s="105">
        <f>AVERAGE(C23:E23)</f>
        <v>16.347055435180664</v>
      </c>
      <c r="G23" s="85">
        <f>15*180/4*1000/900</f>
        <v>750</v>
      </c>
      <c r="H23" s="85">
        <f>LOG(G23)/LOG(2)</f>
        <v>9.5507467853832431</v>
      </c>
      <c r="I23" s="91">
        <f>C23-H23</f>
        <v>6.8313676250171476</v>
      </c>
      <c r="J23" s="91">
        <f>D23-H23</f>
        <v>6.6922952068042569</v>
      </c>
      <c r="K23" s="91">
        <f>E23-H23</f>
        <v>6.8652631175708585</v>
      </c>
      <c r="L23" s="86">
        <f>AVERAGE(I23:K23)</f>
        <v>6.796308649797421</v>
      </c>
    </row>
    <row r="24" spans="2:18">
      <c r="B24" s="98" t="s">
        <v>192</v>
      </c>
      <c r="C24" s="105">
        <v>20.246736526489258</v>
      </c>
      <c r="D24" s="105">
        <v>20.337041854858398</v>
      </c>
      <c r="E24" s="105">
        <v>20.223323822021484</v>
      </c>
      <c r="F24" s="105">
        <f t="shared" ref="F24:F38" si="8">AVERAGE(C24:E24)</f>
        <v>20.269034067789715</v>
      </c>
      <c r="G24" s="85">
        <f t="shared" ref="G24:G26" si="9">15*180/4*1000/900</f>
        <v>750</v>
      </c>
      <c r="H24" s="85">
        <f t="shared" ref="H24:H38" si="10">LOG(G24)/LOG(2)</f>
        <v>9.5507467853832431</v>
      </c>
      <c r="I24" s="91">
        <f t="shared" ref="I24:I38" si="11">C24-H24</f>
        <v>10.695989741106015</v>
      </c>
      <c r="J24" s="91">
        <f t="shared" ref="J24:J38" si="12">D24-H24</f>
        <v>10.786295069475155</v>
      </c>
      <c r="K24" s="91">
        <f t="shared" ref="K24:K38" si="13">E24-H24</f>
        <v>10.672577036638241</v>
      </c>
      <c r="L24" s="86">
        <f t="shared" ref="L24:L38" si="14">AVERAGE(I24:K24)</f>
        <v>10.71828728240647</v>
      </c>
    </row>
    <row r="25" spans="2:18">
      <c r="B25" s="98" t="s">
        <v>193</v>
      </c>
      <c r="C25" s="105">
        <v>23.471084594726562</v>
      </c>
      <c r="D25" s="105">
        <v>23.434993743896484</v>
      </c>
      <c r="E25" s="105">
        <v>23.65556526184082</v>
      </c>
      <c r="F25" s="105">
        <f t="shared" si="8"/>
        <v>23.520547866821289</v>
      </c>
      <c r="G25" s="85">
        <f t="shared" si="9"/>
        <v>750</v>
      </c>
      <c r="H25" s="85">
        <f t="shared" si="10"/>
        <v>9.5507467853832431</v>
      </c>
      <c r="I25" s="91">
        <f t="shared" si="11"/>
        <v>13.920337809343319</v>
      </c>
      <c r="J25" s="91">
        <f t="shared" si="12"/>
        <v>13.884246958513241</v>
      </c>
      <c r="K25" s="91">
        <f t="shared" si="13"/>
        <v>14.104818476457577</v>
      </c>
      <c r="L25" s="86">
        <f t="shared" si="14"/>
        <v>13.969801081438044</v>
      </c>
    </row>
    <row r="26" spans="2:18">
      <c r="B26" s="98" t="s">
        <v>194</v>
      </c>
      <c r="C26" s="105">
        <v>27.687118530273438</v>
      </c>
      <c r="D26" s="105">
        <v>27.683933258056641</v>
      </c>
      <c r="E26" s="105">
        <v>27.721792221069336</v>
      </c>
      <c r="F26" s="105">
        <f t="shared" si="8"/>
        <v>27.697614669799805</v>
      </c>
      <c r="G26" s="85">
        <f t="shared" si="9"/>
        <v>750</v>
      </c>
      <c r="H26" s="85">
        <f t="shared" si="10"/>
        <v>9.5507467853832431</v>
      </c>
      <c r="I26" s="91">
        <f t="shared" si="11"/>
        <v>18.136371744890194</v>
      </c>
      <c r="J26" s="91">
        <f t="shared" si="12"/>
        <v>18.133186472673398</v>
      </c>
      <c r="K26" s="91">
        <f t="shared" si="13"/>
        <v>18.171045435686093</v>
      </c>
      <c r="L26" s="86">
        <f t="shared" si="14"/>
        <v>18.146867884416562</v>
      </c>
    </row>
    <row r="27" spans="2:18">
      <c r="B27" s="98" t="s">
        <v>195</v>
      </c>
      <c r="C27" s="105">
        <v>31.580327987670898</v>
      </c>
      <c r="D27" s="105">
        <v>31.876550674438477</v>
      </c>
      <c r="E27" s="105">
        <v>31.972114562988281</v>
      </c>
      <c r="F27" s="105">
        <f t="shared" si="8"/>
        <v>31.809664408365887</v>
      </c>
      <c r="G27" s="85">
        <f>15*180/4*1000/900</f>
        <v>750</v>
      </c>
      <c r="H27" s="85">
        <f>LOG(G27)/LOG(2)</f>
        <v>9.5507467853832431</v>
      </c>
      <c r="I27" s="91">
        <f t="shared" si="11"/>
        <v>22.029581202287655</v>
      </c>
      <c r="J27" s="91">
        <f t="shared" si="12"/>
        <v>22.325803889055233</v>
      </c>
      <c r="K27" s="91">
        <f t="shared" si="13"/>
        <v>22.421367777605038</v>
      </c>
      <c r="L27" s="86">
        <f t="shared" si="14"/>
        <v>22.25891762298264</v>
      </c>
    </row>
    <row r="28" spans="2:18">
      <c r="B28" s="98" t="s">
        <v>196</v>
      </c>
      <c r="C28" s="105">
        <v>16.648801803588867</v>
      </c>
      <c r="D28" s="105">
        <v>17.485513687133789</v>
      </c>
      <c r="E28" s="105">
        <v>16.725131988525391</v>
      </c>
      <c r="F28" s="105">
        <f t="shared" si="8"/>
        <v>16.953149159749348</v>
      </c>
      <c r="G28" s="85">
        <f>15*180/4*1000/1000</f>
        <v>675</v>
      </c>
      <c r="H28" s="85">
        <f t="shared" si="10"/>
        <v>9.3987436919381935</v>
      </c>
      <c r="I28" s="91">
        <f t="shared" si="11"/>
        <v>7.2500581116506737</v>
      </c>
      <c r="J28" s="91">
        <f t="shared" si="12"/>
        <v>8.0867699951955956</v>
      </c>
      <c r="K28" s="91">
        <f t="shared" si="13"/>
        <v>7.3263882965871971</v>
      </c>
      <c r="L28" s="86">
        <f t="shared" si="14"/>
        <v>7.5544054678111552</v>
      </c>
    </row>
    <row r="29" spans="2:18">
      <c r="B29" s="98" t="s">
        <v>197</v>
      </c>
      <c r="C29" s="105">
        <v>19.15205192565918</v>
      </c>
      <c r="D29" s="105">
        <v>18.957448959350586</v>
      </c>
      <c r="E29" s="105">
        <v>18.855649948120117</v>
      </c>
      <c r="F29" s="105">
        <f t="shared" si="8"/>
        <v>18.988383611043293</v>
      </c>
      <c r="G29" s="85">
        <f>15*180/4*1000/500</f>
        <v>1350</v>
      </c>
      <c r="H29" s="85">
        <f t="shared" si="10"/>
        <v>10.398743691938193</v>
      </c>
      <c r="I29" s="91">
        <f t="shared" si="11"/>
        <v>8.7533082337209862</v>
      </c>
      <c r="J29" s="91">
        <f t="shared" si="12"/>
        <v>8.5587052674123925</v>
      </c>
      <c r="K29" s="91">
        <f t="shared" si="13"/>
        <v>8.4569062561819237</v>
      </c>
      <c r="L29" s="86">
        <f t="shared" si="14"/>
        <v>8.5896399191051014</v>
      </c>
    </row>
    <row r="30" spans="2:18">
      <c r="B30" s="98" t="s">
        <v>198</v>
      </c>
      <c r="C30" s="105">
        <v>19.934587478637695</v>
      </c>
      <c r="D30" s="105">
        <v>19.768661499023438</v>
      </c>
      <c r="E30" s="105">
        <v>19.823604583740234</v>
      </c>
      <c r="F30" s="105">
        <f t="shared" si="8"/>
        <v>19.842284520467121</v>
      </c>
      <c r="G30" s="85">
        <f t="shared" ref="G30:G38" si="15">15*180/4*1000/500</f>
        <v>1350</v>
      </c>
      <c r="H30" s="85">
        <f t="shared" si="10"/>
        <v>10.398743691938193</v>
      </c>
      <c r="I30" s="91">
        <f t="shared" si="11"/>
        <v>9.5358437866995018</v>
      </c>
      <c r="J30" s="91">
        <f t="shared" si="12"/>
        <v>9.369917807085244</v>
      </c>
      <c r="K30" s="91">
        <f t="shared" si="13"/>
        <v>9.4248608918020409</v>
      </c>
      <c r="L30" s="86">
        <f t="shared" si="14"/>
        <v>9.4435408285289295</v>
      </c>
    </row>
    <row r="31" spans="2:18">
      <c r="B31" s="98" t="s">
        <v>199</v>
      </c>
      <c r="C31" s="105">
        <v>20.650510787963867</v>
      </c>
      <c r="D31" s="105">
        <v>20.447122573852539</v>
      </c>
      <c r="E31" s="105">
        <v>20.447004318237305</v>
      </c>
      <c r="F31" s="105">
        <f t="shared" si="8"/>
        <v>20.51487922668457</v>
      </c>
      <c r="G31" s="85">
        <f t="shared" si="15"/>
        <v>1350</v>
      </c>
      <c r="H31" s="85">
        <f t="shared" si="10"/>
        <v>10.398743691938193</v>
      </c>
      <c r="I31" s="91">
        <f t="shared" si="11"/>
        <v>10.251767096025674</v>
      </c>
      <c r="J31" s="91">
        <f t="shared" si="12"/>
        <v>10.048378881914346</v>
      </c>
      <c r="K31" s="91">
        <f t="shared" si="13"/>
        <v>10.048260626299111</v>
      </c>
      <c r="L31" s="86">
        <f t="shared" si="14"/>
        <v>10.116135534746377</v>
      </c>
    </row>
    <row r="32" spans="2:18">
      <c r="B32" s="98" t="s">
        <v>200</v>
      </c>
      <c r="C32" s="105">
        <v>21.825428009033203</v>
      </c>
      <c r="D32" s="105">
        <v>21.617404937744141</v>
      </c>
      <c r="E32" s="105">
        <v>21.863065719604492</v>
      </c>
      <c r="F32" s="105">
        <f t="shared" si="8"/>
        <v>21.768632888793945</v>
      </c>
      <c r="G32" s="85">
        <f t="shared" si="15"/>
        <v>1350</v>
      </c>
      <c r="H32" s="85">
        <f t="shared" si="10"/>
        <v>10.398743691938193</v>
      </c>
      <c r="I32" s="91">
        <f t="shared" si="11"/>
        <v>11.42668431709501</v>
      </c>
      <c r="J32" s="91">
        <f t="shared" si="12"/>
        <v>11.218661245805947</v>
      </c>
      <c r="K32" s="91">
        <f t="shared" si="13"/>
        <v>11.464322027666299</v>
      </c>
      <c r="L32" s="86">
        <f t="shared" si="14"/>
        <v>11.369889196855752</v>
      </c>
    </row>
    <row r="33" spans="2:12">
      <c r="B33" s="98" t="s">
        <v>201</v>
      </c>
      <c r="C33" s="105">
        <v>22.909189224243164</v>
      </c>
      <c r="D33" s="105">
        <v>22.986705780029297</v>
      </c>
      <c r="E33" s="105">
        <v>23.151363372802734</v>
      </c>
      <c r="F33" s="105">
        <f t="shared" si="8"/>
        <v>23.015752792358398</v>
      </c>
      <c r="G33" s="85">
        <f>15*180/4*1000/500</f>
        <v>1350</v>
      </c>
      <c r="H33" s="85">
        <f t="shared" si="10"/>
        <v>10.398743691938193</v>
      </c>
      <c r="I33" s="91">
        <f t="shared" si="11"/>
        <v>12.510445532304971</v>
      </c>
      <c r="J33" s="91">
        <f t="shared" si="12"/>
        <v>12.587962088091103</v>
      </c>
      <c r="K33" s="91">
        <f t="shared" si="13"/>
        <v>12.752619680864541</v>
      </c>
      <c r="L33" s="86">
        <f t="shared" si="14"/>
        <v>12.617009100420205</v>
      </c>
    </row>
    <row r="34" spans="2:12">
      <c r="B34" s="98" t="s">
        <v>202</v>
      </c>
      <c r="C34" s="105">
        <v>24.431295394897461</v>
      </c>
      <c r="D34" s="105">
        <v>24.009675979614258</v>
      </c>
      <c r="E34" s="105">
        <v>23.951196670532227</v>
      </c>
      <c r="F34" s="105">
        <f t="shared" si="8"/>
        <v>24.130722681681316</v>
      </c>
      <c r="G34" s="85">
        <f t="shared" si="15"/>
        <v>1350</v>
      </c>
      <c r="H34" s="85">
        <f t="shared" si="10"/>
        <v>10.398743691938193</v>
      </c>
      <c r="I34" s="91">
        <f t="shared" si="11"/>
        <v>14.032551702959267</v>
      </c>
      <c r="J34" s="91">
        <f t="shared" si="12"/>
        <v>13.610932287676064</v>
      </c>
      <c r="K34" s="91">
        <f t="shared" si="13"/>
        <v>13.552452978594033</v>
      </c>
      <c r="L34" s="86">
        <f t="shared" si="14"/>
        <v>13.731978989743121</v>
      </c>
    </row>
    <row r="35" spans="2:12">
      <c r="B35" s="98" t="s">
        <v>203</v>
      </c>
      <c r="C35" s="105">
        <v>25.132335662841797</v>
      </c>
      <c r="D35" s="105">
        <v>24.967596054077148</v>
      </c>
      <c r="E35" s="105">
        <v>25.03386116027832</v>
      </c>
      <c r="F35" s="105">
        <f t="shared" si="8"/>
        <v>25.044597625732422</v>
      </c>
      <c r="G35" s="85">
        <f t="shared" si="15"/>
        <v>1350</v>
      </c>
      <c r="H35" s="85">
        <f t="shared" si="10"/>
        <v>10.398743691938193</v>
      </c>
      <c r="I35" s="91">
        <f t="shared" si="11"/>
        <v>14.733591970903603</v>
      </c>
      <c r="J35" s="91">
        <f t="shared" si="12"/>
        <v>14.568852362138955</v>
      </c>
      <c r="K35" s="91">
        <f t="shared" si="13"/>
        <v>14.635117468340127</v>
      </c>
      <c r="L35" s="86">
        <f t="shared" si="14"/>
        <v>14.645853933794228</v>
      </c>
    </row>
    <row r="36" spans="2:12">
      <c r="B36" s="98" t="s">
        <v>204</v>
      </c>
      <c r="C36" s="105">
        <v>26.708147048950195</v>
      </c>
      <c r="D36" s="105">
        <v>26.763067245483398</v>
      </c>
      <c r="E36" s="105"/>
      <c r="F36" s="105">
        <f t="shared" si="8"/>
        <v>26.735607147216797</v>
      </c>
      <c r="G36" s="85">
        <f t="shared" si="15"/>
        <v>1350</v>
      </c>
      <c r="H36" s="85">
        <f t="shared" si="10"/>
        <v>10.398743691938193</v>
      </c>
      <c r="I36" s="91">
        <f t="shared" si="11"/>
        <v>16.309403357012002</v>
      </c>
      <c r="J36" s="91">
        <f t="shared" si="12"/>
        <v>16.364323553545205</v>
      </c>
      <c r="K36" s="91"/>
      <c r="L36" s="86">
        <f t="shared" si="14"/>
        <v>16.336863455278603</v>
      </c>
    </row>
    <row r="37" spans="2:12">
      <c r="B37" s="98" t="s">
        <v>205</v>
      </c>
      <c r="C37" s="105">
        <v>27.613700866699219</v>
      </c>
      <c r="D37" s="105">
        <v>27.812423706054688</v>
      </c>
      <c r="E37" s="105">
        <v>27.789873123168945</v>
      </c>
      <c r="F37" s="105">
        <f t="shared" si="8"/>
        <v>27.738665898640949</v>
      </c>
      <c r="G37" s="85">
        <f t="shared" si="15"/>
        <v>1350</v>
      </c>
      <c r="H37" s="85">
        <f t="shared" si="10"/>
        <v>10.398743691938193</v>
      </c>
      <c r="I37" s="91">
        <f t="shared" si="11"/>
        <v>17.214957174761025</v>
      </c>
      <c r="J37" s="91">
        <f t="shared" si="12"/>
        <v>17.413680014116494</v>
      </c>
      <c r="K37" s="91">
        <f t="shared" si="13"/>
        <v>17.391129431230752</v>
      </c>
      <c r="L37" s="86">
        <f t="shared" si="14"/>
        <v>17.339922206702756</v>
      </c>
    </row>
    <row r="38" spans="2:12">
      <c r="B38" s="98" t="s">
        <v>206</v>
      </c>
      <c r="C38" s="105">
        <v>29.07282829284668</v>
      </c>
      <c r="D38" s="105">
        <v>28.964012145996094</v>
      </c>
      <c r="E38" s="105">
        <v>29.311826705932617</v>
      </c>
      <c r="F38" s="105">
        <f t="shared" si="8"/>
        <v>29.116222381591797</v>
      </c>
      <c r="G38" s="85">
        <f t="shared" si="15"/>
        <v>1350</v>
      </c>
      <c r="H38" s="85">
        <f t="shared" si="10"/>
        <v>10.398743691938193</v>
      </c>
      <c r="I38" s="91">
        <f t="shared" si="11"/>
        <v>18.674084600908486</v>
      </c>
      <c r="J38" s="91">
        <f t="shared" si="12"/>
        <v>18.5652684540579</v>
      </c>
      <c r="K38" s="91">
        <f t="shared" si="13"/>
        <v>18.913083013994424</v>
      </c>
      <c r="L38" s="86">
        <f t="shared" si="14"/>
        <v>18.717478689653603</v>
      </c>
    </row>
    <row r="40" spans="2:12">
      <c r="B40" s="98" t="s">
        <v>221</v>
      </c>
      <c r="C40" s="105">
        <v>15.713388442993164</v>
      </c>
      <c r="D40" s="105">
        <v>15.726656913757324</v>
      </c>
      <c r="E40" s="105">
        <v>15.612536430358887</v>
      </c>
      <c r="F40" s="105">
        <f>AVERAGE(C40:E40)</f>
        <v>15.684193929036459</v>
      </c>
    </row>
    <row r="42" spans="2:12">
      <c r="B42" s="106" t="s">
        <v>226</v>
      </c>
      <c r="C42" s="85" t="s">
        <v>176</v>
      </c>
    </row>
    <row r="43" spans="2:12">
      <c r="B43" s="103" t="s">
        <v>227</v>
      </c>
      <c r="C43" s="85" t="s">
        <v>176</v>
      </c>
    </row>
    <row r="44" spans="2:12">
      <c r="C44" s="87" t="s">
        <v>175</v>
      </c>
      <c r="D44" s="86">
        <v>-3.6977000000000002</v>
      </c>
      <c r="F44" s="114">
        <v>3.8007</v>
      </c>
    </row>
    <row r="45" spans="2:12">
      <c r="C45" s="87" t="s">
        <v>174</v>
      </c>
      <c r="D45" s="86">
        <v>41.616</v>
      </c>
      <c r="F45" s="114">
        <v>42.466999999999999</v>
      </c>
    </row>
    <row r="48" spans="2:12">
      <c r="B48" s="103" t="s">
        <v>217</v>
      </c>
      <c r="D48" s="85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73"/>
  <sheetViews>
    <sheetView workbookViewId="0">
      <selection activeCell="H74" sqref="H74"/>
    </sheetView>
  </sheetViews>
  <sheetFormatPr baseColWidth="10" defaultColWidth="8.83203125" defaultRowHeight="14" x14ac:dyDescent="0"/>
  <cols>
    <col min="1" max="1" width="13.33203125" style="85" bestFit="1" customWidth="1"/>
    <col min="2" max="4" width="8.83203125" style="85"/>
    <col min="5" max="6" width="13.33203125" style="85" bestFit="1" customWidth="1"/>
    <col min="7" max="10" width="13.6640625" style="85" customWidth="1"/>
    <col min="11" max="11" width="16.5" style="85" bestFit="1" customWidth="1"/>
    <col min="12" max="12" width="17" style="85" customWidth="1"/>
    <col min="13" max="13" width="19.1640625" style="85" customWidth="1"/>
    <col min="14" max="14" width="17" style="85" customWidth="1"/>
    <col min="15" max="15" width="18.83203125" style="85" customWidth="1"/>
    <col min="16" max="16" width="18" style="85" customWidth="1"/>
    <col min="17" max="17" width="23.5" style="85" customWidth="1"/>
    <col min="18" max="18" width="18.5" style="85" customWidth="1"/>
    <col min="19" max="19" width="23.5" style="85" customWidth="1"/>
    <col min="20" max="16384" width="8.83203125" style="85"/>
  </cols>
  <sheetData>
    <row r="1" spans="1:21">
      <c r="A1" s="99" t="s">
        <v>222</v>
      </c>
    </row>
    <row r="2" spans="1:21">
      <c r="A2" s="126" t="s">
        <v>4</v>
      </c>
      <c r="B2" s="126" t="s">
        <v>104</v>
      </c>
      <c r="C2" s="126" t="s">
        <v>104</v>
      </c>
      <c r="D2" s="126" t="s">
        <v>5</v>
      </c>
      <c r="E2" s="138" t="s">
        <v>190</v>
      </c>
      <c r="F2" s="138" t="s">
        <v>189</v>
      </c>
      <c r="G2" s="138" t="s">
        <v>188</v>
      </c>
      <c r="H2" s="140" t="s">
        <v>218</v>
      </c>
      <c r="I2" s="140" t="s">
        <v>219</v>
      </c>
      <c r="J2" s="140" t="s">
        <v>220</v>
      </c>
      <c r="K2" s="138" t="s">
        <v>187</v>
      </c>
      <c r="L2" s="138" t="s">
        <v>186</v>
      </c>
      <c r="M2" s="138" t="s">
        <v>185</v>
      </c>
      <c r="N2" s="138" t="s">
        <v>184</v>
      </c>
      <c r="O2" s="138" t="s">
        <v>183</v>
      </c>
      <c r="P2" s="140" t="s">
        <v>210</v>
      </c>
      <c r="Q2" s="140" t="s">
        <v>224</v>
      </c>
      <c r="R2" s="144" t="s">
        <v>208</v>
      </c>
      <c r="S2" s="140" t="s">
        <v>209</v>
      </c>
      <c r="U2" s="62"/>
    </row>
    <row r="3" spans="1:21">
      <c r="A3" s="127"/>
      <c r="B3" s="127"/>
      <c r="C3" s="127"/>
      <c r="D3" s="127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45"/>
      <c r="S3" s="139"/>
      <c r="U3" s="62"/>
    </row>
    <row r="4" spans="1:21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105">
        <v>22.657491683959961</v>
      </c>
      <c r="F4" s="105">
        <v>22.738552093505859</v>
      </c>
      <c r="G4" s="105">
        <v>23.002664566040039</v>
      </c>
      <c r="H4" s="105">
        <f>E4-$H$58+$H$73</f>
        <v>23.034862621070804</v>
      </c>
      <c r="I4" s="105">
        <f>F4-$H$58+$H$73</f>
        <v>23.115923030616703</v>
      </c>
      <c r="J4" s="105">
        <f>G4-$H$58+$H$73</f>
        <v>23.380035503150882</v>
      </c>
      <c r="K4" s="97">
        <f>((H4-'Calibration R. intestinalis '!$D$45)/('Calibration R. intestinalis '!$D$44))+$B$24</f>
        <v>8.6782652165173708</v>
      </c>
      <c r="L4" s="97">
        <f>((I4-'Calibration R. intestinalis '!$D$45)/('Calibration R. intestinalis '!$D$44))+$B$24</f>
        <v>8.6563433706277912</v>
      </c>
      <c r="M4" s="97">
        <f>((J4-'Calibration R. intestinalis '!$D$45)/('Calibration R. intestinalis '!$D$44))+$B$24</f>
        <v>8.5849172212554308</v>
      </c>
      <c r="N4" s="109">
        <f>AVERAGE(K4:M4)</f>
        <v>8.6398419361335304</v>
      </c>
      <c r="O4" s="109">
        <f>STDEV(K4:M4)</f>
        <v>4.8812755096716967E-2</v>
      </c>
      <c r="P4" s="86">
        <f>(AVERAGE(POWER(10,K4),POWER(10,L4),POWER(10,M4)))*(Calculation!I4/Calculation!K3)</f>
        <v>439602044.18969762</v>
      </c>
      <c r="Q4" s="110">
        <f>(STDEV(POWER(10,K4),POWER(10,L4),POWER(10,M4)))*(Calculation!I4/Calculation!K3)</f>
        <v>48075399.341476701</v>
      </c>
      <c r="R4" s="109">
        <f>LOG(P4)</f>
        <v>8.6430597032651963</v>
      </c>
      <c r="S4" s="109">
        <f>O4*(Calculation!I4/Calculation!K3)</f>
        <v>4.8972796916706203E-2</v>
      </c>
      <c r="U4" s="62"/>
    </row>
    <row r="5" spans="1:21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112">
        <v>21.170036315917969</v>
      </c>
      <c r="F5" s="105">
        <v>21.331214904785156</v>
      </c>
      <c r="G5" s="105">
        <v>21.140018463134766</v>
      </c>
      <c r="H5" s="105">
        <f>E5-$H$58+$H$73</f>
        <v>21.547407253028812</v>
      </c>
      <c r="I5" s="105">
        <f>F5-$H$58+$H$73</f>
        <v>21.708585841895999</v>
      </c>
      <c r="J5" s="105">
        <f>G5-$H$58+$H$73</f>
        <v>21.517389400245609</v>
      </c>
      <c r="K5" s="97">
        <f>((H5-'Calibration R. intestinalis '!$D$45)/('Calibration R. intestinalis '!$D$44))+$B$24</f>
        <v>9.0805302374877019</v>
      </c>
      <c r="L5" s="97">
        <f>((I5-'Calibration R. intestinalis '!$D$45)/('Calibration R. intestinalis '!$D$44))+$B$24</f>
        <v>9.0369413609246525</v>
      </c>
      <c r="M5" s="97">
        <f>((J5-'Calibration R. intestinalis '!$D$45)/('Calibration R. intestinalis '!$D$44))+$B$24</f>
        <v>9.0886482169839304</v>
      </c>
      <c r="N5" s="109">
        <f t="shared" ref="N5:N20" si="1">AVERAGE(K5:M5)</f>
        <v>9.0687066051320944</v>
      </c>
      <c r="O5" s="109">
        <f t="shared" ref="O5:O20" si="2">STDEV(K5:M5)</f>
        <v>2.7807345296596349E-2</v>
      </c>
      <c r="P5" s="86">
        <f>(AVERAGE(POWER(10,K5),POWER(10,L5),POWER(10,M5)))*(Calculation!I5/Calculation!K4)</f>
        <v>1177630934.5654843</v>
      </c>
      <c r="Q5" s="110">
        <f>(STDEV(POWER(10,K5),POWER(10,L5),POWER(10,M5)))*(Calculation!I5/Calculation!K4)</f>
        <v>74094034.616566613</v>
      </c>
      <c r="R5" s="109">
        <f>LOG(P5)</f>
        <v>9.0710092053957965</v>
      </c>
      <c r="S5" s="109">
        <f>O5*(Calculation!I5/Calculation!K4)</f>
        <v>2.7917431169279295E-2</v>
      </c>
      <c r="U5" s="62"/>
    </row>
    <row r="6" spans="1:21">
      <c r="A6" s="40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105">
        <v>19.969377517700195</v>
      </c>
      <c r="F6" s="105">
        <v>20.166101455688477</v>
      </c>
      <c r="G6" s="105">
        <v>20.146913528442383</v>
      </c>
      <c r="H6" s="105">
        <f>E6-$H$58+$H$73</f>
        <v>20.346748454811038</v>
      </c>
      <c r="I6" s="105">
        <f>F6-$H$58+$H$73</f>
        <v>20.54347239279932</v>
      </c>
      <c r="J6" s="105">
        <f>G6-$H$58+$H$73</f>
        <v>20.524284465553226</v>
      </c>
      <c r="K6" s="97">
        <f>((H6-'Calibration R. intestinalis '!$D$45)/('Calibration R. intestinalis '!$D$44))+$B$24</f>
        <v>9.4052344585488399</v>
      </c>
      <c r="L6" s="97">
        <f>((I6-'Calibration R. intestinalis '!$D$45)/('Calibration R. intestinalis '!$D$44))+$B$24</f>
        <v>9.3520327553310878</v>
      </c>
      <c r="M6" s="97">
        <f>((J6-'Calibration R. intestinalis '!$D$45)/('Calibration R. intestinalis '!$D$44))+$B$24</f>
        <v>9.3572219073028808</v>
      </c>
      <c r="N6" s="109">
        <f t="shared" si="1"/>
        <v>9.3714963737276022</v>
      </c>
      <c r="O6" s="109">
        <f t="shared" si="2"/>
        <v>2.9333012121163585E-2</v>
      </c>
      <c r="P6" s="86">
        <f>(AVERAGE(POWER(10,K6),POWER(10,L6),POWER(10,M6)))*(Calculation!I6/Calculation!K5)</f>
        <v>2373540164.9264846</v>
      </c>
      <c r="Q6" s="110">
        <f>(STDEV(POWER(10,K6),POWER(10,L6),POWER(10,M6)))*(Calculation!I6/Calculation!K5)</f>
        <v>163203622.47374037</v>
      </c>
      <c r="R6" s="109">
        <f t="shared" ref="R6:R20" si="4">LOG(P6)</f>
        <v>9.3753965852257917</v>
      </c>
      <c r="S6" s="109">
        <f>O6*(Calculation!I6/Calculation!K5)</f>
        <v>2.9552106935571663E-2</v>
      </c>
      <c r="U6" s="62"/>
    </row>
    <row r="7" spans="1:21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105">
        <v>19.694494247436523</v>
      </c>
      <c r="F7" s="105">
        <v>19.99200439453125</v>
      </c>
      <c r="G7" s="105">
        <v>19.727363586425781</v>
      </c>
      <c r="H7" s="105">
        <f>E7-$H$58+$H$73</f>
        <v>20.071865184547367</v>
      </c>
      <c r="I7" s="105">
        <f>F7-$H$58+$H$73</f>
        <v>20.369375331642093</v>
      </c>
      <c r="J7" s="105">
        <f>G7-$H$58+$H$73</f>
        <v>20.104734523536624</v>
      </c>
      <c r="K7" s="97">
        <f>((H7-'Calibration R. intestinalis '!$D$45)/('Calibration R. intestinalis '!$D$44))+$B$24</f>
        <v>9.4795734450170972</v>
      </c>
      <c r="L7" s="97">
        <f>((I7-'Calibration R. intestinalis '!$D$45)/('Calibration R. intestinalis '!$D$44))+$B$24</f>
        <v>9.3991152826202757</v>
      </c>
      <c r="M7" s="97">
        <f>((J7-'Calibration R. intestinalis '!$D$45)/('Calibration R. intestinalis '!$D$44))+$B$24</f>
        <v>9.4706843142089578</v>
      </c>
      <c r="N7" s="109">
        <f t="shared" si="1"/>
        <v>9.4497910139487775</v>
      </c>
      <c r="O7" s="109">
        <f t="shared" si="2"/>
        <v>4.4110956358821792E-2</v>
      </c>
      <c r="P7" s="86">
        <f>(AVERAGE(POWER(10,K7),POWER(10,L7),POWER(10,M7)))*(Calculation!I7/Calculation!K6)</f>
        <v>2864090314.5090952</v>
      </c>
      <c r="Q7" s="110">
        <f>(STDEV(POWER(10,K7),POWER(10,L7),POWER(10,M7)))*(Calculation!I7/Calculation!K6)</f>
        <v>282308781.70498276</v>
      </c>
      <c r="R7" s="109">
        <f t="shared" si="4"/>
        <v>9.4569867086339006</v>
      </c>
      <c r="S7" s="109">
        <f>O7*(Calculation!I7/Calculation!K6)</f>
        <v>4.4696941360929617E-2</v>
      </c>
      <c r="U7" s="62"/>
    </row>
    <row r="8" spans="1:21">
      <c r="A8" s="40">
        <v>4</v>
      </c>
      <c r="B8" s="54">
        <v>80</v>
      </c>
      <c r="C8" s="55">
        <f t="shared" si="3"/>
        <v>360</v>
      </c>
      <c r="D8" s="65">
        <f t="shared" si="0"/>
        <v>6</v>
      </c>
      <c r="E8" s="105">
        <v>19.692729949951172</v>
      </c>
      <c r="F8" s="105">
        <v>19.845867156982422</v>
      </c>
      <c r="G8" s="105">
        <v>20.178243637084961</v>
      </c>
      <c r="H8" s="105">
        <f>E8-$H$59+$H$73</f>
        <v>19.461781604530277</v>
      </c>
      <c r="I8" s="105">
        <f>F8-$H$59+$H$73</f>
        <v>19.614918811561527</v>
      </c>
      <c r="J8" s="105">
        <f>G8-$H$59+$H$73</f>
        <v>19.947295291664066</v>
      </c>
      <c r="K8" s="97">
        <f>((H8-'Calibration R. intestinalis '!$D$45)/('Calibration R. intestinalis '!$D$44))+$B$24</f>
        <v>9.6445634604367072</v>
      </c>
      <c r="L8" s="97">
        <f>((I8-'Calibration R. intestinalis '!$D$45)/('Calibration R. intestinalis '!$D$44))+$B$24</f>
        <v>9.6031492821552753</v>
      </c>
      <c r="M8" s="97">
        <f>((J8-'Calibration R. intestinalis '!$D$45)/('Calibration R. intestinalis '!$D$44))+$B$24</f>
        <v>9.5132619251218387</v>
      </c>
      <c r="N8" s="109">
        <f t="shared" si="1"/>
        <v>9.5869915559046071</v>
      </c>
      <c r="O8" s="109">
        <f t="shared" si="2"/>
        <v>6.7125460014841376E-2</v>
      </c>
      <c r="P8" s="86">
        <f>(AVERAGE(POWER(10,K8),POWER(10,L8),POWER(10,M8)))*(Calculation!I8/Calculation!K7)</f>
        <v>3966190416.7552834</v>
      </c>
      <c r="Q8" s="110">
        <f>(STDEV(POWER(10,K8),POWER(10,L8),POWER(10,M8)))*(Calculation!I8/Calculation!K7)</f>
        <v>595043098.7353524</v>
      </c>
      <c r="R8" s="109">
        <f t="shared" si="4"/>
        <v>9.598373560842786</v>
      </c>
      <c r="S8" s="109">
        <f>O8*(Calculation!I8/Calculation!K7)</f>
        <v>6.8371961625338026E-2</v>
      </c>
      <c r="U8" s="62"/>
    </row>
    <row r="9" spans="1:21">
      <c r="A9" s="40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105">
        <v>19.541492462158203</v>
      </c>
      <c r="F9" s="105">
        <v>18.971391677856445</v>
      </c>
      <c r="G9" s="105">
        <v>19.060537338256836</v>
      </c>
      <c r="H9" s="105">
        <f>E9-$H$58+$H$73</f>
        <v>19.918863399269046</v>
      </c>
      <c r="I9" s="105">
        <f>F9-$H$58+$H$73</f>
        <v>19.348762614967288</v>
      </c>
      <c r="J9" s="105">
        <f>G9-$H$58+$H$73</f>
        <v>19.437908275367679</v>
      </c>
      <c r="K9" s="97">
        <f>((H9-'Calibration R. intestinalis '!$D$45)/('Calibration R. intestinalis '!$D$44))+$B$24</f>
        <v>9.5209510000589663</v>
      </c>
      <c r="L9" s="97">
        <f>((I9-'Calibration R. intestinalis '!$D$45)/('Calibration R. intestinalis '!$D$44))+$B$24</f>
        <v>9.675128132952862</v>
      </c>
      <c r="M9" s="97">
        <f>((J9-'Calibration R. intestinalis '!$D$45)/('Calibration R. intestinalis '!$D$44))+$B$24</f>
        <v>9.6510197249153276</v>
      </c>
      <c r="N9" s="109">
        <f t="shared" si="1"/>
        <v>9.6156996193090531</v>
      </c>
      <c r="O9" s="109">
        <f t="shared" si="2"/>
        <v>8.29353933605812E-2</v>
      </c>
      <c r="P9" s="86">
        <f>(AVERAGE(POWER(10,K9),POWER(10,L9),POWER(10,M9)))*(Calculation!I9/Calculation!K8)</f>
        <v>4276641445.0794182</v>
      </c>
      <c r="Q9" s="110">
        <f>(STDEV(POWER(10,K9),POWER(10,L9),POWER(10,M9)))*(Calculation!I9/Calculation!K8)</f>
        <v>771817097.9401679</v>
      </c>
      <c r="R9" s="109">
        <f t="shared" si="4"/>
        <v>9.6311028404015335</v>
      </c>
      <c r="S9" s="109">
        <f>O9*(Calculation!I9/Calculation!K8)</f>
        <v>8.4928606337191195E-2</v>
      </c>
      <c r="U9" s="62"/>
    </row>
    <row r="10" spans="1:21">
      <c r="A10" s="40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105">
        <v>18.907609939575195</v>
      </c>
      <c r="F10" s="105">
        <v>19.17888069152832</v>
      </c>
      <c r="G10" s="105">
        <v>18.957038879394531</v>
      </c>
      <c r="H10" s="105">
        <f>E10-$H$58+$H$73</f>
        <v>19.284980876686038</v>
      </c>
      <c r="I10" s="105">
        <f>F10-$H$58+$H$73</f>
        <v>19.556251628639163</v>
      </c>
      <c r="J10" s="105">
        <f>G10-$H$58+$H$73</f>
        <v>19.334409816505374</v>
      </c>
      <c r="K10" s="97">
        <f>((H10-'Calibration R. intestinalis '!$D$45)/('Calibration R. intestinalis '!$D$44))+$B$24</f>
        <v>9.6923771629664515</v>
      </c>
      <c r="L10" s="97">
        <f>((I10-'Calibration R. intestinalis '!$D$45)/('Calibration R. intestinalis '!$D$44))+$B$24</f>
        <v>9.619015140100041</v>
      </c>
      <c r="M10" s="97">
        <f>((J10-'Calibration R. intestinalis '!$D$45)/('Calibration R. intestinalis '!$D$44))+$B$24</f>
        <v>9.6790096805261943</v>
      </c>
      <c r="N10" s="109">
        <f t="shared" si="1"/>
        <v>9.6634673278642271</v>
      </c>
      <c r="O10" s="109">
        <f t="shared" si="2"/>
        <v>3.9072626536548694E-2</v>
      </c>
      <c r="P10" s="86">
        <f>(AVERAGE(POWER(10,K10),POWER(10,L10),POWER(10,M10)))*(Calculation!I10/Calculation!K9)</f>
        <v>4753311803.1224432</v>
      </c>
      <c r="Q10" s="110">
        <f>(STDEV(POWER(10,K10),POWER(10,L10),POWER(10,M10)))*(Calculation!I10/Calculation!K9)</f>
        <v>417476111.37725663</v>
      </c>
      <c r="R10" s="109">
        <f t="shared" si="4"/>
        <v>9.6769963036560096</v>
      </c>
      <c r="S10" s="109">
        <f>O10*(Calculation!I10/Calculation!K9)</f>
        <v>4.0202052207388192E-2</v>
      </c>
      <c r="U10" s="62"/>
    </row>
    <row r="11" spans="1:21">
      <c r="A11" s="40">
        <v>7</v>
      </c>
      <c r="B11" s="54">
        <v>80</v>
      </c>
      <c r="C11" s="55">
        <f t="shared" si="3"/>
        <v>600</v>
      </c>
      <c r="D11" s="65">
        <f t="shared" si="0"/>
        <v>10</v>
      </c>
      <c r="E11" s="105">
        <v>18.476259231567383</v>
      </c>
      <c r="F11" s="105">
        <v>18.957700729370117</v>
      </c>
      <c r="G11" s="105">
        <v>18.44877815246582</v>
      </c>
      <c r="H11" s="105">
        <f>E11-$H$58+$H$73</f>
        <v>18.853630168678226</v>
      </c>
      <c r="I11" s="105">
        <f>F11-$H$58+$H$73</f>
        <v>19.33507166648096</v>
      </c>
      <c r="J11" s="105">
        <f>G11-$H$58+$H$73</f>
        <v>18.826149089576663</v>
      </c>
      <c r="K11" s="97">
        <f>((H11-'Calibration R. intestinalis '!$D$45)/('Calibration R. intestinalis '!$D$44))+$B$24</f>
        <v>9.8090309499172079</v>
      </c>
      <c r="L11" s="97">
        <f>((I11-'Calibration R. intestinalis '!$D$45)/('Calibration R. intestinalis '!$D$44))+$B$24</f>
        <v>9.678830690890587</v>
      </c>
      <c r="M11" s="97">
        <f>((J11-'Calibration R. intestinalis '!$D$45)/('Calibration R. intestinalis '!$D$44))+$B$24</f>
        <v>9.8164628884469867</v>
      </c>
      <c r="N11" s="109">
        <f t="shared" si="1"/>
        <v>9.7681081764182593</v>
      </c>
      <c r="O11" s="109">
        <f t="shared" si="2"/>
        <v>7.7405816927318641E-2</v>
      </c>
      <c r="P11" s="86">
        <f>(AVERAGE(POWER(10,K11),POWER(10,L11),POWER(10,M11)))*(Calculation!I11/Calculation!K10)</f>
        <v>6134475829.4756718</v>
      </c>
      <c r="Q11" s="110">
        <f>(STDEV(POWER(10,K11),POWER(10,L11),POWER(10,M11)))*(Calculation!I11/Calculation!K10)</f>
        <v>1032689773.5640963</v>
      </c>
      <c r="R11" s="109">
        <f t="shared" si="4"/>
        <v>9.7877774596316058</v>
      </c>
      <c r="S11" s="109">
        <f>O11*(Calculation!I11/Calculation!K10)</f>
        <v>8.0169861507816964E-2</v>
      </c>
      <c r="U11" s="62"/>
    </row>
    <row r="12" spans="1:21">
      <c r="A12" s="40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105">
        <v>18.407560348510742</v>
      </c>
      <c r="F12" s="105">
        <v>18.08155632019043</v>
      </c>
      <c r="G12" s="105">
        <v>18.079608917236328</v>
      </c>
      <c r="H12" s="105">
        <f>E12-$H$58+$H$73</f>
        <v>18.784931285621585</v>
      </c>
      <c r="I12" s="105">
        <f>F12-$H$58+$H$73</f>
        <v>18.458927257301273</v>
      </c>
      <c r="J12" s="105">
        <f>G12-$H$58+$H$73</f>
        <v>18.456979854347171</v>
      </c>
      <c r="K12" s="97">
        <f>((H12-'Calibration R. intestinalis '!$D$45)/('Calibration R. intestinalis '!$D$44))+$B$24</f>
        <v>9.8276097646011031</v>
      </c>
      <c r="L12" s="97">
        <f>((I12-'Calibration R. intestinalis '!$D$45)/('Calibration R. intestinalis '!$D$44))+$B$24</f>
        <v>9.9157737660940075</v>
      </c>
      <c r="M12" s="97">
        <f>((J12-'Calibration R. intestinalis '!$D$45)/('Calibration R. intestinalis '!$D$44))+$B$24</f>
        <v>9.9163004185953199</v>
      </c>
      <c r="N12" s="109">
        <f t="shared" si="1"/>
        <v>9.8865613164301447</v>
      </c>
      <c r="O12" s="109">
        <f t="shared" si="2"/>
        <v>5.1054220569932404E-2</v>
      </c>
      <c r="P12" s="86">
        <f>(AVERAGE(POWER(10,K12),POWER(10,L12),POWER(10,M12)))*(Calculation!I12/Calculation!K11)</f>
        <v>8067129880.8172588</v>
      </c>
      <c r="Q12" s="110">
        <f>(STDEV(POWER(10,K12),POWER(10,L12),POWER(10,M12)))*(Calculation!I12/Calculation!K11)</f>
        <v>914170006.19942474</v>
      </c>
      <c r="R12" s="109">
        <f t="shared" si="4"/>
        <v>9.9067190491418184</v>
      </c>
      <c r="S12" s="109">
        <f>O12*(Calculation!I12/Calculation!K11)</f>
        <v>5.3239773085087434E-2</v>
      </c>
      <c r="U12" s="62"/>
    </row>
    <row r="13" spans="1:21">
      <c r="A13" s="40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105">
        <v>18.271013259887695</v>
      </c>
      <c r="F13" s="105">
        <v>18.614526748657227</v>
      </c>
      <c r="G13" s="105">
        <v>18.162662506103516</v>
      </c>
      <c r="H13" s="105">
        <f>E13-$H$58+$H$73</f>
        <v>18.648384196998538</v>
      </c>
      <c r="I13" s="105">
        <f>F13-$H$58+$H$73</f>
        <v>18.99189768576807</v>
      </c>
      <c r="J13" s="105">
        <f>G13-$H$58+$H$73</f>
        <v>18.540033443214359</v>
      </c>
      <c r="K13" s="97">
        <f>((H13-'Calibration R. intestinalis '!$D$45)/('Calibration R. intestinalis '!$D$44))+$B$24</f>
        <v>9.8645373381260093</v>
      </c>
      <c r="L13" s="97">
        <f>((I13-'Calibration R. intestinalis '!$D$45)/('Calibration R. intestinalis '!$D$44))+$B$24</f>
        <v>9.7716381065037776</v>
      </c>
      <c r="M13" s="97">
        <f>((J13-'Calibration R. intestinalis '!$D$45)/('Calibration R. intestinalis '!$D$44))+$B$24</f>
        <v>9.8938395405178152</v>
      </c>
      <c r="N13" s="109">
        <f t="shared" si="1"/>
        <v>9.8433383283825346</v>
      </c>
      <c r="O13" s="109">
        <f t="shared" si="2"/>
        <v>6.3799264332355485E-2</v>
      </c>
      <c r="P13" s="86">
        <f>(AVERAGE(POWER(10,K13),POWER(10,L13),POWER(10,M13)))*(Calculation!I13/Calculation!K12)</f>
        <v>7347427823.662303</v>
      </c>
      <c r="Q13" s="110">
        <f>(STDEV(POWER(10,K13),POWER(10,L13),POWER(10,M13)))*(Calculation!I13/Calculation!K12)</f>
        <v>1041062335.2221394</v>
      </c>
      <c r="R13" s="109">
        <f t="shared" si="4"/>
        <v>9.8661353285399347</v>
      </c>
      <c r="S13" s="109">
        <f>O13*(Calculation!I13/Calculation!K12)</f>
        <v>6.6766965110536203E-2</v>
      </c>
      <c r="U13" s="62"/>
    </row>
    <row r="14" spans="1:21">
      <c r="A14" s="40">
        <v>10</v>
      </c>
      <c r="B14" s="54">
        <v>80</v>
      </c>
      <c r="C14" s="55">
        <f t="shared" si="3"/>
        <v>840</v>
      </c>
      <c r="D14" s="65">
        <f t="shared" si="0"/>
        <v>14</v>
      </c>
      <c r="E14" s="105">
        <v>18.455572128295898</v>
      </c>
      <c r="F14" s="105">
        <v>18.577503204345703</v>
      </c>
      <c r="G14" s="105">
        <v>18.143779754638672</v>
      </c>
      <c r="H14" s="105">
        <f>E14-$H$58+$H$73</f>
        <v>18.832943065406742</v>
      </c>
      <c r="I14" s="105">
        <f>F14-$H$58+$H$73</f>
        <v>18.954874141456546</v>
      </c>
      <c r="J14" s="105">
        <f>G14-$H$58+$H$73</f>
        <v>18.521150691749515</v>
      </c>
      <c r="K14" s="97">
        <f>((H14-'Calibration R. intestinalis '!$D$45)/('Calibration R. intestinalis '!$D$44))+$B$24</f>
        <v>9.814625536625563</v>
      </c>
      <c r="L14" s="97">
        <f>((I14-'Calibration R. intestinalis '!$D$45)/('Calibration R. intestinalis '!$D$44))+$B$24</f>
        <v>9.7816506938720131</v>
      </c>
      <c r="M14" s="97">
        <f>((J14-'Calibration R. intestinalis '!$D$45)/('Calibration R. intestinalis '!$D$44))+$B$24</f>
        <v>9.8989461612455223</v>
      </c>
      <c r="N14" s="109">
        <f t="shared" si="1"/>
        <v>9.8317407972476989</v>
      </c>
      <c r="O14" s="109">
        <f t="shared" si="2"/>
        <v>6.0491782716458511E-2</v>
      </c>
      <c r="P14" s="86">
        <f>(AVERAGE(POWER(10,K14),POWER(10,L14),POWER(10,M14)))*(Calculation!I14/Calculation!K13)</f>
        <v>7163813033.8019876</v>
      </c>
      <c r="Q14" s="110">
        <f>(STDEV(POWER(10,K14),POWER(10,L14),POWER(10,M14)))*(Calculation!I14/Calculation!K13)</f>
        <v>1021950875.9698024</v>
      </c>
      <c r="R14" s="109">
        <f t="shared" si="4"/>
        <v>9.8551442428040623</v>
      </c>
      <c r="S14" s="109">
        <f>O14*(Calculation!I14/Calculation!K13)</f>
        <v>6.342275614712678E-2</v>
      </c>
      <c r="U14" s="62"/>
    </row>
    <row r="15" spans="1:21">
      <c r="A15" s="40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105">
        <v>19.017141342163086</v>
      </c>
      <c r="F15" s="105">
        <v>19.071521759033203</v>
      </c>
      <c r="G15" s="105">
        <v>18.881233215332031</v>
      </c>
      <c r="H15" s="105">
        <f>E15-$H$58+$H$73</f>
        <v>19.394512279273929</v>
      </c>
      <c r="I15" s="105">
        <f>F15-$H$58+$H$73</f>
        <v>19.448892696144046</v>
      </c>
      <c r="J15" s="105">
        <f>G15-$H$58+$H$73</f>
        <v>19.258604152442874</v>
      </c>
      <c r="K15" s="97">
        <f>((H15-'Calibration R. intestinalis '!$D$45)/('Calibration R. intestinalis '!$D$44))+$B$24</f>
        <v>9.6627556678240953</v>
      </c>
      <c r="L15" s="97">
        <f>((I15-'Calibration R. intestinalis '!$D$45)/('Calibration R. intestinalis '!$D$44))+$B$24</f>
        <v>9.6480491159485737</v>
      </c>
      <c r="M15" s="97">
        <f>((J15-'Calibration R. intestinalis '!$D$45)/('Calibration R. intestinalis '!$D$44))+$B$24</f>
        <v>9.6995104415567006</v>
      </c>
      <c r="N15" s="109">
        <f t="shared" si="1"/>
        <v>9.6701050751097899</v>
      </c>
      <c r="O15" s="109">
        <f t="shared" si="2"/>
        <v>2.6506175675202168E-2</v>
      </c>
      <c r="P15" s="86">
        <f>(AVERAGE(POWER(10,K15),POWER(10,L15),POWER(10,M15)))*(Calculation!I15/Calculation!K14)</f>
        <v>4916079998.0613813</v>
      </c>
      <c r="Q15" s="110">
        <f>(STDEV(POWER(10,K15),POWER(10,L15),POWER(10,M15)))*(Calculation!I15/Calculation!K14)</f>
        <v>303391151.14189571</v>
      </c>
      <c r="R15" s="109">
        <f t="shared" si="4"/>
        <v>9.6916189414304341</v>
      </c>
      <c r="S15" s="109">
        <f>O15*(Calculation!I15/Calculation!K14)</f>
        <v>2.7817471358945765E-2</v>
      </c>
      <c r="U15" s="62"/>
    </row>
    <row r="16" spans="1:21">
      <c r="A16" s="40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105">
        <v>19.712799072265625</v>
      </c>
      <c r="F16" s="105">
        <v>19.43150520324707</v>
      </c>
      <c r="G16" s="105">
        <v>19.247940063476562</v>
      </c>
      <c r="H16" s="105">
        <f>E16-$H$58+$H$73</f>
        <v>20.090170009376468</v>
      </c>
      <c r="I16" s="105">
        <f>F16-$H$58+$H$73</f>
        <v>19.808876140357913</v>
      </c>
      <c r="J16" s="105">
        <f>G16-$H$58+$H$73</f>
        <v>19.625311000587406</v>
      </c>
      <c r="K16" s="97">
        <f>((H16-'Calibration R. intestinalis '!$D$45)/('Calibration R. intestinalis '!$D$44))+$B$24</f>
        <v>9.4746231178328735</v>
      </c>
      <c r="L16" s="97">
        <f>((I16-'Calibration R. intestinalis '!$D$45)/('Calibration R. intestinalis '!$D$44))+$B$24</f>
        <v>9.5506957762471725</v>
      </c>
      <c r="M16" s="97">
        <f>((J16-'Calibration R. intestinalis '!$D$45)/('Calibration R. intestinalis '!$D$44))+$B$24</f>
        <v>9.600338835384072</v>
      </c>
      <c r="N16" s="109">
        <f t="shared" si="1"/>
        <v>9.5418859098213726</v>
      </c>
      <c r="O16" s="109">
        <f t="shared" si="2"/>
        <v>6.3319197086535342E-2</v>
      </c>
      <c r="P16" s="86">
        <f>(AVERAGE(POWER(10,K16),POWER(10,L16),POWER(10,M16)))*(Calculation!I16/Calculation!K15)</f>
        <v>3684198958.6680703</v>
      </c>
      <c r="Q16" s="110">
        <f>(STDEV(POWER(10,K16),POWER(10,L16),POWER(10,M16)))*(Calculation!I16/Calculation!K15)</f>
        <v>527729058.42547405</v>
      </c>
      <c r="R16" s="109">
        <f t="shared" si="4"/>
        <v>9.5663430754657739</v>
      </c>
      <c r="S16" s="109">
        <f>O16*(Calculation!I16/Calculation!K15)</f>
        <v>6.6519837360604642E-2</v>
      </c>
      <c r="U16" s="62"/>
    </row>
    <row r="17" spans="1:21">
      <c r="A17" s="40">
        <v>13</v>
      </c>
      <c r="B17" s="54">
        <v>80</v>
      </c>
      <c r="C17" s="55">
        <f t="shared" si="3"/>
        <v>1080</v>
      </c>
      <c r="D17" s="65">
        <f t="shared" si="0"/>
        <v>18</v>
      </c>
      <c r="E17" s="105">
        <v>19.773252487182617</v>
      </c>
      <c r="F17" s="105">
        <v>20.161214828491211</v>
      </c>
      <c r="G17" s="105">
        <v>19.732246398925781</v>
      </c>
      <c r="H17" s="105">
        <f>E17-$H$58+$H$73</f>
        <v>20.15062342429346</v>
      </c>
      <c r="I17" s="105">
        <f>F17-$H$58+$H$73</f>
        <v>20.538585765602054</v>
      </c>
      <c r="J17" s="105">
        <f>G17-$H$58+$H$73</f>
        <v>20.109617336036624</v>
      </c>
      <c r="K17" s="97">
        <f>((H17-'Calibration R. intestinalis '!$D$45)/('Calibration R. intestinalis '!$D$44))+$B$24</f>
        <v>9.4582741942000776</v>
      </c>
      <c r="L17" s="97">
        <f>((I17-'Calibration R. intestinalis '!$D$45)/('Calibration R. intestinalis '!$D$44))+$B$24</f>
        <v>9.3533542868769857</v>
      </c>
      <c r="M17" s="97">
        <f>((J17-'Calibration R. intestinalis '!$D$45)/('Calibration R. intestinalis '!$D$44))+$B$24</f>
        <v>9.4693638143036107</v>
      </c>
      <c r="N17" s="109">
        <f t="shared" si="1"/>
        <v>9.4269974317935592</v>
      </c>
      <c r="O17" s="109">
        <f t="shared" si="2"/>
        <v>6.4017415703952224E-2</v>
      </c>
      <c r="P17" s="86">
        <f>(AVERAGE(POWER(10,K17),POWER(10,L17),POWER(10,M17)))*(Calculation!I17/Calculation!K16)</f>
        <v>2827920980.1611633</v>
      </c>
      <c r="Q17" s="110">
        <f>(STDEV(POWER(10,K17),POWER(10,L17),POWER(10,M17)))*(Calculation!I17/Calculation!K16)</f>
        <v>398384616.69880468</v>
      </c>
      <c r="R17" s="109">
        <f t="shared" si="4"/>
        <v>9.4514672699199718</v>
      </c>
      <c r="S17" s="109">
        <f>O17*(Calculation!I17/Calculation!K16)</f>
        <v>6.7253349328692966E-2</v>
      </c>
      <c r="U17" s="62"/>
    </row>
    <row r="18" spans="1:21">
      <c r="A18" s="40">
        <v>14</v>
      </c>
      <c r="B18" s="54">
        <v>380</v>
      </c>
      <c r="C18" s="55">
        <f t="shared" si="3"/>
        <v>1460</v>
      </c>
      <c r="D18" s="65">
        <f t="shared" si="0"/>
        <v>24.333333333333332</v>
      </c>
      <c r="E18" s="105">
        <v>19.099485397338867</v>
      </c>
      <c r="F18" s="105">
        <v>19.080095291137695</v>
      </c>
      <c r="G18" s="105">
        <v>19.014089584350586</v>
      </c>
      <c r="H18" s="105">
        <f>E18-$H$58+$H$73</f>
        <v>19.47685633444971</v>
      </c>
      <c r="I18" s="105">
        <f>F18-$H$58+$H$73</f>
        <v>19.457466228248538</v>
      </c>
      <c r="J18" s="105">
        <f>G18-$H$58+$H$73</f>
        <v>19.391460521461429</v>
      </c>
      <c r="K18" s="97">
        <f>((H18-'Calibration R. intestinalis '!$D$45)/('Calibration R. intestinalis '!$D$44))+$B$24</f>
        <v>9.6404866748890861</v>
      </c>
      <c r="L18" s="97">
        <f>((I18-'Calibration R. intestinalis '!$D$45)/('Calibration R. intestinalis '!$D$44))+$B$24</f>
        <v>9.6457305038100838</v>
      </c>
      <c r="M18" s="97">
        <f>((J18-'Calibration R. intestinalis '!$D$45)/('Calibration R. intestinalis '!$D$44))+$B$24</f>
        <v>9.6635809802649373</v>
      </c>
      <c r="N18" s="109">
        <f t="shared" si="1"/>
        <v>9.6499327196547018</v>
      </c>
      <c r="O18" s="109">
        <f t="shared" si="2"/>
        <v>1.2107051610604469E-2</v>
      </c>
      <c r="P18" s="86">
        <f>(AVERAGE(POWER(10,K18),POWER(10,L18),POWER(10,M18)))*(Calculation!I18/Calculation!K17)</f>
        <v>4698463252.6867504</v>
      </c>
      <c r="Q18" s="110">
        <f>(STDEV(POWER(10,K18),POWER(10,L18),POWER(10,M18)))*(Calculation!I18/Calculation!K17)</f>
        <v>131801834.17098163</v>
      </c>
      <c r="R18" s="109">
        <f t="shared" si="4"/>
        <v>9.6719558345290757</v>
      </c>
      <c r="S18" s="109">
        <f>O18*(Calculation!I18/Calculation!K17)</f>
        <v>1.2733521690843973E-2</v>
      </c>
      <c r="U18" s="62"/>
    </row>
    <row r="19" spans="1:21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105">
        <v>19.440595626831055</v>
      </c>
      <c r="F19" s="105">
        <v>19.506359100341797</v>
      </c>
      <c r="G19" s="105">
        <v>19.551700592041016</v>
      </c>
      <c r="H19" s="105">
        <f>E19-$H$58+$H$73</f>
        <v>19.817966563941898</v>
      </c>
      <c r="I19" s="105">
        <f>F19-$H$58+$H$73</f>
        <v>19.88373003745264</v>
      </c>
      <c r="J19" s="105">
        <f>G19-$H$58+$H$73</f>
        <v>19.929071529151859</v>
      </c>
      <c r="K19" s="97">
        <f>((H19-'Calibration R. intestinalis '!$D$45)/('Calibration R. intestinalis '!$D$44))+$B$24</f>
        <v>9.5482373768140167</v>
      </c>
      <c r="L19" s="97">
        <f>((I19-'Calibration R. intestinalis '!$D$45)/('Calibration R. intestinalis '!$D$44))+$B$24</f>
        <v>9.5304524095341545</v>
      </c>
      <c r="M19" s="97">
        <f>((J19-'Calibration R. intestinalis '!$D$45)/('Calibration R. intestinalis '!$D$44))+$B$24</f>
        <v>9.5181903299443515</v>
      </c>
      <c r="N19" s="109">
        <f t="shared" si="1"/>
        <v>9.5322933720975076</v>
      </c>
      <c r="O19" s="109">
        <f t="shared" si="2"/>
        <v>1.5107882504398653E-2</v>
      </c>
      <c r="P19" s="86">
        <f>(AVERAGE(POWER(10,K19),POWER(10,L19),POWER(10,M19)))*(Calculation!I19/Calculation!K18)</f>
        <v>3584091147.2546959</v>
      </c>
      <c r="Q19" s="110">
        <f>(STDEV(POWER(10,K19),POWER(10,L19),POWER(10,M19)))*(Calculation!I19/Calculation!K18)</f>
        <v>125051261.5268929</v>
      </c>
      <c r="R19" s="109">
        <f>LOG(P19)</f>
        <v>9.5543790457016975</v>
      </c>
      <c r="S19" s="109">
        <f>O19*(Calculation!I19/Calculation!K18)</f>
        <v>1.5889628272830799E-2</v>
      </c>
      <c r="U19" s="62"/>
    </row>
    <row r="20" spans="1:21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105">
        <v>20.075387954711914</v>
      </c>
      <c r="F20" s="105">
        <v>20.572212219238281</v>
      </c>
      <c r="G20" s="105">
        <v>20.878902435302734</v>
      </c>
      <c r="H20" s="105">
        <f>E20-$H$58+$H$73</f>
        <v>20.452758891822757</v>
      </c>
      <c r="I20" s="105">
        <f>F20-$H$58+$H$73</f>
        <v>20.949583156349124</v>
      </c>
      <c r="J20" s="105">
        <f>G20-$H$58+$H$73</f>
        <v>21.256273372413578</v>
      </c>
      <c r="K20" s="97">
        <f>((H20-'Calibration R. intestinalis '!$D$45)/('Calibration R. intestinalis '!$D$44))+$B$24</f>
        <v>9.3765651676351052</v>
      </c>
      <c r="L20" s="97">
        <f>((I20-'Calibration R. intestinalis '!$D$45)/('Calibration R. intestinalis '!$D$44))+$B$24</f>
        <v>9.2422048180863676</v>
      </c>
      <c r="M20" s="97">
        <f>((J20-'Calibration R. intestinalis '!$D$45)/('Calibration R. intestinalis '!$D$44))+$B$24</f>
        <v>9.1592640127034404</v>
      </c>
      <c r="N20" s="109">
        <f t="shared" si="1"/>
        <v>9.2593446661416365</v>
      </c>
      <c r="O20" s="109">
        <f t="shared" si="2"/>
        <v>0.10965983210445453</v>
      </c>
      <c r="P20" s="86">
        <f>(AVERAGE(POWER(10,K20),POWER(10,L20),POWER(10,M20)))*(Calculation!I20/Calculation!K19)</f>
        <v>1952588893.4079139</v>
      </c>
      <c r="Q20" s="110">
        <f>(STDEV(POWER(10,K20),POWER(10,L20),POWER(10,M20)))*(Calculation!I20/Calculation!K19)</f>
        <v>502774005.16182107</v>
      </c>
      <c r="R20" s="109">
        <f t="shared" si="4"/>
        <v>9.2906108146557322</v>
      </c>
      <c r="S20" s="109">
        <f>O20*(Calculation!I20/Calculation!K19)</f>
        <v>0.11533409583331775</v>
      </c>
      <c r="U20" s="62"/>
    </row>
    <row r="24" spans="1:21">
      <c r="A24" s="87" t="s">
        <v>182</v>
      </c>
      <c r="B24" s="100">
        <f>LOG(B25)</f>
        <v>3.6532125137753435</v>
      </c>
    </row>
    <row r="25" spans="1:21">
      <c r="A25" s="85" t="s">
        <v>181</v>
      </c>
      <c r="B25" s="85">
        <f>20*1800/4/2</f>
        <v>4500</v>
      </c>
    </row>
    <row r="27" spans="1:21">
      <c r="E27" s="142" t="s">
        <v>247</v>
      </c>
      <c r="F27" s="143"/>
      <c r="G27" s="143"/>
      <c r="H27" s="143"/>
    </row>
    <row r="28" spans="1:21">
      <c r="A28" s="62" t="s">
        <v>223</v>
      </c>
      <c r="B28" s="62" t="s">
        <v>228</v>
      </c>
      <c r="C28" s="62"/>
      <c r="D28" s="62"/>
      <c r="E28" s="108">
        <v>15.7</v>
      </c>
      <c r="F28" s="107">
        <v>15.7</v>
      </c>
      <c r="G28" s="107">
        <v>15.6</v>
      </c>
      <c r="H28" s="107">
        <v>15.7</v>
      </c>
    </row>
    <row r="29" spans="1:21">
      <c r="A29" s="62" t="s">
        <v>223</v>
      </c>
      <c r="B29" s="62" t="s">
        <v>230</v>
      </c>
      <c r="C29" s="62"/>
      <c r="D29" s="62"/>
      <c r="E29" s="117">
        <v>15.2</v>
      </c>
      <c r="F29" s="118">
        <v>15.3</v>
      </c>
      <c r="G29" s="118">
        <v>15.3</v>
      </c>
      <c r="H29" s="118">
        <v>15.2</v>
      </c>
    </row>
    <row r="30" spans="1:21">
      <c r="A30" s="62" t="s">
        <v>223</v>
      </c>
      <c r="B30" s="62" t="s">
        <v>229</v>
      </c>
      <c r="C30" s="62"/>
      <c r="D30" s="62"/>
      <c r="E30" s="117">
        <v>15.9</v>
      </c>
      <c r="F30" s="118">
        <v>15.7</v>
      </c>
      <c r="G30" s="118">
        <v>15.7</v>
      </c>
      <c r="H30" s="118">
        <v>15.8</v>
      </c>
    </row>
    <row r="31" spans="1:21">
      <c r="A31" s="62" t="s">
        <v>223</v>
      </c>
      <c r="B31" s="62" t="s">
        <v>232</v>
      </c>
      <c r="C31" s="62"/>
      <c r="D31" s="62"/>
      <c r="E31" s="117">
        <v>16</v>
      </c>
      <c r="F31" s="118">
        <v>15.8</v>
      </c>
      <c r="G31" s="118">
        <v>15.7</v>
      </c>
      <c r="H31" s="118">
        <v>15.8</v>
      </c>
    </row>
    <row r="32" spans="1:21">
      <c r="A32" s="62" t="s">
        <v>233</v>
      </c>
      <c r="B32" s="62" t="s">
        <v>234</v>
      </c>
      <c r="C32" s="62"/>
      <c r="D32" s="62"/>
      <c r="E32" s="117">
        <v>15.8</v>
      </c>
      <c r="F32" s="118">
        <v>15.7</v>
      </c>
      <c r="G32" s="118">
        <v>15.7</v>
      </c>
      <c r="H32" s="118">
        <v>15.7</v>
      </c>
    </row>
    <row r="33" spans="1:10">
      <c r="A33" s="62" t="s">
        <v>233</v>
      </c>
      <c r="B33" s="62" t="s">
        <v>235</v>
      </c>
      <c r="C33" s="62"/>
      <c r="D33" s="62"/>
      <c r="E33" s="117">
        <v>15.8</v>
      </c>
      <c r="F33" s="118">
        <v>15.7</v>
      </c>
      <c r="G33" s="118">
        <v>15.7</v>
      </c>
      <c r="H33" s="118">
        <v>15.8</v>
      </c>
    </row>
    <row r="34" spans="1:10">
      <c r="A34" s="62" t="s">
        <v>233</v>
      </c>
      <c r="B34" s="62" t="s">
        <v>235</v>
      </c>
      <c r="C34" s="62"/>
      <c r="D34" s="62"/>
      <c r="E34" s="117">
        <v>15.4</v>
      </c>
      <c r="F34" s="118">
        <v>15.6</v>
      </c>
      <c r="G34" s="118">
        <v>15.5</v>
      </c>
      <c r="H34" s="118">
        <v>15.5</v>
      </c>
    </row>
    <row r="35" spans="1:10">
      <c r="A35" s="62" t="s">
        <v>233</v>
      </c>
      <c r="B35" s="62" t="s">
        <v>236</v>
      </c>
      <c r="C35" s="62"/>
      <c r="D35" s="62"/>
      <c r="E35" s="117">
        <v>15.3</v>
      </c>
      <c r="F35" s="118">
        <v>15.8</v>
      </c>
      <c r="G35" s="118">
        <v>15.7</v>
      </c>
      <c r="H35" s="118">
        <v>15.6</v>
      </c>
    </row>
    <row r="36" spans="1:10">
      <c r="A36" s="62" t="s">
        <v>237</v>
      </c>
      <c r="B36" s="62" t="s">
        <v>236</v>
      </c>
      <c r="C36" s="62"/>
      <c r="D36" s="62"/>
      <c r="E36" s="117">
        <v>15.8</v>
      </c>
      <c r="F36" s="118">
        <v>15.8</v>
      </c>
      <c r="G36" s="118">
        <v>15.8</v>
      </c>
      <c r="H36" s="118">
        <v>15.8</v>
      </c>
    </row>
    <row r="37" spans="1:10">
      <c r="A37" s="62" t="s">
        <v>237</v>
      </c>
      <c r="B37" s="62" t="s">
        <v>238</v>
      </c>
      <c r="C37" s="62"/>
      <c r="D37" s="62"/>
      <c r="E37" s="117">
        <v>15.8</v>
      </c>
      <c r="F37" s="118">
        <v>15.7</v>
      </c>
      <c r="G37" s="118">
        <v>16</v>
      </c>
      <c r="H37" s="118">
        <v>15.8</v>
      </c>
    </row>
    <row r="38" spans="1:10">
      <c r="A38" s="62" t="s">
        <v>237</v>
      </c>
      <c r="B38" s="62" t="s">
        <v>238</v>
      </c>
      <c r="C38" s="62"/>
      <c r="D38" s="62"/>
      <c r="E38" s="117">
        <v>15.7</v>
      </c>
      <c r="F38" s="118">
        <v>15.7</v>
      </c>
      <c r="G38" s="118">
        <v>15.6</v>
      </c>
      <c r="H38" s="118">
        <v>15.7</v>
      </c>
    </row>
    <row r="39" spans="1:10">
      <c r="A39" s="62" t="s">
        <v>237</v>
      </c>
      <c r="B39" s="62" t="s">
        <v>238</v>
      </c>
      <c r="C39" s="62"/>
      <c r="D39" s="62"/>
      <c r="E39" s="117">
        <v>15.6</v>
      </c>
      <c r="F39" s="118">
        <v>15.7</v>
      </c>
      <c r="G39" s="118">
        <v>15.6</v>
      </c>
      <c r="H39" s="118">
        <v>15.6</v>
      </c>
    </row>
    <row r="40" spans="1:10">
      <c r="A40" s="62" t="s">
        <v>240</v>
      </c>
      <c r="B40" s="62" t="s">
        <v>239</v>
      </c>
      <c r="C40" s="62"/>
      <c r="D40" s="62"/>
      <c r="E40" s="117">
        <v>15.8</v>
      </c>
      <c r="F40" s="118">
        <v>15.5</v>
      </c>
      <c r="G40" s="118">
        <v>15.7</v>
      </c>
      <c r="H40" s="118">
        <v>15.6</v>
      </c>
    </row>
    <row r="41" spans="1:10">
      <c r="A41" s="62" t="s">
        <v>240</v>
      </c>
      <c r="B41" s="62" t="s">
        <v>239</v>
      </c>
      <c r="C41" s="62"/>
      <c r="D41" s="62"/>
      <c r="E41" s="117">
        <v>15.6</v>
      </c>
      <c r="F41" s="118">
        <v>15.7</v>
      </c>
      <c r="G41" s="118">
        <v>15.7</v>
      </c>
      <c r="H41" s="118">
        <v>15.7</v>
      </c>
    </row>
    <row r="42" spans="1:10">
      <c r="A42" s="62" t="s">
        <v>240</v>
      </c>
      <c r="B42" s="62" t="s">
        <v>241</v>
      </c>
      <c r="C42" s="62"/>
      <c r="D42" s="62"/>
      <c r="E42" s="117">
        <v>15.8</v>
      </c>
      <c r="F42" s="118">
        <v>15.7</v>
      </c>
      <c r="G42" s="118">
        <v>15.8</v>
      </c>
      <c r="H42" s="118">
        <v>15.8</v>
      </c>
    </row>
    <row r="43" spans="1:10">
      <c r="A43" s="62" t="s">
        <v>240</v>
      </c>
      <c r="B43" s="62" t="s">
        <v>242</v>
      </c>
      <c r="C43" s="62"/>
      <c r="D43" s="62"/>
      <c r="E43" s="117">
        <v>15.8</v>
      </c>
      <c r="F43" s="118">
        <v>15.7</v>
      </c>
      <c r="G43" s="118">
        <v>15.6</v>
      </c>
      <c r="H43" s="118">
        <v>15.7</v>
      </c>
      <c r="J43"/>
    </row>
    <row r="44" spans="1:10">
      <c r="A44" s="103" t="s">
        <v>244</v>
      </c>
      <c r="B44" s="103" t="s">
        <v>243</v>
      </c>
      <c r="E44" s="108">
        <v>15.258575439453125</v>
      </c>
      <c r="F44" s="107">
        <v>15.478802680969238</v>
      </c>
      <c r="G44" s="107">
        <v>15.974754333496094</v>
      </c>
      <c r="H44" s="107">
        <f t="shared" ref="H44:H58" si="5">AVERAGE(E44:G44)</f>
        <v>15.570710817972818</v>
      </c>
      <c r="J44"/>
    </row>
    <row r="45" spans="1:10">
      <c r="A45" s="103" t="s">
        <v>244</v>
      </c>
      <c r="B45" s="103" t="s">
        <v>245</v>
      </c>
      <c r="E45" s="108">
        <v>15.35291576385498</v>
      </c>
      <c r="F45" s="107">
        <v>15.170954704284668</v>
      </c>
      <c r="G45" s="107">
        <v>15.236812591552734</v>
      </c>
      <c r="H45" s="107">
        <f t="shared" si="5"/>
        <v>15.253561019897461</v>
      </c>
      <c r="J45"/>
    </row>
    <row r="46" spans="1:10">
      <c r="A46" s="103" t="s">
        <v>244</v>
      </c>
      <c r="B46" s="103" t="s">
        <v>246</v>
      </c>
      <c r="E46" s="108">
        <v>15.810567855834961</v>
      </c>
      <c r="F46" s="107">
        <v>15.790656089782715</v>
      </c>
      <c r="G46" s="107">
        <v>15.956247329711914</v>
      </c>
      <c r="H46" s="107">
        <f t="shared" si="5"/>
        <v>15.852490425109863</v>
      </c>
    </row>
    <row r="47" spans="1:10">
      <c r="A47" s="103" t="s">
        <v>244</v>
      </c>
      <c r="B47" s="103" t="s">
        <v>248</v>
      </c>
      <c r="E47" s="108">
        <v>15.760116577148438</v>
      </c>
      <c r="F47" s="107">
        <v>15.89314079284668</v>
      </c>
      <c r="G47" s="107">
        <v>15.903885841369629</v>
      </c>
      <c r="H47" s="107">
        <f t="shared" si="5"/>
        <v>15.852381070454916</v>
      </c>
    </row>
    <row r="48" spans="1:10">
      <c r="A48" s="103" t="s">
        <v>249</v>
      </c>
      <c r="B48" s="103" t="s">
        <v>250</v>
      </c>
      <c r="E48" s="108">
        <v>15.956473350524902</v>
      </c>
      <c r="F48" s="107">
        <v>15.595272064208984</v>
      </c>
      <c r="G48" s="107">
        <v>15.919502258300781</v>
      </c>
      <c r="H48" s="107">
        <f t="shared" si="5"/>
        <v>15.823749224344889</v>
      </c>
    </row>
    <row r="49" spans="1:8">
      <c r="A49" s="103" t="s">
        <v>249</v>
      </c>
      <c r="B49" s="103" t="s">
        <v>251</v>
      </c>
      <c r="E49" s="108">
        <v>15.711461067199707</v>
      </c>
      <c r="F49" s="107">
        <v>15.73438835144043</v>
      </c>
      <c r="G49" s="107">
        <v>15.689187049865723</v>
      </c>
      <c r="H49" s="107">
        <f t="shared" si="5"/>
        <v>15.711678822835287</v>
      </c>
    </row>
    <row r="50" spans="1:8">
      <c r="A50" s="103" t="s">
        <v>249</v>
      </c>
      <c r="B50" s="103" t="s">
        <v>252</v>
      </c>
      <c r="E50" s="108">
        <v>15.574808120727539</v>
      </c>
      <c r="F50" s="107">
        <v>15.501856803894043</v>
      </c>
      <c r="G50" s="107">
        <v>15.596255302429199</v>
      </c>
      <c r="H50" s="107">
        <f t="shared" si="5"/>
        <v>15.557640075683594</v>
      </c>
    </row>
    <row r="51" spans="1:8">
      <c r="A51" s="103" t="s">
        <v>249</v>
      </c>
      <c r="B51" s="103" t="s">
        <v>254</v>
      </c>
      <c r="E51" s="108">
        <v>15.60640811920166</v>
      </c>
      <c r="F51" s="107">
        <v>15.595258712768555</v>
      </c>
      <c r="G51" s="107">
        <v>15.58064079284668</v>
      </c>
      <c r="H51" s="107">
        <f t="shared" si="5"/>
        <v>15.594102541605631</v>
      </c>
    </row>
    <row r="52" spans="1:8">
      <c r="A52" s="103" t="s">
        <v>253</v>
      </c>
      <c r="B52" s="103" t="s">
        <v>255</v>
      </c>
      <c r="E52" s="108">
        <v>15.40764331817627</v>
      </c>
      <c r="F52" s="107">
        <v>15.702505111694336</v>
      </c>
      <c r="G52" s="107">
        <v>15.805522918701172</v>
      </c>
      <c r="H52" s="107">
        <f t="shared" si="5"/>
        <v>15.638557116190592</v>
      </c>
    </row>
    <row r="53" spans="1:8">
      <c r="A53" s="103" t="s">
        <v>253</v>
      </c>
      <c r="B53" s="103" t="s">
        <v>256</v>
      </c>
      <c r="E53" s="108">
        <v>15.531451225280762</v>
      </c>
      <c r="F53" s="107">
        <v>15.498082160949707</v>
      </c>
      <c r="G53" s="107">
        <v>15.382452011108398</v>
      </c>
      <c r="H53" s="107">
        <f t="shared" si="5"/>
        <v>15.470661799112955</v>
      </c>
    </row>
    <row r="54" spans="1:8">
      <c r="A54" s="103" t="s">
        <v>253</v>
      </c>
      <c r="B54" s="103" t="s">
        <v>256</v>
      </c>
      <c r="E54" s="108">
        <v>15.817353248596191</v>
      </c>
      <c r="F54" s="107">
        <v>15.385978698730469</v>
      </c>
      <c r="G54" s="107">
        <v>15.417171478271484</v>
      </c>
      <c r="H54" s="107">
        <f t="shared" si="5"/>
        <v>15.540167808532715</v>
      </c>
    </row>
    <row r="55" spans="1:8">
      <c r="A55" s="103" t="s">
        <v>253</v>
      </c>
      <c r="B55" s="103" t="s">
        <v>257</v>
      </c>
      <c r="E55" s="108">
        <v>15.603296279907227</v>
      </c>
      <c r="F55" s="107">
        <v>15.487268447875977</v>
      </c>
      <c r="G55" s="107">
        <v>15.597173690795898</v>
      </c>
      <c r="H55" s="107">
        <f t="shared" si="5"/>
        <v>15.562579472859701</v>
      </c>
    </row>
    <row r="56" spans="1:8">
      <c r="A56" s="103" t="s">
        <v>258</v>
      </c>
      <c r="B56" s="103" t="s">
        <v>259</v>
      </c>
      <c r="E56" s="108">
        <v>15.621417045593262</v>
      </c>
      <c r="F56" s="107">
        <v>15.637612342834473</v>
      </c>
      <c r="G56" s="107">
        <v>15.788051605224609</v>
      </c>
      <c r="H56" s="107">
        <f t="shared" si="5"/>
        <v>15.682360331217447</v>
      </c>
    </row>
    <row r="57" spans="1:8">
      <c r="A57" s="103" t="s">
        <v>258</v>
      </c>
      <c r="B57" s="103" t="s">
        <v>260</v>
      </c>
      <c r="E57" s="117">
        <v>15.925136566162109</v>
      </c>
      <c r="F57" s="118"/>
      <c r="G57" s="118">
        <v>15.940312385559082</v>
      </c>
      <c r="H57" s="107">
        <f t="shared" si="5"/>
        <v>15.932724475860596</v>
      </c>
    </row>
    <row r="58" spans="1:8">
      <c r="A58" s="103" t="s">
        <v>258</v>
      </c>
      <c r="B58" s="103" t="s">
        <v>260</v>
      </c>
      <c r="E58" s="108">
        <v>15.210986137390137</v>
      </c>
      <c r="F58" s="107">
        <v>15.286739349365234</v>
      </c>
      <c r="G58" s="107">
        <v>15.360580444335938</v>
      </c>
      <c r="H58" s="107">
        <f t="shared" si="5"/>
        <v>15.286101977030436</v>
      </c>
    </row>
    <row r="59" spans="1:8">
      <c r="A59" s="103" t="s">
        <v>261</v>
      </c>
      <c r="B59" s="103" t="s">
        <v>262</v>
      </c>
      <c r="E59" s="108">
        <v>15.989936828613281</v>
      </c>
      <c r="F59" s="107">
        <v>15.856328964233398</v>
      </c>
      <c r="G59" s="107">
        <v>15.836997985839844</v>
      </c>
      <c r="H59" s="107">
        <f>AVERAGE(E59:G59)</f>
        <v>15.894421259562174</v>
      </c>
    </row>
    <row r="60" spans="1:8">
      <c r="A60" s="103" t="s">
        <v>261</v>
      </c>
      <c r="B60" s="103" t="s">
        <v>263</v>
      </c>
      <c r="E60" s="108">
        <v>15.699069023132324</v>
      </c>
      <c r="F60" s="107">
        <v>15.817172050476074</v>
      </c>
      <c r="G60" s="107">
        <v>16.075807571411133</v>
      </c>
      <c r="H60" s="107">
        <f t="shared" ref="H60:H70" si="6">AVERAGE(E60:G60)</f>
        <v>15.86401621500651</v>
      </c>
    </row>
    <row r="61" spans="1:8">
      <c r="A61" s="103" t="s">
        <v>261</v>
      </c>
      <c r="B61" s="103" t="s">
        <v>264</v>
      </c>
      <c r="E61" s="108">
        <v>14.193151473999023</v>
      </c>
      <c r="F61" s="107">
        <v>14.592436790466309</v>
      </c>
      <c r="G61" s="107">
        <v>14.826726913452148</v>
      </c>
      <c r="H61" s="107">
        <f t="shared" si="6"/>
        <v>14.53743839263916</v>
      </c>
    </row>
    <row r="62" spans="1:8">
      <c r="A62" s="103" t="s">
        <v>265</v>
      </c>
      <c r="B62" s="103" t="s">
        <v>264</v>
      </c>
      <c r="E62" s="108">
        <v>15.753643035888672</v>
      </c>
      <c r="F62" s="107">
        <v>15.53950309753418</v>
      </c>
      <c r="G62" s="107">
        <v>16.160148620605469</v>
      </c>
      <c r="H62" s="107">
        <f t="shared" si="6"/>
        <v>15.81776491800944</v>
      </c>
    </row>
    <row r="63" spans="1:8">
      <c r="A63" s="103" t="s">
        <v>265</v>
      </c>
      <c r="B63" s="103" t="s">
        <v>266</v>
      </c>
      <c r="E63" s="108">
        <v>16.152790069580078</v>
      </c>
      <c r="F63" s="107">
        <v>15.918967247009277</v>
      </c>
      <c r="G63" s="107">
        <v>16.004350662231445</v>
      </c>
      <c r="H63" s="107">
        <f t="shared" si="6"/>
        <v>16.025369326273601</v>
      </c>
    </row>
    <row r="64" spans="1:8">
      <c r="A64" s="103" t="s">
        <v>265</v>
      </c>
      <c r="B64" s="103" t="s">
        <v>267</v>
      </c>
      <c r="E64" s="108">
        <v>15.725796699523926</v>
      </c>
      <c r="F64" s="107">
        <v>15.72511100769043</v>
      </c>
      <c r="G64" s="107">
        <v>15.700724601745605</v>
      </c>
      <c r="H64" s="107">
        <f t="shared" si="6"/>
        <v>15.71721076965332</v>
      </c>
    </row>
    <row r="65" spans="1:8">
      <c r="A65" s="103" t="s">
        <v>265</v>
      </c>
      <c r="B65" s="103" t="s">
        <v>268</v>
      </c>
      <c r="E65" s="108">
        <v>15.868610382080078</v>
      </c>
      <c r="F65" s="107">
        <v>15.950244903564453</v>
      </c>
      <c r="G65" s="107">
        <v>15.73750114440918</v>
      </c>
      <c r="H65" s="107">
        <f t="shared" si="6"/>
        <v>15.852118810017904</v>
      </c>
    </row>
    <row r="66" spans="1:8">
      <c r="A66" s="103" t="s">
        <v>265</v>
      </c>
      <c r="B66" s="103" t="s">
        <v>268</v>
      </c>
      <c r="E66" s="108">
        <v>15.411773681640625</v>
      </c>
      <c r="F66" s="107">
        <v>15.347482681274414</v>
      </c>
      <c r="G66" s="107">
        <v>15.357060432434082</v>
      </c>
      <c r="H66" s="107">
        <f t="shared" si="6"/>
        <v>15.372105598449707</v>
      </c>
    </row>
    <row r="67" spans="1:8">
      <c r="A67" s="103" t="s">
        <v>223</v>
      </c>
      <c r="B67" s="103" t="s">
        <v>269</v>
      </c>
      <c r="E67" s="108">
        <v>15.701089859008789</v>
      </c>
      <c r="F67" s="107">
        <v>15.69521427154541</v>
      </c>
      <c r="G67" s="107">
        <v>15.858868598937988</v>
      </c>
      <c r="H67" s="107">
        <f t="shared" si="6"/>
        <v>15.751724243164062</v>
      </c>
    </row>
    <row r="68" spans="1:8">
      <c r="A68" s="103" t="s">
        <v>223</v>
      </c>
      <c r="B68" s="103" t="s">
        <v>270</v>
      </c>
      <c r="E68" s="108">
        <v>15.664003372192383</v>
      </c>
      <c r="F68" s="107">
        <v>15.706714630126953</v>
      </c>
      <c r="G68" s="107">
        <v>15.883712768554688</v>
      </c>
      <c r="H68" s="107">
        <f t="shared" si="6"/>
        <v>15.751476923624674</v>
      </c>
    </row>
    <row r="69" spans="1:8">
      <c r="A69" s="103" t="s">
        <v>223</v>
      </c>
      <c r="B69" s="103" t="s">
        <v>270</v>
      </c>
      <c r="E69" s="108">
        <v>15.815454483032227</v>
      </c>
      <c r="F69" s="107">
        <v>15.873584747314453</v>
      </c>
      <c r="G69" s="107">
        <v>15.955685615539551</v>
      </c>
      <c r="H69" s="107">
        <f>AVERAGE(E69:G69)</f>
        <v>15.881574948628744</v>
      </c>
    </row>
    <row r="70" spans="1:8">
      <c r="A70" s="103" t="s">
        <v>223</v>
      </c>
      <c r="B70" s="103" t="s">
        <v>271</v>
      </c>
      <c r="E70" s="108">
        <v>15.894612312316895</v>
      </c>
      <c r="F70" s="107">
        <v>15.946266174316406</v>
      </c>
      <c r="G70" s="107">
        <v>15.963062286376953</v>
      </c>
      <c r="H70" s="107">
        <f>AVERAGE(E70:G70)</f>
        <v>15.934646924336752</v>
      </c>
    </row>
    <row r="71" spans="1:8">
      <c r="A71" s="103"/>
      <c r="B71" s="103"/>
      <c r="E71" s="113"/>
      <c r="F71" s="113"/>
      <c r="G71" s="113"/>
    </row>
    <row r="72" spans="1:8">
      <c r="A72" s="103"/>
      <c r="B72" s="103"/>
      <c r="E72" s="113"/>
      <c r="F72" s="113"/>
      <c r="G72" s="113"/>
    </row>
    <row r="73" spans="1:8">
      <c r="E73" s="103" t="s">
        <v>225</v>
      </c>
      <c r="H73" s="111">
        <f>AVERAGE(H28:H70)</f>
        <v>15.663472914141279</v>
      </c>
    </row>
  </sheetData>
  <mergeCells count="20">
    <mergeCell ref="A2:A3"/>
    <mergeCell ref="B2:B3"/>
    <mergeCell ref="C2:C3"/>
    <mergeCell ref="D2:D3"/>
    <mergeCell ref="E2:E3"/>
    <mergeCell ref="E27:H27"/>
    <mergeCell ref="R2:R3"/>
    <mergeCell ref="S2:S3"/>
    <mergeCell ref="H2:H3"/>
    <mergeCell ref="I2:I3"/>
    <mergeCell ref="J2:J3"/>
    <mergeCell ref="O2:O3"/>
    <mergeCell ref="N2:N3"/>
    <mergeCell ref="Q2:Q3"/>
    <mergeCell ref="F2:F3"/>
    <mergeCell ref="G2:G3"/>
    <mergeCell ref="K2:K3"/>
    <mergeCell ref="L2:L3"/>
    <mergeCell ref="M2:M3"/>
    <mergeCell ref="P2:P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4" sqref="A4:D2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6" t="s">
        <v>4</v>
      </c>
      <c r="B1" s="126" t="s">
        <v>104</v>
      </c>
      <c r="C1" s="126" t="s">
        <v>104</v>
      </c>
      <c r="D1" s="126" t="s">
        <v>5</v>
      </c>
      <c r="E1" s="126" t="s">
        <v>19</v>
      </c>
      <c r="F1" s="126" t="s">
        <v>24</v>
      </c>
      <c r="G1" s="122" t="s">
        <v>25</v>
      </c>
      <c r="H1" s="119" t="s">
        <v>26</v>
      </c>
      <c r="I1" s="4" t="s">
        <v>27</v>
      </c>
      <c r="J1" s="56" t="s">
        <v>27</v>
      </c>
    </row>
    <row r="2" spans="1:10">
      <c r="A2" s="127"/>
      <c r="B2" s="127"/>
      <c r="C2" s="127"/>
      <c r="D2" s="127"/>
      <c r="E2" s="127"/>
      <c r="F2" s="127"/>
      <c r="G2" s="122"/>
      <c r="H2" s="119"/>
      <c r="I2" s="5" t="s">
        <v>28</v>
      </c>
      <c r="J2" s="57" t="s">
        <v>23</v>
      </c>
    </row>
    <row r="3" spans="1:10">
      <c r="A3" s="52" t="s">
        <v>6</v>
      </c>
      <c r="B3" s="52">
        <v>-10</v>
      </c>
      <c r="C3" s="53">
        <v>-10</v>
      </c>
      <c r="D3" s="65">
        <f>C3/60</f>
        <v>-0.16666666666666666</v>
      </c>
      <c r="E3" s="40">
        <v>1</v>
      </c>
      <c r="F3" s="50">
        <v>0.104</v>
      </c>
      <c r="G3" s="50">
        <v>0.104</v>
      </c>
      <c r="H3" s="50">
        <v>0.104</v>
      </c>
      <c r="I3" s="51">
        <f>E3*(AVERAGE(F3:H3)*1.6007-0.0118)</f>
        <v>0.1546728</v>
      </c>
      <c r="J3" s="58">
        <f>E3*(STDEV(F3:H3)*1.6007)</f>
        <v>0</v>
      </c>
    </row>
    <row r="4" spans="1:10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40">
        <v>1</v>
      </c>
      <c r="F4" s="50">
        <v>0.24299999999999999</v>
      </c>
      <c r="G4" s="50">
        <v>0.24299999999999999</v>
      </c>
      <c r="H4" s="50">
        <v>0.24299999999999999</v>
      </c>
      <c r="I4" s="51">
        <f>E4*(AVERAGE(F4:H4)*1.6007-0.0118)</f>
        <v>0.37717010000000001</v>
      </c>
      <c r="J4" s="58">
        <f t="shared" ref="J4:J19" si="1">E4*(STDEV(F4:H4)*1.6007)</f>
        <v>0</v>
      </c>
    </row>
    <row r="5" spans="1:10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40">
        <v>2</v>
      </c>
      <c r="F5" s="50">
        <v>0.29599999999999999</v>
      </c>
      <c r="G5" s="50">
        <v>0.29899999999999999</v>
      </c>
      <c r="H5" s="50">
        <v>0.29899999999999999</v>
      </c>
      <c r="I5" s="51">
        <f t="shared" ref="I5:I19" si="2">E5*(AVERAGE(F5:H5)*1.6007-0.0118)</f>
        <v>0.93041720000000006</v>
      </c>
      <c r="J5" s="58">
        <f t="shared" si="1"/>
        <v>5.5449874553510099E-3</v>
      </c>
    </row>
    <row r="6" spans="1:10">
      <c r="A6" s="40">
        <v>2</v>
      </c>
      <c r="B6" s="54">
        <v>80</v>
      </c>
      <c r="C6" s="55">
        <f t="shared" ref="C6:C18" si="3">C5+B6</f>
        <v>200</v>
      </c>
      <c r="D6" s="65">
        <f t="shared" si="0"/>
        <v>3.3333333333333335</v>
      </c>
      <c r="E6" s="40">
        <v>10</v>
      </c>
      <c r="F6" s="50">
        <v>0.113</v>
      </c>
      <c r="G6" s="50">
        <v>0.114</v>
      </c>
      <c r="H6" s="50">
        <v>0.113</v>
      </c>
      <c r="I6" s="51">
        <f t="shared" si="2"/>
        <v>1.6961266666666668</v>
      </c>
      <c r="J6" s="58">
        <f t="shared" si="1"/>
        <v>9.241645758918348E-3</v>
      </c>
    </row>
    <row r="7" spans="1:10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40">
        <v>10</v>
      </c>
      <c r="F7" s="50">
        <v>0.186</v>
      </c>
      <c r="G7" s="50">
        <v>0.19800000000000001</v>
      </c>
      <c r="H7" s="50">
        <v>0.189</v>
      </c>
      <c r="I7" s="51">
        <f t="shared" si="2"/>
        <v>2.9393369999999996</v>
      </c>
      <c r="J7" s="58">
        <f t="shared" si="1"/>
        <v>9.9963682960363245E-2</v>
      </c>
    </row>
    <row r="8" spans="1:10">
      <c r="A8" s="40">
        <v>4</v>
      </c>
      <c r="B8" s="54">
        <v>80</v>
      </c>
      <c r="C8" s="55">
        <f t="shared" si="3"/>
        <v>360</v>
      </c>
      <c r="D8" s="65">
        <f t="shared" si="0"/>
        <v>6</v>
      </c>
      <c r="E8" s="40">
        <v>20</v>
      </c>
      <c r="F8" s="50">
        <v>0.121</v>
      </c>
      <c r="G8" s="50">
        <v>0.122</v>
      </c>
      <c r="H8" s="50">
        <v>0.127</v>
      </c>
      <c r="I8" s="51">
        <f t="shared" si="2"/>
        <v>3.712393333333333</v>
      </c>
      <c r="J8" s="58">
        <f t="shared" si="1"/>
        <v>0.10291061182080959</v>
      </c>
    </row>
    <row r="9" spans="1:10">
      <c r="A9" s="40">
        <v>5</v>
      </c>
      <c r="B9" s="54">
        <v>80</v>
      </c>
      <c r="C9" s="55">
        <f t="shared" si="3"/>
        <v>440</v>
      </c>
      <c r="D9" s="65">
        <f t="shared" si="0"/>
        <v>7.333333333333333</v>
      </c>
      <c r="E9" s="40">
        <v>20</v>
      </c>
      <c r="F9" s="50">
        <v>0.155</v>
      </c>
      <c r="G9" s="50">
        <v>0.156</v>
      </c>
      <c r="H9" s="50">
        <v>0.16200000000000001</v>
      </c>
      <c r="I9" s="51">
        <f t="shared" si="2"/>
        <v>4.8115406666666667</v>
      </c>
      <c r="J9" s="58">
        <f t="shared" si="1"/>
        <v>0.12120304785496674</v>
      </c>
    </row>
    <row r="10" spans="1:10">
      <c r="A10" s="40">
        <v>6</v>
      </c>
      <c r="B10" s="54">
        <v>80</v>
      </c>
      <c r="C10" s="55">
        <f t="shared" si="3"/>
        <v>520</v>
      </c>
      <c r="D10" s="65">
        <f t="shared" si="0"/>
        <v>8.6666666666666661</v>
      </c>
      <c r="E10" s="40">
        <v>20</v>
      </c>
      <c r="F10" s="50">
        <v>0.186</v>
      </c>
      <c r="G10" s="50">
        <v>0.192</v>
      </c>
      <c r="H10" s="50">
        <v>0.183</v>
      </c>
      <c r="I10" s="51">
        <f t="shared" si="2"/>
        <v>5.7506179999999993</v>
      </c>
      <c r="J10" s="58">
        <f t="shared" si="1"/>
        <v>0.1467065782983164</v>
      </c>
    </row>
    <row r="11" spans="1:10">
      <c r="A11" s="40">
        <v>7</v>
      </c>
      <c r="B11" s="54">
        <v>80</v>
      </c>
      <c r="C11" s="55">
        <f t="shared" si="3"/>
        <v>600</v>
      </c>
      <c r="D11" s="65">
        <f t="shared" si="0"/>
        <v>10</v>
      </c>
      <c r="E11" s="40">
        <v>20</v>
      </c>
      <c r="F11" s="50">
        <v>0.218</v>
      </c>
      <c r="G11" s="50">
        <v>0.22900000000000001</v>
      </c>
      <c r="H11" s="50">
        <v>0.23699999999999999</v>
      </c>
      <c r="I11" s="51">
        <f t="shared" si="2"/>
        <v>7.0631920000000008</v>
      </c>
      <c r="J11" s="58">
        <f t="shared" si="1"/>
        <v>0.30539409594162081</v>
      </c>
    </row>
    <row r="12" spans="1:10">
      <c r="A12" s="40">
        <v>8</v>
      </c>
      <c r="B12" s="54">
        <v>80</v>
      </c>
      <c r="C12" s="55">
        <f t="shared" si="3"/>
        <v>680</v>
      </c>
      <c r="D12" s="65">
        <f t="shared" si="0"/>
        <v>11.333333333333334</v>
      </c>
      <c r="E12" s="40">
        <v>20</v>
      </c>
      <c r="F12" s="50">
        <v>0.247</v>
      </c>
      <c r="G12" s="50">
        <v>0.247</v>
      </c>
      <c r="H12" s="50">
        <v>0.24399999999999999</v>
      </c>
      <c r="I12" s="51">
        <f t="shared" si="2"/>
        <v>7.639444000000001</v>
      </c>
      <c r="J12" s="58">
        <f t="shared" si="1"/>
        <v>5.5449874553510088E-2</v>
      </c>
    </row>
    <row r="13" spans="1:10">
      <c r="A13" s="40">
        <v>9</v>
      </c>
      <c r="B13" s="54">
        <v>80</v>
      </c>
      <c r="C13" s="55">
        <f t="shared" si="3"/>
        <v>760</v>
      </c>
      <c r="D13" s="65">
        <f t="shared" si="0"/>
        <v>12.666666666666666</v>
      </c>
      <c r="E13" s="40">
        <v>20</v>
      </c>
      <c r="F13" s="50">
        <v>0.217</v>
      </c>
      <c r="G13" s="50">
        <v>0.214</v>
      </c>
      <c r="H13" s="50">
        <v>0.223</v>
      </c>
      <c r="I13" s="51">
        <f t="shared" si="2"/>
        <v>6.7430520000000005</v>
      </c>
      <c r="J13" s="58">
        <f t="shared" si="1"/>
        <v>0.1467065782983164</v>
      </c>
    </row>
    <row r="14" spans="1:10">
      <c r="A14" s="40">
        <v>10</v>
      </c>
      <c r="B14" s="54">
        <v>80</v>
      </c>
      <c r="C14" s="55">
        <f t="shared" si="3"/>
        <v>840</v>
      </c>
      <c r="D14" s="65">
        <f t="shared" si="0"/>
        <v>14</v>
      </c>
      <c r="E14" s="40">
        <v>20</v>
      </c>
      <c r="F14" s="50">
        <v>0.20100000000000001</v>
      </c>
      <c r="G14" s="50">
        <v>0.2</v>
      </c>
      <c r="H14" s="50">
        <v>0.19900000000000001</v>
      </c>
      <c r="I14" s="51">
        <f t="shared" si="2"/>
        <v>6.1668000000000021</v>
      </c>
      <c r="J14" s="58">
        <f t="shared" si="1"/>
        <v>3.2014000000000029E-2</v>
      </c>
    </row>
    <row r="15" spans="1:10">
      <c r="A15" s="40">
        <v>11</v>
      </c>
      <c r="B15" s="54">
        <v>80</v>
      </c>
      <c r="C15" s="55">
        <f t="shared" si="3"/>
        <v>920</v>
      </c>
      <c r="D15" s="65">
        <f t="shared" si="0"/>
        <v>15.333333333333334</v>
      </c>
      <c r="E15" s="40">
        <v>20</v>
      </c>
      <c r="F15" s="50">
        <v>0.19400000000000001</v>
      </c>
      <c r="G15" s="50">
        <v>0.186</v>
      </c>
      <c r="H15" s="50">
        <v>0.19</v>
      </c>
      <c r="I15" s="51">
        <f t="shared" si="2"/>
        <v>5.8466600000000017</v>
      </c>
      <c r="J15" s="58">
        <f t="shared" si="1"/>
        <v>0.12805600000000011</v>
      </c>
    </row>
    <row r="16" spans="1:10">
      <c r="A16" s="40">
        <v>12</v>
      </c>
      <c r="B16" s="54">
        <v>80</v>
      </c>
      <c r="C16" s="55">
        <f t="shared" si="3"/>
        <v>1000</v>
      </c>
      <c r="D16" s="65">
        <f t="shared" si="0"/>
        <v>16.666666666666668</v>
      </c>
      <c r="E16" s="40">
        <v>20</v>
      </c>
      <c r="F16" s="50">
        <v>0.16900000000000001</v>
      </c>
      <c r="G16" s="50">
        <v>0.17699999999999999</v>
      </c>
      <c r="H16" s="50">
        <v>0.18099999999999999</v>
      </c>
      <c r="I16" s="51">
        <f t="shared" si="2"/>
        <v>5.387792666666666</v>
      </c>
      <c r="J16" s="58">
        <f t="shared" si="1"/>
        <v>0.19560877106442137</v>
      </c>
    </row>
    <row r="17" spans="1:10">
      <c r="A17" s="40">
        <v>13</v>
      </c>
      <c r="B17" s="54">
        <v>80</v>
      </c>
      <c r="C17" s="55">
        <f t="shared" si="3"/>
        <v>1080</v>
      </c>
      <c r="D17" s="65">
        <f t="shared" si="0"/>
        <v>18</v>
      </c>
      <c r="E17" s="40">
        <v>20</v>
      </c>
      <c r="F17" s="50">
        <v>0.16200000000000001</v>
      </c>
      <c r="G17" s="50">
        <v>0.17799999999999999</v>
      </c>
      <c r="H17" s="50">
        <v>0.16400000000000001</v>
      </c>
      <c r="I17" s="51">
        <f t="shared" si="2"/>
        <v>5.1423520000000007</v>
      </c>
      <c r="J17" s="58">
        <f t="shared" si="1"/>
        <v>0.27909158155702196</v>
      </c>
    </row>
    <row r="18" spans="1:10">
      <c r="A18" s="40">
        <v>14</v>
      </c>
      <c r="B18" s="54">
        <v>380</v>
      </c>
      <c r="C18" s="55">
        <f t="shared" si="3"/>
        <v>1460</v>
      </c>
      <c r="D18" s="65">
        <f t="shared" si="0"/>
        <v>24.333333333333332</v>
      </c>
      <c r="E18" s="40">
        <v>20</v>
      </c>
      <c r="F18" s="50">
        <v>9.6000000000000002E-2</v>
      </c>
      <c r="G18" s="50">
        <v>0.10199999999999999</v>
      </c>
      <c r="H18" s="50">
        <v>0.10100000000000001</v>
      </c>
      <c r="I18" s="51">
        <f t="shared" si="2"/>
        <v>2.954728666666667</v>
      </c>
      <c r="J18" s="58">
        <f t="shared" si="1"/>
        <v>0.10291061182080941</v>
      </c>
    </row>
    <row r="19" spans="1:10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40">
        <v>20</v>
      </c>
      <c r="F19" s="50">
        <v>5.3999999999999999E-2</v>
      </c>
      <c r="G19" s="50">
        <v>5.8000000000000003E-2</v>
      </c>
      <c r="H19" s="50">
        <v>5.8000000000000003E-2</v>
      </c>
      <c r="I19" s="51">
        <f t="shared" si="2"/>
        <v>1.5781266666666669</v>
      </c>
      <c r="J19" s="58">
        <f t="shared" si="1"/>
        <v>7.3933166071346784E-2</v>
      </c>
    </row>
    <row r="20" spans="1:10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40">
        <v>10</v>
      </c>
      <c r="F20" s="50">
        <v>9.2999999999999999E-2</v>
      </c>
      <c r="G20" s="50">
        <v>0.1</v>
      </c>
      <c r="H20" s="50">
        <v>9.1999999999999998E-2</v>
      </c>
      <c r="I20" s="51">
        <f t="shared" ref="I20" si="4">E20*(AVERAGE(F20:H20)*1.6007-0.0118)</f>
        <v>1.4026650000000003</v>
      </c>
      <c r="J20" s="58">
        <f t="shared" ref="J20" si="5">E20*(STDEV(F20:H20)*1.6007)</f>
        <v>6.9772895389255629E-2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4" sqref="A4:D20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6" t="s">
        <v>4</v>
      </c>
      <c r="B1" s="126" t="s">
        <v>104</v>
      </c>
      <c r="C1" s="126" t="s">
        <v>104</v>
      </c>
      <c r="D1" s="126" t="s">
        <v>5</v>
      </c>
      <c r="E1" s="4" t="s">
        <v>29</v>
      </c>
      <c r="F1" s="4" t="s">
        <v>2</v>
      </c>
      <c r="G1" s="4" t="s">
        <v>32</v>
      </c>
    </row>
    <row r="2" spans="1:7">
      <c r="A2" s="127"/>
      <c r="B2" s="127"/>
      <c r="C2" s="127"/>
      <c r="D2" s="127"/>
      <c r="E2" s="5" t="s">
        <v>30</v>
      </c>
      <c r="F2" s="5" t="s">
        <v>31</v>
      </c>
      <c r="G2" s="5" t="s">
        <v>33</v>
      </c>
    </row>
    <row r="3" spans="1:7">
      <c r="A3" s="52" t="s">
        <v>6</v>
      </c>
      <c r="B3" s="52">
        <v>-10</v>
      </c>
      <c r="C3" s="53">
        <v>-10</v>
      </c>
      <c r="D3" s="65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40">
        <v>0</v>
      </c>
      <c r="B4" s="54">
        <v>10</v>
      </c>
      <c r="C4" s="55">
        <v>10</v>
      </c>
      <c r="D4" s="65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40">
        <v>1</v>
      </c>
      <c r="B5" s="54">
        <v>110</v>
      </c>
      <c r="C5" s="55">
        <f>C4+B5</f>
        <v>120</v>
      </c>
      <c r="D5" s="65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40">
        <v>2</v>
      </c>
      <c r="B6" s="54">
        <v>80</v>
      </c>
      <c r="C6" s="55">
        <f t="shared" ref="C6:C18" si="1">C5+B6</f>
        <v>200</v>
      </c>
      <c r="D6" s="65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40">
        <v>3</v>
      </c>
      <c r="B7" s="54">
        <v>80</v>
      </c>
      <c r="C7" s="55">
        <f>C6+B7</f>
        <v>280</v>
      </c>
      <c r="D7" s="65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40">
        <v>4</v>
      </c>
      <c r="B8" s="54">
        <v>80</v>
      </c>
      <c r="C8" s="55">
        <f t="shared" si="1"/>
        <v>360</v>
      </c>
      <c r="D8" s="65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40">
        <v>5</v>
      </c>
      <c r="B9" s="54">
        <v>80</v>
      </c>
      <c r="C9" s="55">
        <f t="shared" si="1"/>
        <v>440</v>
      </c>
      <c r="D9" s="65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40">
        <v>6</v>
      </c>
      <c r="B10" s="54">
        <v>80</v>
      </c>
      <c r="C10" s="55">
        <f t="shared" si="1"/>
        <v>520</v>
      </c>
      <c r="D10" s="65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40">
        <v>7</v>
      </c>
      <c r="B11" s="54">
        <v>80</v>
      </c>
      <c r="C11" s="55">
        <f t="shared" si="1"/>
        <v>600</v>
      </c>
      <c r="D11" s="65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40">
        <v>8</v>
      </c>
      <c r="B12" s="54">
        <v>80</v>
      </c>
      <c r="C12" s="55">
        <f t="shared" si="1"/>
        <v>680</v>
      </c>
      <c r="D12" s="65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40">
        <v>9</v>
      </c>
      <c r="B13" s="54">
        <v>80</v>
      </c>
      <c r="C13" s="55">
        <f t="shared" si="1"/>
        <v>760</v>
      </c>
      <c r="D13" s="65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40">
        <v>10</v>
      </c>
      <c r="B14" s="54">
        <v>80</v>
      </c>
      <c r="C14" s="55">
        <f t="shared" si="1"/>
        <v>840</v>
      </c>
      <c r="D14" s="65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40">
        <v>11</v>
      </c>
      <c r="B15" s="54">
        <v>80</v>
      </c>
      <c r="C15" s="55">
        <f t="shared" si="1"/>
        <v>920</v>
      </c>
      <c r="D15" s="65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40">
        <v>12</v>
      </c>
      <c r="B16" s="54">
        <v>80</v>
      </c>
      <c r="C16" s="55">
        <f t="shared" si="1"/>
        <v>1000</v>
      </c>
      <c r="D16" s="65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40">
        <v>13</v>
      </c>
      <c r="B17" s="54">
        <v>80</v>
      </c>
      <c r="C17" s="55">
        <f t="shared" si="1"/>
        <v>1080</v>
      </c>
      <c r="D17" s="65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40">
        <v>14</v>
      </c>
      <c r="B18" s="54">
        <v>380</v>
      </c>
      <c r="C18" s="55">
        <f t="shared" si="1"/>
        <v>1460</v>
      </c>
      <c r="D18" s="65">
        <f t="shared" si="0"/>
        <v>24.333333333333332</v>
      </c>
      <c r="E18" s="37"/>
      <c r="F18" s="37"/>
      <c r="G18" s="37" t="e">
        <f>(F18-$C$22)/E18*1000*Calculation!I19/Calculation!K18</f>
        <v>#DIV/0!</v>
      </c>
    </row>
    <row r="19" spans="1:7">
      <c r="A19" s="40">
        <v>15</v>
      </c>
      <c r="B19" s="54">
        <v>350</v>
      </c>
      <c r="C19" s="55">
        <f>C18+B19</f>
        <v>1810</v>
      </c>
      <c r="D19" s="65">
        <f t="shared" si="0"/>
        <v>30.166666666666668</v>
      </c>
      <c r="E19" s="40"/>
      <c r="F19" s="40"/>
      <c r="G19" s="40" t="e">
        <f>(F19-$C$22)/E19*1000*Calculation!I21/Calculation!K19</f>
        <v>#DIV/0!</v>
      </c>
    </row>
    <row r="20" spans="1:7">
      <c r="A20" s="40">
        <v>16</v>
      </c>
      <c r="B20" s="54">
        <v>1070</v>
      </c>
      <c r="C20" s="55">
        <f>C19+B20</f>
        <v>2880</v>
      </c>
      <c r="D20" s="65">
        <f t="shared" si="0"/>
        <v>48</v>
      </c>
      <c r="E20" s="40"/>
      <c r="F20" s="40"/>
      <c r="G20" s="40" t="e">
        <f>(F20-$C$22)/E20*1000*Calculation!I21/Calculation!K20</f>
        <v>#DIV/0!</v>
      </c>
    </row>
    <row r="21" spans="1:7">
      <c r="A21" s="64"/>
      <c r="B21" s="55"/>
      <c r="C21" s="55"/>
      <c r="D21" s="66"/>
    </row>
    <row r="22" spans="1:7">
      <c r="A22" s="146" t="s">
        <v>3</v>
      </c>
      <c r="B22" s="147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86" workbookViewId="0">
      <selection activeCell="B5" sqref="B5:B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49</v>
      </c>
      <c r="B1" s="12">
        <v>69.5</v>
      </c>
      <c r="C1" s="26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2" t="s">
        <v>5</v>
      </c>
      <c r="B3" s="122" t="s">
        <v>36</v>
      </c>
      <c r="C3" s="122"/>
      <c r="D3" s="122" t="s">
        <v>51</v>
      </c>
      <c r="E3" s="122"/>
      <c r="F3" s="122"/>
      <c r="G3" s="23" t="s">
        <v>52</v>
      </c>
    </row>
    <row r="4" spans="1:10">
      <c r="A4" s="122"/>
      <c r="B4" s="23" t="s">
        <v>53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</row>
    <row r="5" spans="1:10">
      <c r="A5" s="12">
        <v>0</v>
      </c>
      <c r="B5" s="40">
        <v>1274.73</v>
      </c>
      <c r="C5" s="12">
        <f>B5/1000</f>
        <v>1.2747299999999999</v>
      </c>
      <c r="D5" s="12">
        <f>C5/1000*$B$1</f>
        <v>8.8593734999999993E-2</v>
      </c>
      <c r="E5" s="12">
        <f>D5/22.4</f>
        <v>3.955077455357143E-3</v>
      </c>
      <c r="F5" s="12">
        <f>E5/Calculation!K$4*1000</f>
        <v>2.6901999474060255E-3</v>
      </c>
      <c r="G5" s="12">
        <f>(0+F5)/2*30</f>
        <v>4.0352999211090382E-2</v>
      </c>
      <c r="I5" s="77">
        <v>-0.16666666666666666</v>
      </c>
      <c r="J5" t="s">
        <v>146</v>
      </c>
    </row>
    <row r="6" spans="1:10">
      <c r="A6" s="12">
        <v>0.5</v>
      </c>
      <c r="B6" s="40">
        <v>5512.73</v>
      </c>
      <c r="C6" s="12">
        <f t="shared" ref="C6:C69" si="0">B6/1000</f>
        <v>5.5127299999999995</v>
      </c>
      <c r="D6" s="12">
        <f>C6/1000*$B$1</f>
        <v>0.38313473499999995</v>
      </c>
      <c r="E6" s="12">
        <f>D6/22.4</f>
        <v>1.7104229241071429E-2</v>
      </c>
      <c r="F6" s="12">
        <f>E6/Calculation!K$4*1000</f>
        <v>1.1634107580478706E-2</v>
      </c>
      <c r="G6" s="12">
        <f>G5+(F6+F5)/2*30</f>
        <v>0.25521761212936134</v>
      </c>
      <c r="I6" s="77">
        <v>0.16666666666666666</v>
      </c>
      <c r="J6" t="s">
        <v>147</v>
      </c>
    </row>
    <row r="7" spans="1:10">
      <c r="A7" s="12">
        <v>1</v>
      </c>
      <c r="B7" s="40">
        <v>8821.11</v>
      </c>
      <c r="C7" s="12">
        <f t="shared" si="0"/>
        <v>8.8211100000000009</v>
      </c>
      <c r="D7" s="12">
        <f t="shared" ref="D7:D69" si="1">C7/1000*$B$1</f>
        <v>0.61306714500000004</v>
      </c>
      <c r="E7" s="12">
        <f t="shared" ref="E7:E69" si="2">D7/22.4</f>
        <v>2.736906897321429E-2</v>
      </c>
      <c r="F7" s="12">
        <f>E7/Calculation!K$4*1000</f>
        <v>1.8616138051244398E-2</v>
      </c>
      <c r="G7" s="12">
        <f t="shared" ref="G7:G70" si="3">G6+(F7+F6)/2*30</f>
        <v>0.70897129660520797</v>
      </c>
      <c r="I7" s="77">
        <v>2</v>
      </c>
      <c r="J7" t="s">
        <v>148</v>
      </c>
    </row>
    <row r="8" spans="1:10">
      <c r="A8" s="12">
        <v>1.5</v>
      </c>
      <c r="B8" s="40">
        <v>14458.73</v>
      </c>
      <c r="C8" s="12">
        <f t="shared" si="0"/>
        <v>14.458729999999999</v>
      </c>
      <c r="D8" s="12">
        <f t="shared" si="1"/>
        <v>1.0048817349999999</v>
      </c>
      <c r="E8" s="12">
        <f t="shared" si="2"/>
        <v>4.4860791741071424E-2</v>
      </c>
      <c r="F8" s="12">
        <f>E8/Calculation!K$4*1000</f>
        <v>3.0513814443496205E-2</v>
      </c>
      <c r="G8" s="12">
        <f t="shared" si="3"/>
        <v>1.445920584026317</v>
      </c>
      <c r="I8" s="77">
        <v>3.3333333333333335</v>
      </c>
      <c r="J8" t="s">
        <v>149</v>
      </c>
    </row>
    <row r="9" spans="1:10">
      <c r="A9" s="12">
        <v>2</v>
      </c>
      <c r="B9" s="40">
        <v>24965.43</v>
      </c>
      <c r="C9" s="12">
        <f t="shared" si="0"/>
        <v>24.965430000000001</v>
      </c>
      <c r="D9" s="12">
        <f t="shared" si="1"/>
        <v>1.735097385</v>
      </c>
      <c r="E9" s="12">
        <f t="shared" si="2"/>
        <v>7.7459704687500006E-2</v>
      </c>
      <c r="F9" s="12">
        <f>E9/Calculation!K$5*1000</f>
        <v>5.4382068648187051E-2</v>
      </c>
      <c r="G9" s="12">
        <f t="shared" si="3"/>
        <v>2.7193588304015659</v>
      </c>
      <c r="I9" s="77">
        <v>4.666666666666667</v>
      </c>
      <c r="J9" t="s">
        <v>150</v>
      </c>
    </row>
    <row r="10" spans="1:10">
      <c r="A10" s="12">
        <v>2.5</v>
      </c>
      <c r="B10" s="40">
        <v>31267.39</v>
      </c>
      <c r="C10" s="12">
        <f t="shared" si="0"/>
        <v>31.267389999999999</v>
      </c>
      <c r="D10" s="12">
        <f t="shared" si="1"/>
        <v>2.173083605</v>
      </c>
      <c r="E10" s="12">
        <f t="shared" si="2"/>
        <v>9.7012660937500009E-2</v>
      </c>
      <c r="F10" s="12">
        <f>E10/Calculation!K$5*1000</f>
        <v>6.8109595926432565E-2</v>
      </c>
      <c r="G10" s="12">
        <f t="shared" si="3"/>
        <v>4.5567337990208596</v>
      </c>
      <c r="I10" s="77">
        <v>6</v>
      </c>
      <c r="J10" t="s">
        <v>151</v>
      </c>
    </row>
    <row r="11" spans="1:10">
      <c r="A11" s="12">
        <v>3</v>
      </c>
      <c r="B11" s="40">
        <v>28127.49</v>
      </c>
      <c r="C11" s="12">
        <f t="shared" si="0"/>
        <v>28.127490000000002</v>
      </c>
      <c r="D11" s="12">
        <f t="shared" si="1"/>
        <v>1.954860555</v>
      </c>
      <c r="E11" s="12">
        <f t="shared" si="2"/>
        <v>8.7270560491071431E-2</v>
      </c>
      <c r="F11" s="12">
        <f>E11/Calculation!K$5*1000</f>
        <v>6.1269967794714324E-2</v>
      </c>
      <c r="G11" s="12">
        <f t="shared" si="3"/>
        <v>6.4974272548380636</v>
      </c>
      <c r="I11" s="77">
        <v>7.333333333333333</v>
      </c>
      <c r="J11" t="s">
        <v>152</v>
      </c>
    </row>
    <row r="12" spans="1:10">
      <c r="A12" s="12">
        <v>3.5</v>
      </c>
      <c r="B12" s="40">
        <v>34227.71</v>
      </c>
      <c r="C12" s="12">
        <f t="shared" si="0"/>
        <v>34.227710000000002</v>
      </c>
      <c r="D12" s="12">
        <f t="shared" si="1"/>
        <v>2.3788258450000002</v>
      </c>
      <c r="E12" s="12">
        <f t="shared" si="2"/>
        <v>0.10619758236607144</v>
      </c>
      <c r="F12" s="12">
        <f>E12/Calculation!K$6*1000</f>
        <v>7.7193936371679178E-2</v>
      </c>
      <c r="G12" s="12">
        <f t="shared" si="3"/>
        <v>8.5743858173339653</v>
      </c>
      <c r="I12" s="77">
        <v>8.6666666666666661</v>
      </c>
      <c r="J12" t="s">
        <v>153</v>
      </c>
    </row>
    <row r="13" spans="1:10">
      <c r="A13" s="12">
        <v>4</v>
      </c>
      <c r="B13" s="40">
        <v>33744.42</v>
      </c>
      <c r="C13" s="12">
        <f t="shared" si="0"/>
        <v>33.744419999999998</v>
      </c>
      <c r="D13" s="12">
        <f t="shared" si="1"/>
        <v>2.3452371899999997</v>
      </c>
      <c r="E13" s="12">
        <f t="shared" si="2"/>
        <v>0.10469808883928571</v>
      </c>
      <c r="F13" s="12">
        <f>E13/Calculation!K$6*1000</f>
        <v>7.6103969864744617E-2</v>
      </c>
      <c r="G13" s="12">
        <f t="shared" si="3"/>
        <v>10.873854410880323</v>
      </c>
      <c r="I13" s="77">
        <v>10</v>
      </c>
      <c r="J13" t="s">
        <v>154</v>
      </c>
    </row>
    <row r="14" spans="1:10">
      <c r="A14" s="12">
        <v>4.5</v>
      </c>
      <c r="B14" s="40">
        <v>30938.54</v>
      </c>
      <c r="C14" s="12">
        <f t="shared" si="0"/>
        <v>30.93854</v>
      </c>
      <c r="D14" s="12">
        <f t="shared" si="1"/>
        <v>2.1502285300000001</v>
      </c>
      <c r="E14" s="12">
        <f t="shared" si="2"/>
        <v>9.5992345089285724E-2</v>
      </c>
      <c r="F14" s="12">
        <f>E14/Calculation!K$6*1000</f>
        <v>6.9775853780245631E-2</v>
      </c>
      <c r="G14" s="12">
        <f t="shared" si="3"/>
        <v>13.062051765555177</v>
      </c>
      <c r="I14" s="77">
        <v>11.333333333333334</v>
      </c>
      <c r="J14" t="s">
        <v>155</v>
      </c>
    </row>
    <row r="15" spans="1:10">
      <c r="A15" s="12">
        <v>5</v>
      </c>
      <c r="B15" s="40">
        <v>31181.66</v>
      </c>
      <c r="C15" s="12">
        <f t="shared" si="0"/>
        <v>31.181660000000001</v>
      </c>
      <c r="D15" s="12">
        <f t="shared" si="1"/>
        <v>2.1671253699999999</v>
      </c>
      <c r="E15" s="12">
        <f t="shared" si="2"/>
        <v>9.6746668303571426E-2</v>
      </c>
      <c r="F15" s="12">
        <f>E15/Calculation!K$7*1000</f>
        <v>7.3049093942641238E-2</v>
      </c>
      <c r="G15" s="12">
        <f t="shared" si="3"/>
        <v>15.204425981398479</v>
      </c>
      <c r="I15" s="77">
        <v>12.666666666666666</v>
      </c>
      <c r="J15" t="s">
        <v>156</v>
      </c>
    </row>
    <row r="16" spans="1:10">
      <c r="A16" s="12">
        <v>5.5</v>
      </c>
      <c r="B16" s="40">
        <v>33795.410000000003</v>
      </c>
      <c r="C16" s="12">
        <f t="shared" si="0"/>
        <v>33.795410000000004</v>
      </c>
      <c r="D16" s="12">
        <f t="shared" si="1"/>
        <v>2.3487809950000003</v>
      </c>
      <c r="E16" s="12">
        <f t="shared" si="2"/>
        <v>0.10485629441964288</v>
      </c>
      <c r="F16" s="12">
        <f>E16/Calculation!K$7*1000</f>
        <v>7.9172310900705006E-2</v>
      </c>
      <c r="G16" s="12">
        <f t="shared" si="3"/>
        <v>17.487747054048672</v>
      </c>
      <c r="I16" s="77">
        <v>14</v>
      </c>
      <c r="J16" t="s">
        <v>157</v>
      </c>
    </row>
    <row r="17" spans="1:10">
      <c r="A17" s="12">
        <v>6</v>
      </c>
      <c r="B17" s="40">
        <v>34867.660000000003</v>
      </c>
      <c r="C17" s="12">
        <f t="shared" si="0"/>
        <v>34.867660000000001</v>
      </c>
      <c r="D17" s="12">
        <f t="shared" si="1"/>
        <v>2.42330237</v>
      </c>
      <c r="E17" s="12">
        <f t="shared" si="2"/>
        <v>0.10818314151785716</v>
      </c>
      <c r="F17" s="12">
        <f>E17/Calculation!K$8*1000</f>
        <v>8.4438370231992868E-2</v>
      </c>
      <c r="G17" s="12">
        <f t="shared" si="3"/>
        <v>19.941907271039142</v>
      </c>
      <c r="I17" s="77">
        <v>15.333333333333334</v>
      </c>
      <c r="J17" t="s">
        <v>158</v>
      </c>
    </row>
    <row r="18" spans="1:10">
      <c r="A18" s="12">
        <v>6.5</v>
      </c>
      <c r="B18" s="40">
        <v>40369.300000000003</v>
      </c>
      <c r="C18" s="12">
        <f t="shared" si="0"/>
        <v>40.369300000000003</v>
      </c>
      <c r="D18" s="12">
        <f t="shared" si="1"/>
        <v>2.8056663500000001</v>
      </c>
      <c r="E18" s="12">
        <f t="shared" si="2"/>
        <v>0.12525296205357145</v>
      </c>
      <c r="F18" s="12">
        <f>E18/Calculation!K$8*1000</f>
        <v>9.7761590522747729E-2</v>
      </c>
      <c r="G18" s="12">
        <f t="shared" si="3"/>
        <v>22.674906682360252</v>
      </c>
      <c r="I18" s="77">
        <v>16.666666666666668</v>
      </c>
      <c r="J18" t="s">
        <v>159</v>
      </c>
    </row>
    <row r="19" spans="1:10">
      <c r="A19" s="12">
        <v>7</v>
      </c>
      <c r="B19" s="40">
        <v>39409.379999999997</v>
      </c>
      <c r="C19" s="12">
        <f t="shared" si="0"/>
        <v>39.409379999999999</v>
      </c>
      <c r="D19" s="12">
        <f t="shared" si="1"/>
        <v>2.7389519099999999</v>
      </c>
      <c r="E19" s="12">
        <f t="shared" si="2"/>
        <v>0.12227463883928572</v>
      </c>
      <c r="F19" s="12">
        <f>E19/Calculation!K$8*1000</f>
        <v>9.5436969932977858E-2</v>
      </c>
      <c r="G19" s="12">
        <f t="shared" si="3"/>
        <v>25.572885089196134</v>
      </c>
      <c r="I19" s="77">
        <v>18</v>
      </c>
      <c r="J19" t="s">
        <v>160</v>
      </c>
    </row>
    <row r="20" spans="1:10">
      <c r="A20" s="12">
        <v>7.5</v>
      </c>
      <c r="B20" s="40">
        <v>41052.85</v>
      </c>
      <c r="C20" s="12">
        <f t="shared" si="0"/>
        <v>41.052849999999999</v>
      </c>
      <c r="D20" s="12">
        <f t="shared" si="1"/>
        <v>2.8531730749999999</v>
      </c>
      <c r="E20" s="12">
        <f t="shared" si="2"/>
        <v>0.12737379799107143</v>
      </c>
      <c r="F20" s="12">
        <f>E20/Calculation!K$9*1000</f>
        <v>0.1034377584737417</v>
      </c>
      <c r="G20" s="12">
        <f t="shared" si="3"/>
        <v>28.556006015296926</v>
      </c>
      <c r="I20" s="77">
        <v>24</v>
      </c>
      <c r="J20" t="s">
        <v>161</v>
      </c>
    </row>
    <row r="21" spans="1:10">
      <c r="A21" s="12">
        <v>8</v>
      </c>
      <c r="B21" s="40">
        <v>40988.559999999998</v>
      </c>
      <c r="C21" s="12">
        <f t="shared" si="0"/>
        <v>40.98856</v>
      </c>
      <c r="D21" s="12">
        <f t="shared" si="1"/>
        <v>2.8487049199999999</v>
      </c>
      <c r="E21" s="12">
        <f t="shared" si="2"/>
        <v>0.12717432678571428</v>
      </c>
      <c r="F21" s="12">
        <f>E21/Calculation!K$9*1000</f>
        <v>0.10327577182744851</v>
      </c>
      <c r="G21" s="12">
        <f t="shared" si="3"/>
        <v>31.65670896981478</v>
      </c>
      <c r="I21" s="77">
        <v>30</v>
      </c>
      <c r="J21" t="s">
        <v>162</v>
      </c>
    </row>
    <row r="22" spans="1:10">
      <c r="A22" s="12">
        <v>8.5</v>
      </c>
      <c r="B22" s="40">
        <v>43515.11</v>
      </c>
      <c r="C22" s="12">
        <f t="shared" si="0"/>
        <v>43.51511</v>
      </c>
      <c r="D22" s="12">
        <f t="shared" si="1"/>
        <v>3.0243001450000002</v>
      </c>
      <c r="E22" s="12">
        <f t="shared" si="2"/>
        <v>0.13501339933035716</v>
      </c>
      <c r="F22" s="12">
        <f>E22/Calculation!K$9*1000</f>
        <v>0.10964172860442825</v>
      </c>
      <c r="G22" s="12">
        <f t="shared" si="3"/>
        <v>34.850471476292931</v>
      </c>
      <c r="I22" s="77">
        <v>48</v>
      </c>
      <c r="J22" t="s">
        <v>163</v>
      </c>
    </row>
    <row r="23" spans="1:10">
      <c r="A23" s="12">
        <v>9</v>
      </c>
      <c r="B23" s="40">
        <v>48648.75</v>
      </c>
      <c r="C23" s="12">
        <f t="shared" si="0"/>
        <v>48.64875</v>
      </c>
      <c r="D23" s="12">
        <f t="shared" si="1"/>
        <v>3.3810881249999998</v>
      </c>
      <c r="E23" s="12">
        <f t="shared" si="2"/>
        <v>0.15094143415178571</v>
      </c>
      <c r="F23" s="12">
        <f>E23/Calculation!K$10*1000</f>
        <v>0.12835084100029098</v>
      </c>
      <c r="G23" s="12">
        <f t="shared" si="3"/>
        <v>38.420360020363717</v>
      </c>
    </row>
    <row r="24" spans="1:10">
      <c r="A24" s="12">
        <v>9.5</v>
      </c>
      <c r="B24" s="40">
        <v>47621.58</v>
      </c>
      <c r="C24" s="12">
        <f t="shared" si="0"/>
        <v>47.621580000000002</v>
      </c>
      <c r="D24" s="12">
        <f t="shared" si="1"/>
        <v>3.3096998100000001</v>
      </c>
      <c r="E24" s="12">
        <f t="shared" si="2"/>
        <v>0.14775445580357144</v>
      </c>
      <c r="F24" s="12">
        <f>E24/Calculation!K$10*1000</f>
        <v>0.12564084057170302</v>
      </c>
      <c r="G24" s="12">
        <f t="shared" si="3"/>
        <v>42.230235243943625</v>
      </c>
    </row>
    <row r="25" spans="1:10">
      <c r="A25" s="12">
        <v>10</v>
      </c>
      <c r="B25" s="40">
        <v>54673.59</v>
      </c>
      <c r="C25" s="12">
        <f t="shared" si="0"/>
        <v>54.673589999999997</v>
      </c>
      <c r="D25" s="12">
        <f t="shared" si="1"/>
        <v>3.7998145049999996</v>
      </c>
      <c r="E25" s="12">
        <f t="shared" si="2"/>
        <v>0.16963457611607141</v>
      </c>
      <c r="F25" s="12">
        <f>E25/Calculation!K$11*1000</f>
        <v>0.15055010292454721</v>
      </c>
      <c r="G25" s="12">
        <f t="shared" si="3"/>
        <v>46.373099396387374</v>
      </c>
    </row>
    <row r="26" spans="1:10">
      <c r="A26" s="12">
        <v>10.5</v>
      </c>
      <c r="B26" s="40">
        <v>53179.38</v>
      </c>
      <c r="C26" s="12">
        <f t="shared" si="0"/>
        <v>53.179379999999995</v>
      </c>
      <c r="D26" s="12">
        <f t="shared" si="1"/>
        <v>3.6959669099999992</v>
      </c>
      <c r="E26" s="12">
        <f t="shared" si="2"/>
        <v>0.16499852276785712</v>
      </c>
      <c r="F26" s="12">
        <f>E26/Calculation!K$11*1000</f>
        <v>0.14643562152153547</v>
      </c>
      <c r="G26" s="12">
        <f t="shared" si="3"/>
        <v>50.827885263078613</v>
      </c>
    </row>
    <row r="27" spans="1:10">
      <c r="A27" s="12">
        <v>11</v>
      </c>
      <c r="B27" s="40">
        <v>59476.17</v>
      </c>
      <c r="C27" s="12">
        <f t="shared" si="0"/>
        <v>59.476169999999996</v>
      </c>
      <c r="D27" s="12">
        <f t="shared" si="1"/>
        <v>4.1335938149999993</v>
      </c>
      <c r="E27" s="12">
        <f t="shared" si="2"/>
        <v>0.18453543816964285</v>
      </c>
      <c r="F27" s="12">
        <f>E27/Calculation!K$11*1000</f>
        <v>0.1637745667525741</v>
      </c>
      <c r="G27" s="12">
        <f t="shared" si="3"/>
        <v>55.481038087190257</v>
      </c>
    </row>
    <row r="28" spans="1:10">
      <c r="A28" s="12">
        <v>11.5</v>
      </c>
      <c r="B28" s="40">
        <v>59848.61</v>
      </c>
      <c r="C28" s="12">
        <f t="shared" si="0"/>
        <v>59.848610000000001</v>
      </c>
      <c r="D28" s="12">
        <f t="shared" si="1"/>
        <v>4.1594783949999998</v>
      </c>
      <c r="E28" s="12">
        <f t="shared" si="2"/>
        <v>0.18569099977678571</v>
      </c>
      <c r="F28" s="12">
        <f>E28/Calculation!K$12*1000</f>
        <v>0.17212457364734196</v>
      </c>
      <c r="G28" s="12">
        <f t="shared" si="3"/>
        <v>60.519525193188997</v>
      </c>
    </row>
    <row r="29" spans="1:10">
      <c r="A29" s="12">
        <v>12</v>
      </c>
      <c r="B29" s="40">
        <v>27752.83</v>
      </c>
      <c r="C29" s="12">
        <f t="shared" si="0"/>
        <v>27.752830000000003</v>
      </c>
      <c r="D29" s="12">
        <f t="shared" si="1"/>
        <v>1.9288216850000002</v>
      </c>
      <c r="E29" s="12">
        <f t="shared" si="2"/>
        <v>8.610811093750001E-2</v>
      </c>
      <c r="F29" s="12">
        <f>E29/Calculation!K$12*1000</f>
        <v>7.9817125765446542E-2</v>
      </c>
      <c r="G29" s="12">
        <f t="shared" si="3"/>
        <v>64.298650684380817</v>
      </c>
    </row>
    <row r="30" spans="1:10">
      <c r="A30" s="12">
        <v>12.5</v>
      </c>
      <c r="B30" s="40">
        <v>9968.73</v>
      </c>
      <c r="C30" s="12">
        <f t="shared" si="0"/>
        <v>9.968729999999999</v>
      </c>
      <c r="D30" s="12">
        <f t="shared" si="1"/>
        <v>0.69282673499999992</v>
      </c>
      <c r="E30" s="12">
        <f t="shared" si="2"/>
        <v>3.0929764955357143E-2</v>
      </c>
      <c r="F30" s="12">
        <f>E30/Calculation!K$12*1000</f>
        <v>2.8670062697453914E-2</v>
      </c>
      <c r="G30" s="12">
        <f t="shared" si="3"/>
        <v>65.925958511324325</v>
      </c>
    </row>
    <row r="31" spans="1:10">
      <c r="A31" s="12">
        <v>13</v>
      </c>
      <c r="B31" s="40">
        <v>3425.87</v>
      </c>
      <c r="C31" s="12">
        <f t="shared" si="0"/>
        <v>3.4258699999999997</v>
      </c>
      <c r="D31" s="12">
        <f t="shared" si="1"/>
        <v>0.23809796499999997</v>
      </c>
      <c r="E31" s="12">
        <f t="shared" si="2"/>
        <v>1.0629373437499999E-2</v>
      </c>
      <c r="F31" s="12">
        <f>E31/Calculation!K$13*1000</f>
        <v>1.0290297629862078E-2</v>
      </c>
      <c r="G31" s="12">
        <f t="shared" si="3"/>
        <v>66.51036391623407</v>
      </c>
    </row>
    <row r="32" spans="1:10">
      <c r="A32" s="12">
        <v>13.5</v>
      </c>
      <c r="B32" s="40">
        <v>1324.24</v>
      </c>
      <c r="C32" s="12">
        <f t="shared" si="0"/>
        <v>1.3242400000000001</v>
      </c>
      <c r="D32" s="12">
        <f t="shared" si="1"/>
        <v>9.2034680000000008E-2</v>
      </c>
      <c r="E32" s="12">
        <f t="shared" si="2"/>
        <v>4.1086910714285716E-3</v>
      </c>
      <c r="F32" s="12">
        <f>E32/Calculation!K$13*1000</f>
        <v>3.977624292039266E-3</v>
      </c>
      <c r="G32" s="12">
        <f t="shared" si="3"/>
        <v>66.724382745062584</v>
      </c>
    </row>
    <row r="33" spans="1:7">
      <c r="A33" s="12">
        <v>14</v>
      </c>
      <c r="B33" s="40">
        <v>659.16</v>
      </c>
      <c r="C33" s="12">
        <f t="shared" si="0"/>
        <v>0.65915999999999997</v>
      </c>
      <c r="D33" s="12">
        <f t="shared" si="1"/>
        <v>4.5811619999999997E-2</v>
      </c>
      <c r="E33" s="12">
        <f t="shared" si="2"/>
        <v>2.045161607142857E-3</v>
      </c>
      <c r="F33" s="12">
        <f>E33/Calculation!K$14*1000</f>
        <v>2.0838237531369715E-3</v>
      </c>
      <c r="G33" s="12">
        <f t="shared" si="3"/>
        <v>66.815304465740226</v>
      </c>
    </row>
    <row r="34" spans="1:7">
      <c r="A34" s="12">
        <v>14.5</v>
      </c>
      <c r="B34" s="40">
        <v>351.75</v>
      </c>
      <c r="C34" s="12">
        <f t="shared" si="0"/>
        <v>0.35175000000000001</v>
      </c>
      <c r="D34" s="12">
        <f t="shared" si="1"/>
        <v>2.4446625E-2</v>
      </c>
      <c r="E34" s="12">
        <f t="shared" si="2"/>
        <v>1.0913671875000001E-3</v>
      </c>
      <c r="F34" s="12">
        <f>E34/Calculation!K$14*1000</f>
        <v>1.1119986121213815E-3</v>
      </c>
      <c r="G34" s="12">
        <f t="shared" si="3"/>
        <v>66.863241801219104</v>
      </c>
    </row>
    <row r="35" spans="1:7">
      <c r="A35" s="12">
        <v>15</v>
      </c>
      <c r="B35" s="40">
        <v>380.57</v>
      </c>
      <c r="C35" s="12">
        <f t="shared" si="0"/>
        <v>0.38057000000000002</v>
      </c>
      <c r="D35" s="12">
        <f t="shared" si="1"/>
        <v>2.6449614999999999E-2</v>
      </c>
      <c r="E35" s="12">
        <f t="shared" si="2"/>
        <v>1.1807863839285715E-3</v>
      </c>
      <c r="F35" s="12">
        <f>E35/Calculation!K$14*1000</f>
        <v>1.2031082070079152E-3</v>
      </c>
      <c r="G35" s="12">
        <f t="shared" si="3"/>
        <v>66.897968403506042</v>
      </c>
    </row>
    <row r="36" spans="1:7">
      <c r="A36" s="12">
        <v>15.5</v>
      </c>
      <c r="B36" s="40">
        <v>182.53</v>
      </c>
      <c r="C36" s="12">
        <f t="shared" si="0"/>
        <v>0.18253</v>
      </c>
      <c r="D36" s="12">
        <f t="shared" si="1"/>
        <v>1.2685834999999999E-2</v>
      </c>
      <c r="E36" s="12">
        <f t="shared" si="2"/>
        <v>5.663319196428572E-4</v>
      </c>
      <c r="F36" s="12">
        <f>E36/Calculation!K$15*1000</f>
        <v>6.09588832017586E-4</v>
      </c>
      <c r="G36" s="12">
        <f t="shared" si="3"/>
        <v>66.925158859091425</v>
      </c>
    </row>
    <row r="37" spans="1:7">
      <c r="A37" s="12">
        <v>16</v>
      </c>
      <c r="B37" s="40">
        <v>157.4</v>
      </c>
      <c r="C37" s="12">
        <f t="shared" si="0"/>
        <v>0.15740000000000001</v>
      </c>
      <c r="D37" s="12">
        <f t="shared" si="1"/>
        <v>1.0939300000000001E-2</v>
      </c>
      <c r="E37" s="12">
        <f t="shared" si="2"/>
        <v>4.8836160714285724E-4</v>
      </c>
      <c r="F37" s="12">
        <f>E37/Calculation!K$15*1000</f>
        <v>5.256630809158387E-4</v>
      </c>
      <c r="G37" s="12">
        <f t="shared" si="3"/>
        <v>66.942187637785423</v>
      </c>
    </row>
    <row r="38" spans="1:7">
      <c r="A38" s="12">
        <v>16.5</v>
      </c>
      <c r="B38" s="40">
        <v>148.53</v>
      </c>
      <c r="C38" s="12">
        <f t="shared" si="0"/>
        <v>0.14853</v>
      </c>
      <c r="D38" s="12">
        <f t="shared" si="1"/>
        <v>1.0322834999999999E-2</v>
      </c>
      <c r="E38" s="12">
        <f t="shared" si="2"/>
        <v>4.6084084821428571E-4</v>
      </c>
      <c r="F38" s="12">
        <f>E38/Calculation!K$15*1000</f>
        <v>4.9604026307769711E-4</v>
      </c>
      <c r="G38" s="12">
        <f t="shared" si="3"/>
        <v>66.957513187945324</v>
      </c>
    </row>
    <row r="39" spans="1:7">
      <c r="A39" s="12">
        <v>17</v>
      </c>
      <c r="B39" s="40">
        <v>129.32</v>
      </c>
      <c r="C39" s="12">
        <f t="shared" si="0"/>
        <v>0.12931999999999999</v>
      </c>
      <c r="D39" s="12">
        <f t="shared" si="1"/>
        <v>8.9877399999999993E-3</v>
      </c>
      <c r="E39" s="12">
        <f t="shared" si="2"/>
        <v>4.0123839285714286E-4</v>
      </c>
      <c r="F39" s="12">
        <f>E39/Calculation!K$16*1000</f>
        <v>4.5422421757286639E-4</v>
      </c>
      <c r="G39" s="12">
        <f t="shared" si="3"/>
        <v>66.971767155155078</v>
      </c>
    </row>
    <row r="40" spans="1:7">
      <c r="A40" s="12">
        <v>17.5</v>
      </c>
      <c r="B40" s="40">
        <v>110.85</v>
      </c>
      <c r="C40" s="12">
        <f t="shared" si="0"/>
        <v>0.11084999999999999</v>
      </c>
      <c r="D40" s="12">
        <f t="shared" si="1"/>
        <v>7.7040749999999986E-3</v>
      </c>
      <c r="E40" s="12">
        <f t="shared" si="2"/>
        <v>3.439319196428571E-4</v>
      </c>
      <c r="F40" s="12">
        <f>E40/Calculation!K$16*1000</f>
        <v>3.8935009679826965E-4</v>
      </c>
      <c r="G40" s="12">
        <f t="shared" si="3"/>
        <v>66.984420769870638</v>
      </c>
    </row>
    <row r="41" spans="1:7">
      <c r="A41" s="12">
        <v>18</v>
      </c>
      <c r="B41" s="40">
        <v>136.71</v>
      </c>
      <c r="C41" s="12">
        <f t="shared" si="0"/>
        <v>0.13671</v>
      </c>
      <c r="D41" s="12">
        <f t="shared" si="1"/>
        <v>9.5013450000000013E-3</v>
      </c>
      <c r="E41" s="12">
        <f t="shared" si="2"/>
        <v>4.241671875000001E-4</v>
      </c>
      <c r="F41" s="12">
        <f>E41/Calculation!K$17*1000</f>
        <v>5.0752604392126767E-4</v>
      </c>
      <c r="G41" s="12">
        <f t="shared" si="3"/>
        <v>66.997873911981429</v>
      </c>
    </row>
    <row r="42" spans="1:7">
      <c r="A42" s="12">
        <v>18.5</v>
      </c>
      <c r="B42" s="40">
        <v>149.27000000000001</v>
      </c>
      <c r="C42" s="12">
        <f t="shared" si="0"/>
        <v>0.14927000000000001</v>
      </c>
      <c r="D42" s="12">
        <f t="shared" si="1"/>
        <v>1.0374265000000001E-2</v>
      </c>
      <c r="E42" s="12">
        <f t="shared" si="2"/>
        <v>4.6313683035714291E-4</v>
      </c>
      <c r="F42" s="12">
        <f>E42/Calculation!K$17*1000</f>
        <v>5.5415414070753867E-4</v>
      </c>
      <c r="G42" s="12">
        <f t="shared" si="3"/>
        <v>67.013799114750867</v>
      </c>
    </row>
    <row r="43" spans="1:7">
      <c r="A43" s="12">
        <v>19</v>
      </c>
      <c r="B43" s="40">
        <v>118.24</v>
      </c>
      <c r="C43" s="12">
        <f t="shared" si="0"/>
        <v>0.11824</v>
      </c>
      <c r="D43" s="12">
        <f t="shared" si="1"/>
        <v>8.2176799999999998E-3</v>
      </c>
      <c r="E43" s="12">
        <f t="shared" si="2"/>
        <v>3.6686071428571428E-4</v>
      </c>
      <c r="F43" s="12">
        <f>E43/Calculation!K$17*1000</f>
        <v>4.3895749713445011E-4</v>
      </c>
      <c r="G43" s="12">
        <f t="shared" si="3"/>
        <v>67.02869578931849</v>
      </c>
    </row>
    <row r="44" spans="1:7">
      <c r="A44" s="12">
        <v>19.5</v>
      </c>
      <c r="B44" s="40">
        <v>133.01</v>
      </c>
      <c r="C44" s="12">
        <f t="shared" si="0"/>
        <v>0.13300999999999999</v>
      </c>
      <c r="D44" s="12">
        <f t="shared" si="1"/>
        <v>9.2441950000000002E-3</v>
      </c>
      <c r="E44" s="12">
        <f t="shared" si="2"/>
        <v>4.1268727678571432E-4</v>
      </c>
      <c r="F44" s="12">
        <f>E44/Calculation!K$17*1000</f>
        <v>4.9379005999537556E-4</v>
      </c>
      <c r="G44" s="12">
        <f t="shared" si="3"/>
        <v>67.042687002675436</v>
      </c>
    </row>
    <row r="45" spans="1:7">
      <c r="A45" s="12">
        <v>20</v>
      </c>
      <c r="B45" s="40">
        <v>136.71</v>
      </c>
      <c r="C45" s="12">
        <f t="shared" si="0"/>
        <v>0.13671</v>
      </c>
      <c r="D45" s="12">
        <f t="shared" si="1"/>
        <v>9.5013450000000013E-3</v>
      </c>
      <c r="E45" s="12">
        <f t="shared" si="2"/>
        <v>4.241671875000001E-4</v>
      </c>
      <c r="F45" s="12">
        <f>E45/Calculation!K$17*1000</f>
        <v>5.0752604392126767E-4</v>
      </c>
      <c r="G45" s="12">
        <f t="shared" si="3"/>
        <v>67.057706744234181</v>
      </c>
    </row>
    <row r="46" spans="1:7">
      <c r="A46" s="12">
        <v>20.5</v>
      </c>
      <c r="B46" s="40">
        <v>192.87</v>
      </c>
      <c r="C46" s="12">
        <f t="shared" si="0"/>
        <v>0.19287000000000001</v>
      </c>
      <c r="D46" s="12">
        <f t="shared" si="1"/>
        <v>1.3404465000000001E-2</v>
      </c>
      <c r="E46" s="12">
        <f t="shared" si="2"/>
        <v>5.9841361607142869E-4</v>
      </c>
      <c r="F46" s="12">
        <f>E46/Calculation!K$17*1000</f>
        <v>7.1601600534777917E-4</v>
      </c>
      <c r="G46" s="12">
        <f t="shared" si="3"/>
        <v>67.076059874973211</v>
      </c>
    </row>
    <row r="47" spans="1:7">
      <c r="A47" s="12">
        <v>21</v>
      </c>
      <c r="B47" s="40">
        <v>153.71</v>
      </c>
      <c r="C47" s="12">
        <f t="shared" si="0"/>
        <v>0.15371000000000001</v>
      </c>
      <c r="D47" s="12">
        <f t="shared" si="1"/>
        <v>1.0682845000000002E-2</v>
      </c>
      <c r="E47" s="12">
        <f t="shared" si="2"/>
        <v>4.7691272321428584E-4</v>
      </c>
      <c r="F47" s="12">
        <f>E47/Calculation!K$17*1000</f>
        <v>5.706373214186091E-4</v>
      </c>
      <c r="G47" s="12">
        <f t="shared" si="3"/>
        <v>67.0953596748747</v>
      </c>
    </row>
    <row r="48" spans="1:7">
      <c r="A48" s="12">
        <v>21.5</v>
      </c>
      <c r="B48" s="40">
        <v>155.91999999999999</v>
      </c>
      <c r="C48" s="12">
        <f t="shared" si="0"/>
        <v>0.15591999999999998</v>
      </c>
      <c r="D48" s="12">
        <f t="shared" si="1"/>
        <v>1.0836439999999999E-2</v>
      </c>
      <c r="E48" s="12">
        <f t="shared" si="2"/>
        <v>4.8376964285714284E-4</v>
      </c>
      <c r="F48" s="12">
        <f>E48/Calculation!K$17*1000</f>
        <v>5.7884178749326328E-4</v>
      </c>
      <c r="G48" s="12">
        <f t="shared" si="3"/>
        <v>67.112601861508381</v>
      </c>
    </row>
    <row r="49" spans="1:7">
      <c r="A49" s="12">
        <v>22</v>
      </c>
      <c r="B49" s="40">
        <v>513.59</v>
      </c>
      <c r="C49" s="12">
        <f t="shared" si="0"/>
        <v>0.51358999999999999</v>
      </c>
      <c r="D49" s="12">
        <f t="shared" si="1"/>
        <v>3.5694504999999994E-2</v>
      </c>
      <c r="E49" s="12">
        <f t="shared" si="2"/>
        <v>1.5935046874999998E-3</v>
      </c>
      <c r="F49" s="12">
        <f>E49/Calculation!K$17*1000</f>
        <v>1.9066659417564464E-3</v>
      </c>
      <c r="G49" s="12">
        <f t="shared" si="3"/>
        <v>67.149884477447131</v>
      </c>
    </row>
    <row r="50" spans="1:7">
      <c r="A50" s="12">
        <v>22.5</v>
      </c>
      <c r="B50" s="40">
        <v>385</v>
      </c>
      <c r="C50" s="12">
        <f t="shared" si="0"/>
        <v>0.38500000000000001</v>
      </c>
      <c r="D50" s="12">
        <f t="shared" si="1"/>
        <v>2.6757500000000004E-2</v>
      </c>
      <c r="E50" s="12">
        <f t="shared" si="2"/>
        <v>1.1945312500000003E-3</v>
      </c>
      <c r="F50" s="12">
        <f>E50/Calculation!K$17*1000</f>
        <v>1.4292848139103801E-3</v>
      </c>
      <c r="G50" s="12">
        <f t="shared" si="3"/>
        <v>67.199923738782132</v>
      </c>
    </row>
    <row r="51" spans="1:7">
      <c r="A51" s="12">
        <v>23</v>
      </c>
      <c r="B51" s="40">
        <v>238.69</v>
      </c>
      <c r="C51" s="12">
        <f t="shared" si="0"/>
        <v>0.23868999999999999</v>
      </c>
      <c r="D51" s="12">
        <f t="shared" si="1"/>
        <v>1.6588954999999999E-2</v>
      </c>
      <c r="E51" s="12">
        <f t="shared" si="2"/>
        <v>7.4057834821428573E-4</v>
      </c>
      <c r="F51" s="12">
        <f>E51/Calculation!K$17*1000</f>
        <v>8.8611946034355461E-4</v>
      </c>
      <c r="G51" s="12">
        <f t="shared" si="3"/>
        <v>67.234654802895946</v>
      </c>
    </row>
    <row r="52" spans="1:7">
      <c r="A52" s="12">
        <v>23.5</v>
      </c>
      <c r="B52" s="40">
        <v>218.74</v>
      </c>
      <c r="C52" s="12">
        <f t="shared" si="0"/>
        <v>0.21874000000000002</v>
      </c>
      <c r="D52" s="12">
        <f t="shared" si="1"/>
        <v>1.5202430000000001E-2</v>
      </c>
      <c r="E52" s="12">
        <f t="shared" si="2"/>
        <v>6.7867991071428584E-4</v>
      </c>
      <c r="F52" s="12">
        <f>E52/Calculation!K$17*1000</f>
        <v>8.1205651998638047E-4</v>
      </c>
      <c r="G52" s="12">
        <f t="shared" si="3"/>
        <v>67.26012744260089</v>
      </c>
    </row>
    <row r="53" spans="1:7">
      <c r="A53" s="12">
        <v>24</v>
      </c>
      <c r="B53" s="40">
        <v>218.74</v>
      </c>
      <c r="C53" s="12">
        <f t="shared" si="0"/>
        <v>0.21874000000000002</v>
      </c>
      <c r="D53" s="12">
        <f t="shared" si="1"/>
        <v>1.5202430000000001E-2</v>
      </c>
      <c r="E53" s="12">
        <f t="shared" si="2"/>
        <v>6.7867991071428584E-4</v>
      </c>
      <c r="F53" s="12">
        <f>E53/Calculation!K$18*1000</f>
        <v>8.6311690576545161E-4</v>
      </c>
      <c r="G53" s="12">
        <f t="shared" si="3"/>
        <v>67.285255043987164</v>
      </c>
    </row>
    <row r="54" spans="1:7">
      <c r="A54" s="12">
        <v>24.5</v>
      </c>
      <c r="B54" s="40">
        <v>212.82</v>
      </c>
      <c r="C54" s="12">
        <f t="shared" si="0"/>
        <v>0.21281999999999998</v>
      </c>
      <c r="D54" s="12">
        <f t="shared" si="1"/>
        <v>1.4790989999999999E-2</v>
      </c>
      <c r="E54" s="12">
        <f t="shared" si="2"/>
        <v>6.6031205357142857E-4</v>
      </c>
      <c r="F54" s="12">
        <f>E54/Calculation!K$18*1000</f>
        <v>8.3975742838531312E-4</v>
      </c>
      <c r="G54" s="12">
        <f t="shared" si="3"/>
        <v>67.310798158999418</v>
      </c>
    </row>
    <row r="55" spans="1:7">
      <c r="A55" s="12">
        <v>25</v>
      </c>
      <c r="B55" s="40">
        <v>224.65</v>
      </c>
      <c r="C55" s="12">
        <f t="shared" si="0"/>
        <v>0.22465000000000002</v>
      </c>
      <c r="D55" s="12">
        <f t="shared" si="1"/>
        <v>1.5613175000000002E-2</v>
      </c>
      <c r="E55" s="12">
        <f t="shared" si="2"/>
        <v>6.9701674107142868E-4</v>
      </c>
      <c r="F55" s="12">
        <f>E55/Calculation!K$18*1000</f>
        <v>8.8643692456893432E-4</v>
      </c>
      <c r="G55" s="12">
        <f t="shared" si="3"/>
        <v>67.336691074293725</v>
      </c>
    </row>
    <row r="56" spans="1:7">
      <c r="A56" s="12">
        <v>25.5</v>
      </c>
      <c r="B56" s="40">
        <v>220.95</v>
      </c>
      <c r="C56" s="12">
        <f t="shared" si="0"/>
        <v>0.22094999999999998</v>
      </c>
      <c r="D56" s="12">
        <f t="shared" si="1"/>
        <v>1.5356024999999999E-2</v>
      </c>
      <c r="E56" s="12">
        <f t="shared" si="2"/>
        <v>6.855368303571429E-4</v>
      </c>
      <c r="F56" s="12">
        <f>E56/Calculation!K$18*1000</f>
        <v>8.718372512063478E-4</v>
      </c>
      <c r="G56" s="12">
        <f t="shared" si="3"/>
        <v>67.363065186930356</v>
      </c>
    </row>
    <row r="57" spans="1:7">
      <c r="A57" s="12">
        <v>26</v>
      </c>
      <c r="B57" s="40">
        <v>268.99</v>
      </c>
      <c r="C57" s="12">
        <f t="shared" si="0"/>
        <v>0.26899000000000001</v>
      </c>
      <c r="D57" s="12">
        <f t="shared" si="1"/>
        <v>1.8694804999999998E-2</v>
      </c>
      <c r="E57" s="12">
        <f t="shared" si="2"/>
        <v>8.3458950892857143E-4</v>
      </c>
      <c r="F57" s="12">
        <f>E57/Calculation!K$18*1000</f>
        <v>1.0613962534600384E-3</v>
      </c>
      <c r="G57" s="12">
        <f t="shared" si="3"/>
        <v>67.392063689500347</v>
      </c>
    </row>
    <row r="58" spans="1:7">
      <c r="A58" s="12">
        <v>26.5</v>
      </c>
      <c r="B58" s="40">
        <v>222.43</v>
      </c>
      <c r="C58" s="12">
        <f t="shared" si="0"/>
        <v>0.22243000000000002</v>
      </c>
      <c r="D58" s="12">
        <f t="shared" si="1"/>
        <v>1.5458885000000002E-2</v>
      </c>
      <c r="E58" s="12">
        <f t="shared" si="2"/>
        <v>6.901287946428573E-4</v>
      </c>
      <c r="F58" s="12">
        <f>E58/Calculation!K$18*1000</f>
        <v>8.7767712055138256E-4</v>
      </c>
      <c r="G58" s="12">
        <f t="shared" si="3"/>
        <v>67.421149790110519</v>
      </c>
    </row>
    <row r="59" spans="1:7">
      <c r="A59" s="12">
        <v>27</v>
      </c>
      <c r="B59" s="40">
        <v>259.38</v>
      </c>
      <c r="C59" s="12">
        <f t="shared" si="0"/>
        <v>0.25938</v>
      </c>
      <c r="D59" s="12">
        <f t="shared" si="1"/>
        <v>1.8026909999999997E-2</v>
      </c>
      <c r="E59" s="12">
        <f t="shared" si="2"/>
        <v>8.0477276785714271E-4</v>
      </c>
      <c r="F59" s="12">
        <f>E59/Calculation!K$18*1000</f>
        <v>1.0234765612939689E-3</v>
      </c>
      <c r="G59" s="12">
        <f t="shared" si="3"/>
        <v>67.449667095338199</v>
      </c>
    </row>
    <row r="60" spans="1:7">
      <c r="A60" s="12">
        <v>27.5</v>
      </c>
      <c r="B60" s="40">
        <v>212.82</v>
      </c>
      <c r="C60" s="12">
        <f t="shared" si="0"/>
        <v>0.21281999999999998</v>
      </c>
      <c r="D60" s="12">
        <f t="shared" si="1"/>
        <v>1.4790989999999999E-2</v>
      </c>
      <c r="E60" s="12">
        <f t="shared" si="2"/>
        <v>6.6031205357142857E-4</v>
      </c>
      <c r="F60" s="12">
        <f>E60/Calculation!K$18*1000</f>
        <v>8.3975742838531312E-4</v>
      </c>
      <c r="G60" s="12">
        <f t="shared" si="3"/>
        <v>67.477615605183388</v>
      </c>
    </row>
    <row r="61" spans="1:7">
      <c r="A61" s="12">
        <v>28</v>
      </c>
      <c r="B61" s="40">
        <v>239.43</v>
      </c>
      <c r="C61" s="12">
        <f t="shared" si="0"/>
        <v>0.23943</v>
      </c>
      <c r="D61" s="12">
        <f t="shared" si="1"/>
        <v>1.6640385000000001E-2</v>
      </c>
      <c r="E61" s="12">
        <f t="shared" si="2"/>
        <v>7.4287433035714293E-4</v>
      </c>
      <c r="F61" s="12">
        <f>E61/Calculation!K$18*1000</f>
        <v>9.4475670086596904E-4</v>
      </c>
      <c r="G61" s="12">
        <f t="shared" si="3"/>
        <v>67.504383317122162</v>
      </c>
    </row>
    <row r="62" spans="1:7">
      <c r="A62" s="12">
        <v>28.5</v>
      </c>
      <c r="B62" s="40">
        <v>249.03</v>
      </c>
      <c r="C62" s="12">
        <f t="shared" si="0"/>
        <v>0.24903</v>
      </c>
      <c r="D62" s="12">
        <f t="shared" si="1"/>
        <v>1.7307585E-2</v>
      </c>
      <c r="E62" s="12">
        <f t="shared" si="2"/>
        <v>7.7266004464285722E-4</v>
      </c>
      <c r="F62" s="12">
        <f>E62/Calculation!K$18*1000</f>
        <v>9.8263693445538249E-4</v>
      </c>
      <c r="G62" s="12">
        <f t="shared" si="3"/>
        <v>67.533294221651985</v>
      </c>
    </row>
    <row r="63" spans="1:7">
      <c r="A63" s="12">
        <v>29</v>
      </c>
      <c r="B63" s="40">
        <v>225.39</v>
      </c>
      <c r="C63" s="12">
        <f t="shared" si="0"/>
        <v>0.22538999999999998</v>
      </c>
      <c r="D63" s="12">
        <f t="shared" si="1"/>
        <v>1.5664604999999998E-2</v>
      </c>
      <c r="E63" s="12">
        <f t="shared" si="2"/>
        <v>6.9931272321428566E-4</v>
      </c>
      <c r="F63" s="12">
        <f>E63/Calculation!K$18*1000</f>
        <v>8.8935685924145143E-4</v>
      </c>
      <c r="G63" s="12">
        <f t="shared" si="3"/>
        <v>67.561374128557432</v>
      </c>
    </row>
    <row r="64" spans="1:7">
      <c r="A64" s="12">
        <v>29.5</v>
      </c>
      <c r="B64" s="40">
        <v>195.09</v>
      </c>
      <c r="C64" s="12">
        <f t="shared" si="0"/>
        <v>0.19509000000000001</v>
      </c>
      <c r="D64" s="12">
        <f t="shared" si="1"/>
        <v>1.3558755E-2</v>
      </c>
      <c r="E64" s="12">
        <f t="shared" si="2"/>
        <v>6.0530156250000007E-4</v>
      </c>
      <c r="F64" s="12">
        <f>E64/Calculation!K$18*1000</f>
        <v>7.6979737197486488E-4</v>
      </c>
      <c r="G64" s="12">
        <f t="shared" si="3"/>
        <v>67.586261442025673</v>
      </c>
    </row>
    <row r="65" spans="1:7">
      <c r="A65" s="12">
        <v>30</v>
      </c>
      <c r="B65" s="40">
        <v>266.77</v>
      </c>
      <c r="C65" s="12">
        <f t="shared" si="0"/>
        <v>0.26677000000000001</v>
      </c>
      <c r="D65" s="12">
        <f t="shared" si="1"/>
        <v>1.8540515E-2</v>
      </c>
      <c r="E65" s="12">
        <f t="shared" si="2"/>
        <v>8.2770156250000005E-4</v>
      </c>
      <c r="F65" s="12">
        <f>E65/Calculation!K$18*1000</f>
        <v>1.0526364494424865E-3</v>
      </c>
      <c r="G65" s="12">
        <f t="shared" si="3"/>
        <v>67.613597949346939</v>
      </c>
    </row>
    <row r="66" spans="1:7">
      <c r="A66" s="12">
        <v>30.5</v>
      </c>
      <c r="B66" s="40">
        <v>314.06</v>
      </c>
      <c r="C66" s="12">
        <f t="shared" si="0"/>
        <v>0.31406000000000001</v>
      </c>
      <c r="D66" s="12">
        <f t="shared" si="1"/>
        <v>2.182717E-2</v>
      </c>
      <c r="E66" s="12">
        <f t="shared" si="2"/>
        <v>9.7442723214285717E-4</v>
      </c>
      <c r="F66" s="12">
        <f>E66/Calculation!K$19*1000</f>
        <v>1.3223848004331256E-3</v>
      </c>
      <c r="G66" s="12">
        <f t="shared" si="3"/>
        <v>67.649223268095071</v>
      </c>
    </row>
    <row r="67" spans="1:7">
      <c r="A67" s="12">
        <v>31</v>
      </c>
      <c r="B67" s="40">
        <v>276.38</v>
      </c>
      <c r="C67" s="12">
        <f t="shared" si="0"/>
        <v>0.27638000000000001</v>
      </c>
      <c r="D67" s="12">
        <f t="shared" si="1"/>
        <v>1.9208410000000002E-2</v>
      </c>
      <c r="E67" s="12">
        <f t="shared" si="2"/>
        <v>8.5751830357142878E-4</v>
      </c>
      <c r="F67" s="12">
        <f>E67/Calculation!K$19*1000</f>
        <v>1.1637289407874527E-3</v>
      </c>
      <c r="G67" s="12">
        <f t="shared" si="3"/>
        <v>67.686514974213381</v>
      </c>
    </row>
    <row r="68" spans="1:7">
      <c r="A68" s="12">
        <v>31.5</v>
      </c>
      <c r="B68" s="40">
        <v>260.12</v>
      </c>
      <c r="C68" s="12">
        <f t="shared" si="0"/>
        <v>0.26012000000000002</v>
      </c>
      <c r="D68" s="12">
        <f t="shared" si="1"/>
        <v>1.8078340000000002E-2</v>
      </c>
      <c r="E68" s="12">
        <f t="shared" si="2"/>
        <v>8.0706875000000013E-4</v>
      </c>
      <c r="F68" s="12">
        <f>E68/Calculation!K$19*1000</f>
        <v>1.0952643898893993E-3</v>
      </c>
      <c r="G68" s="12">
        <f t="shared" si="3"/>
        <v>67.720399874173538</v>
      </c>
    </row>
    <row r="69" spans="1:7">
      <c r="A69" s="12">
        <v>32</v>
      </c>
      <c r="B69" s="40">
        <v>285.24</v>
      </c>
      <c r="C69" s="12">
        <f t="shared" si="0"/>
        <v>0.28523999999999999</v>
      </c>
      <c r="D69" s="12">
        <f t="shared" si="1"/>
        <v>1.9824179999999997E-2</v>
      </c>
      <c r="E69" s="12">
        <f t="shared" si="2"/>
        <v>8.8500803571428565E-4</v>
      </c>
      <c r="F69" s="12">
        <f>E69/Calculation!K$19*1000</f>
        <v>1.2010349629865144E-3</v>
      </c>
      <c r="G69" s="12">
        <f t="shared" si="3"/>
        <v>67.754844364466678</v>
      </c>
    </row>
    <row r="70" spans="1:7">
      <c r="A70" s="12">
        <v>32.5</v>
      </c>
      <c r="B70" s="40">
        <v>271.2</v>
      </c>
      <c r="C70" s="12">
        <f t="shared" ref="C70:C101" si="4">B70/1000</f>
        <v>0.2712</v>
      </c>
      <c r="D70" s="12">
        <f t="shared" ref="D70:D101" si="5">C70/1000*$B$1</f>
        <v>1.8848399999999998E-2</v>
      </c>
      <c r="E70" s="12">
        <f t="shared" ref="E70:E101" si="6">D70/22.4</f>
        <v>8.4144642857142849E-4</v>
      </c>
      <c r="F70" s="12">
        <f>E70/Calculation!K$19*1000</f>
        <v>1.1419179706981585E-3</v>
      </c>
      <c r="G70" s="12">
        <f t="shared" si="3"/>
        <v>67.789988658471941</v>
      </c>
    </row>
    <row r="71" spans="1:7">
      <c r="A71" s="12">
        <v>33</v>
      </c>
      <c r="B71" s="40">
        <v>229.08</v>
      </c>
      <c r="C71" s="12">
        <f t="shared" si="4"/>
        <v>0.22908000000000001</v>
      </c>
      <c r="D71" s="12">
        <f t="shared" si="5"/>
        <v>1.5921060000000001E-2</v>
      </c>
      <c r="E71" s="12">
        <f t="shared" si="6"/>
        <v>7.1076160714285722E-4</v>
      </c>
      <c r="F71" s="12">
        <f>E71/Calculation!K$19*1000</f>
        <v>9.6456699383309062E-4</v>
      </c>
      <c r="G71" s="12">
        <f t="shared" ref="G71:G101" si="7">G70+(F71+F70)/2*30</f>
        <v>67.821585932939911</v>
      </c>
    </row>
    <row r="72" spans="1:7">
      <c r="A72" s="12">
        <v>33.5</v>
      </c>
      <c r="B72" s="40">
        <v>243.86</v>
      </c>
      <c r="C72" s="12">
        <f t="shared" si="4"/>
        <v>0.24386000000000002</v>
      </c>
      <c r="D72" s="12">
        <f t="shared" si="5"/>
        <v>1.6948270000000001E-2</v>
      </c>
      <c r="E72" s="12">
        <f t="shared" si="6"/>
        <v>7.5661919642857158E-4</v>
      </c>
      <c r="F72" s="12">
        <f>E72/Calculation!K$19*1000</f>
        <v>1.0267998389913459E-3</v>
      </c>
      <c r="G72" s="12">
        <f t="shared" si="7"/>
        <v>67.851456435432283</v>
      </c>
    </row>
    <row r="73" spans="1:7">
      <c r="A73" s="12">
        <v>34</v>
      </c>
      <c r="B73" s="40">
        <v>232.04</v>
      </c>
      <c r="C73" s="12">
        <f t="shared" si="4"/>
        <v>0.23204</v>
      </c>
      <c r="D73" s="12">
        <f t="shared" si="5"/>
        <v>1.612678E-2</v>
      </c>
      <c r="E73" s="12">
        <f t="shared" si="6"/>
        <v>7.199455357142858E-4</v>
      </c>
      <c r="F73" s="12">
        <f>E73/Calculation!K$19*1000</f>
        <v>9.770304053126871E-4</v>
      </c>
      <c r="G73" s="12">
        <f t="shared" si="7"/>
        <v>67.881513889096837</v>
      </c>
    </row>
    <row r="74" spans="1:7">
      <c r="A74" s="12">
        <v>34.5</v>
      </c>
      <c r="B74" s="40">
        <v>266.77</v>
      </c>
      <c r="C74" s="12">
        <f t="shared" si="4"/>
        <v>0.26677000000000001</v>
      </c>
      <c r="D74" s="12">
        <f t="shared" si="5"/>
        <v>1.8540515E-2</v>
      </c>
      <c r="E74" s="12">
        <f t="shared" si="6"/>
        <v>8.2770156250000005E-4</v>
      </c>
      <c r="F74" s="12">
        <f>E74/Calculation!K$19*1000</f>
        <v>1.1232649595986277E-3</v>
      </c>
      <c r="G74" s="12">
        <f t="shared" si="7"/>
        <v>67.913018319570511</v>
      </c>
    </row>
    <row r="75" spans="1:7">
      <c r="A75" s="12">
        <v>35</v>
      </c>
      <c r="B75" s="40">
        <v>311.11</v>
      </c>
      <c r="C75" s="12">
        <f t="shared" si="4"/>
        <v>0.31111</v>
      </c>
      <c r="D75" s="12">
        <f t="shared" si="5"/>
        <v>2.1622145000000002E-2</v>
      </c>
      <c r="E75" s="12">
        <f t="shared" si="6"/>
        <v>9.6527433035714302E-4</v>
      </c>
      <c r="F75" s="12">
        <f>E75/Calculation!K$19*1000</f>
        <v>1.3099634950733928E-3</v>
      </c>
      <c r="G75" s="12">
        <f t="shared" si="7"/>
        <v>67.949516746390586</v>
      </c>
    </row>
    <row r="76" spans="1:7">
      <c r="A76" s="12">
        <v>35.5</v>
      </c>
      <c r="B76" s="40">
        <v>241.64</v>
      </c>
      <c r="C76" s="12">
        <f t="shared" si="4"/>
        <v>0.24163999999999999</v>
      </c>
      <c r="D76" s="12">
        <f t="shared" si="5"/>
        <v>1.679398E-2</v>
      </c>
      <c r="E76" s="12">
        <f t="shared" si="6"/>
        <v>7.4973125000000009E-4</v>
      </c>
      <c r="F76" s="12">
        <f>E76/Calculation!K$19*1000</f>
        <v>1.0174522803816483E-3</v>
      </c>
      <c r="G76" s="12">
        <f t="shared" si="7"/>
        <v>67.984427983022414</v>
      </c>
    </row>
    <row r="77" spans="1:7">
      <c r="A77" s="12">
        <v>36</v>
      </c>
      <c r="B77" s="40">
        <v>274.16000000000003</v>
      </c>
      <c r="C77" s="12">
        <f t="shared" si="4"/>
        <v>0.27416000000000001</v>
      </c>
      <c r="D77" s="12">
        <f t="shared" si="5"/>
        <v>1.9054120000000001E-2</v>
      </c>
      <c r="E77" s="12">
        <f t="shared" si="6"/>
        <v>8.5063035714285718E-4</v>
      </c>
      <c r="F77" s="12">
        <f>E77/Calculation!K$19*1000</f>
        <v>1.1543813821777551E-3</v>
      </c>
      <c r="G77" s="12">
        <f t="shared" si="7"/>
        <v>68.017005487960802</v>
      </c>
    </row>
    <row r="78" spans="1:7">
      <c r="A78" s="12">
        <v>36.5</v>
      </c>
      <c r="B78" s="40">
        <v>240.9</v>
      </c>
      <c r="C78" s="12">
        <f t="shared" si="4"/>
        <v>0.2409</v>
      </c>
      <c r="D78" s="12">
        <f t="shared" si="5"/>
        <v>1.6742549999999998E-2</v>
      </c>
      <c r="E78" s="12">
        <f t="shared" si="6"/>
        <v>7.4743526785714279E-4</v>
      </c>
      <c r="F78" s="12">
        <f>E78/Calculation!K$19*1000</f>
        <v>1.0143364275117493E-3</v>
      </c>
      <c r="G78" s="12">
        <f t="shared" si="7"/>
        <v>68.049536255106148</v>
      </c>
    </row>
    <row r="79" spans="1:7">
      <c r="A79" s="12">
        <v>37</v>
      </c>
      <c r="B79" s="40">
        <v>245.34</v>
      </c>
      <c r="C79" s="12">
        <f t="shared" si="4"/>
        <v>0.24534</v>
      </c>
      <c r="D79" s="12">
        <f t="shared" si="5"/>
        <v>1.7051129999999998E-2</v>
      </c>
      <c r="E79" s="12">
        <f t="shared" si="6"/>
        <v>7.6121116071428566E-4</v>
      </c>
      <c r="F79" s="12">
        <f>E79/Calculation!K$19*1000</f>
        <v>1.0330315447311437E-3</v>
      </c>
      <c r="G79" s="12">
        <f t="shared" si="7"/>
        <v>68.080246774689797</v>
      </c>
    </row>
    <row r="80" spans="1:7">
      <c r="A80" s="12">
        <v>37.5</v>
      </c>
      <c r="B80" s="40">
        <v>234.99</v>
      </c>
      <c r="C80" s="12">
        <f t="shared" si="4"/>
        <v>0.23499</v>
      </c>
      <c r="D80" s="12">
        <f t="shared" si="5"/>
        <v>1.6331805000000001E-2</v>
      </c>
      <c r="E80" s="12">
        <f t="shared" si="6"/>
        <v>7.2909843750000006E-4</v>
      </c>
      <c r="F80" s="12">
        <f>E80/Calculation!K$19*1000</f>
        <v>9.8945171067242013E-4</v>
      </c>
      <c r="G80" s="12">
        <f t="shared" si="7"/>
        <v>68.110584023520857</v>
      </c>
    </row>
    <row r="81" spans="1:7">
      <c r="A81" s="12">
        <v>38</v>
      </c>
      <c r="B81" s="40">
        <v>222.43</v>
      </c>
      <c r="C81" s="12">
        <f t="shared" si="4"/>
        <v>0.22243000000000002</v>
      </c>
      <c r="D81" s="12">
        <f t="shared" si="5"/>
        <v>1.5458885000000002E-2</v>
      </c>
      <c r="E81" s="12">
        <f t="shared" si="6"/>
        <v>6.901287946428573E-4</v>
      </c>
      <c r="F81" s="12">
        <f>E81/Calculation!K$19*1000</f>
        <v>9.3656642412386234E-4</v>
      </c>
      <c r="G81" s="12">
        <f t="shared" si="7"/>
        <v>68.139474295542797</v>
      </c>
    </row>
    <row r="82" spans="1:7">
      <c r="A82" s="12">
        <v>38.5</v>
      </c>
      <c r="B82" s="40">
        <v>246.08</v>
      </c>
      <c r="C82" s="12">
        <f t="shared" si="4"/>
        <v>0.24608000000000002</v>
      </c>
      <c r="D82" s="12">
        <f t="shared" si="5"/>
        <v>1.7102560000000003E-2</v>
      </c>
      <c r="E82" s="12">
        <f t="shared" si="6"/>
        <v>7.6350714285714307E-4</v>
      </c>
      <c r="F82" s="12">
        <f>E82/Calculation!K$19*1000</f>
        <v>1.0361473976010433E-3</v>
      </c>
      <c r="G82" s="12">
        <f t="shared" si="7"/>
        <v>68.169065002868678</v>
      </c>
    </row>
    <row r="83" spans="1:7">
      <c r="A83" s="12">
        <v>39</v>
      </c>
      <c r="B83" s="40">
        <v>274.89999999999998</v>
      </c>
      <c r="C83" s="12">
        <f t="shared" si="4"/>
        <v>0.27489999999999998</v>
      </c>
      <c r="D83" s="12">
        <f t="shared" si="5"/>
        <v>1.9105549999999999E-2</v>
      </c>
      <c r="E83" s="12">
        <f t="shared" si="6"/>
        <v>8.5292633928571427E-4</v>
      </c>
      <c r="F83" s="12">
        <f>E83/Calculation!K$19*1000</f>
        <v>1.157497235047654E-3</v>
      </c>
      <c r="G83" s="12">
        <f t="shared" si="7"/>
        <v>68.201969672358402</v>
      </c>
    </row>
    <row r="84" spans="1:7">
      <c r="A84" s="12">
        <v>39.5</v>
      </c>
      <c r="B84" s="40">
        <v>260.12</v>
      </c>
      <c r="C84" s="12">
        <f t="shared" si="4"/>
        <v>0.26012000000000002</v>
      </c>
      <c r="D84" s="12">
        <f t="shared" si="5"/>
        <v>1.8078340000000002E-2</v>
      </c>
      <c r="E84" s="12">
        <f t="shared" si="6"/>
        <v>8.0706875000000013E-4</v>
      </c>
      <c r="F84" s="12">
        <f>E84/Calculation!K$19*1000</f>
        <v>1.0952643898893993E-3</v>
      </c>
      <c r="G84" s="12">
        <f t="shared" si="7"/>
        <v>68.23576109673246</v>
      </c>
    </row>
    <row r="85" spans="1:7">
      <c r="A85" s="12">
        <v>40</v>
      </c>
      <c r="B85" s="40">
        <v>248.29</v>
      </c>
      <c r="C85" s="12">
        <f t="shared" si="4"/>
        <v>0.24828999999999998</v>
      </c>
      <c r="D85" s="12">
        <f t="shared" si="5"/>
        <v>1.7256154999999999E-2</v>
      </c>
      <c r="E85" s="12">
        <f t="shared" si="6"/>
        <v>7.7036406250000002E-4</v>
      </c>
      <c r="F85" s="12">
        <f>E85/Calculation!K$19*1000</f>
        <v>1.0454528500908767E-3</v>
      </c>
      <c r="G85" s="12">
        <f t="shared" si="7"/>
        <v>68.26787185533216</v>
      </c>
    </row>
    <row r="86" spans="1:7">
      <c r="A86" s="12">
        <v>40.5</v>
      </c>
      <c r="B86" s="40">
        <v>242.38</v>
      </c>
      <c r="C86" s="12">
        <f t="shared" si="4"/>
        <v>0.24237999999999998</v>
      </c>
      <c r="D86" s="12">
        <f t="shared" si="5"/>
        <v>1.6845409999999998E-2</v>
      </c>
      <c r="E86" s="12">
        <f t="shared" si="6"/>
        <v>7.5202723214285708E-4</v>
      </c>
      <c r="F86" s="12">
        <f>E86/Calculation!K$19*1000</f>
        <v>1.0205681332515473E-3</v>
      </c>
      <c r="G86" s="12">
        <f t="shared" si="7"/>
        <v>68.298862170082302</v>
      </c>
    </row>
    <row r="87" spans="1:7">
      <c r="A87" s="12">
        <v>41</v>
      </c>
      <c r="B87" s="40">
        <v>237.95</v>
      </c>
      <c r="C87" s="12">
        <f t="shared" si="4"/>
        <v>0.23794999999999999</v>
      </c>
      <c r="D87" s="12">
        <f t="shared" si="5"/>
        <v>1.6537524999999997E-2</v>
      </c>
      <c r="E87" s="12">
        <f t="shared" si="6"/>
        <v>7.3828236607142853E-4</v>
      </c>
      <c r="F87" s="12">
        <f>E87/Calculation!K$19*1000</f>
        <v>1.0019151221520163E-3</v>
      </c>
      <c r="G87" s="12">
        <f t="shared" si="7"/>
        <v>68.329199418913362</v>
      </c>
    </row>
    <row r="88" spans="1:7">
      <c r="A88" s="12">
        <v>41.5</v>
      </c>
      <c r="B88" s="40">
        <v>231.3</v>
      </c>
      <c r="C88" s="12">
        <f t="shared" si="4"/>
        <v>0.23130000000000001</v>
      </c>
      <c r="D88" s="12">
        <f t="shared" si="5"/>
        <v>1.6075350000000002E-2</v>
      </c>
      <c r="E88" s="12">
        <f t="shared" si="6"/>
        <v>7.1764955357142871E-4</v>
      </c>
      <c r="F88" s="12">
        <f>E88/Calculation!K$19*1000</f>
        <v>9.7391455244278812E-4</v>
      </c>
      <c r="G88" s="12">
        <f t="shared" si="7"/>
        <v>68.358836864032284</v>
      </c>
    </row>
    <row r="89" spans="1:7">
      <c r="A89" s="12">
        <v>42</v>
      </c>
      <c r="B89" s="40">
        <v>229.82</v>
      </c>
      <c r="C89" s="12">
        <f t="shared" si="4"/>
        <v>0.22982</v>
      </c>
      <c r="D89" s="12">
        <f t="shared" si="5"/>
        <v>1.5972489999999999E-2</v>
      </c>
      <c r="E89" s="12">
        <f t="shared" si="6"/>
        <v>7.1305758928571431E-4</v>
      </c>
      <c r="F89" s="12">
        <f>E89/Calculation!K$19*1000</f>
        <v>9.6768284670298982E-4</v>
      </c>
      <c r="G89" s="12">
        <f t="shared" si="7"/>
        <v>68.387960825019476</v>
      </c>
    </row>
    <row r="90" spans="1:7">
      <c r="A90" s="12">
        <v>42.5</v>
      </c>
      <c r="B90" s="40">
        <v>268.99</v>
      </c>
      <c r="C90" s="12">
        <f t="shared" si="4"/>
        <v>0.26899000000000001</v>
      </c>
      <c r="D90" s="12">
        <f t="shared" si="5"/>
        <v>1.8694804999999998E-2</v>
      </c>
      <c r="E90" s="12">
        <f t="shared" si="6"/>
        <v>8.3458950892857143E-4</v>
      </c>
      <c r="F90" s="12">
        <f>E90/Calculation!K$19*1000</f>
        <v>1.1326125182083246E-3</v>
      </c>
      <c r="G90" s="12">
        <f t="shared" si="7"/>
        <v>68.419465255493151</v>
      </c>
    </row>
    <row r="91" spans="1:7">
      <c r="A91" s="12">
        <v>43</v>
      </c>
      <c r="B91" s="40">
        <v>283.02999999999997</v>
      </c>
      <c r="C91" s="12">
        <f t="shared" si="4"/>
        <v>0.28302999999999995</v>
      </c>
      <c r="D91" s="12">
        <f t="shared" si="5"/>
        <v>1.9670584999999994E-2</v>
      </c>
      <c r="E91" s="12">
        <f t="shared" si="6"/>
        <v>8.7815111607142838E-4</v>
      </c>
      <c r="F91" s="12">
        <f>E91/Calculation!K$19*1000</f>
        <v>1.1917295104966804E-3</v>
      </c>
      <c r="G91" s="12">
        <f t="shared" si="7"/>
        <v>68.454330385923726</v>
      </c>
    </row>
    <row r="92" spans="1:7">
      <c r="A92" s="12">
        <v>43.5</v>
      </c>
      <c r="B92" s="40">
        <v>235.73</v>
      </c>
      <c r="C92" s="12">
        <f t="shared" si="4"/>
        <v>0.23573</v>
      </c>
      <c r="D92" s="12">
        <f t="shared" si="5"/>
        <v>1.6383234999999999E-2</v>
      </c>
      <c r="E92" s="12">
        <f t="shared" si="6"/>
        <v>7.3139441964285715E-4</v>
      </c>
      <c r="F92" s="12">
        <f>E92/Calculation!K$19*1000</f>
        <v>9.925675635423189E-4</v>
      </c>
      <c r="G92" s="12">
        <f t="shared" si="7"/>
        <v>68.48709484203431</v>
      </c>
    </row>
    <row r="93" spans="1:7">
      <c r="A93" s="12">
        <v>44</v>
      </c>
      <c r="B93" s="40">
        <v>231.3</v>
      </c>
      <c r="C93" s="12">
        <f t="shared" si="4"/>
        <v>0.23130000000000001</v>
      </c>
      <c r="D93" s="12">
        <f t="shared" si="5"/>
        <v>1.6075350000000002E-2</v>
      </c>
      <c r="E93" s="12">
        <f t="shared" si="6"/>
        <v>7.1764955357142871E-4</v>
      </c>
      <c r="F93" s="12">
        <f>E93/Calculation!K$19*1000</f>
        <v>9.7391455244278812E-4</v>
      </c>
      <c r="G93" s="12">
        <f t="shared" si="7"/>
        <v>68.516592073774092</v>
      </c>
    </row>
    <row r="94" spans="1:7">
      <c r="A94" s="12">
        <v>44.5</v>
      </c>
      <c r="B94" s="40">
        <v>220.95</v>
      </c>
      <c r="C94" s="12">
        <f t="shared" si="4"/>
        <v>0.22094999999999998</v>
      </c>
      <c r="D94" s="12">
        <f t="shared" si="5"/>
        <v>1.5356024999999999E-2</v>
      </c>
      <c r="E94" s="12">
        <f t="shared" si="6"/>
        <v>6.855368303571429E-4</v>
      </c>
      <c r="F94" s="12">
        <f>E94/Calculation!K$19*1000</f>
        <v>9.3033471838406393E-4</v>
      </c>
      <c r="G94" s="12">
        <f t="shared" si="7"/>
        <v>68.545155812836498</v>
      </c>
    </row>
    <row r="95" spans="1:7">
      <c r="A95" s="12">
        <v>45</v>
      </c>
      <c r="B95" s="40">
        <v>221.69</v>
      </c>
      <c r="C95" s="12">
        <f t="shared" si="4"/>
        <v>0.22169</v>
      </c>
      <c r="D95" s="12">
        <f t="shared" si="5"/>
        <v>1.5407455E-2</v>
      </c>
      <c r="E95" s="12">
        <f t="shared" si="6"/>
        <v>6.878328125000001E-4</v>
      </c>
      <c r="F95" s="12">
        <f>E95/Calculation!K$19*1000</f>
        <v>9.3345057125396314E-4</v>
      </c>
      <c r="G95" s="12">
        <f t="shared" si="7"/>
        <v>68.573112592181062</v>
      </c>
    </row>
    <row r="96" spans="1:7">
      <c r="A96" s="12">
        <v>45.5</v>
      </c>
      <c r="B96" s="40">
        <v>207.65</v>
      </c>
      <c r="C96" s="12">
        <f t="shared" si="4"/>
        <v>0.20765</v>
      </c>
      <c r="D96" s="12">
        <f t="shared" si="5"/>
        <v>1.4431675E-2</v>
      </c>
      <c r="E96" s="12">
        <f t="shared" si="6"/>
        <v>6.4427120535714294E-4</v>
      </c>
      <c r="F96" s="12">
        <f>E96/Calculation!K$19*1000</f>
        <v>8.7433357896560715E-4</v>
      </c>
      <c r="G96" s="12">
        <f t="shared" si="7"/>
        <v>68.600229354434362</v>
      </c>
    </row>
    <row r="97" spans="1:7">
      <c r="A97" s="12">
        <v>46</v>
      </c>
      <c r="B97" s="40">
        <v>206.91</v>
      </c>
      <c r="C97" s="12">
        <f t="shared" si="4"/>
        <v>0.20690999999999998</v>
      </c>
      <c r="D97" s="12">
        <f t="shared" si="5"/>
        <v>1.4380244999999998E-2</v>
      </c>
      <c r="E97" s="12">
        <f t="shared" si="6"/>
        <v>6.4197522321428563E-4</v>
      </c>
      <c r="F97" s="12">
        <f>E97/Calculation!K$19*1000</f>
        <v>8.7121772609570773E-4</v>
      </c>
      <c r="G97" s="12">
        <f t="shared" si="7"/>
        <v>68.626412624010285</v>
      </c>
    </row>
    <row r="98" spans="1:7">
      <c r="A98" s="12">
        <v>46.5</v>
      </c>
      <c r="B98" s="40">
        <v>209.87</v>
      </c>
      <c r="C98" s="12">
        <f t="shared" si="4"/>
        <v>0.20987</v>
      </c>
      <c r="D98" s="12">
        <f t="shared" si="5"/>
        <v>1.4585964999999999E-2</v>
      </c>
      <c r="E98" s="12">
        <f t="shared" si="6"/>
        <v>6.5115915178571432E-4</v>
      </c>
      <c r="F98" s="12">
        <f>E98/Calculation!K$19*1000</f>
        <v>8.8368113757530432E-4</v>
      </c>
      <c r="G98" s="12">
        <f t="shared" si="7"/>
        <v>68.652736106965349</v>
      </c>
    </row>
    <row r="99" spans="1:7">
      <c r="A99" s="12">
        <v>47</v>
      </c>
      <c r="B99" s="40">
        <v>227.6</v>
      </c>
      <c r="C99" s="12">
        <f t="shared" si="4"/>
        <v>0.2276</v>
      </c>
      <c r="D99" s="12">
        <f t="shared" si="5"/>
        <v>1.5818200000000001E-2</v>
      </c>
      <c r="E99" s="12">
        <f t="shared" si="6"/>
        <v>7.0616964285714293E-4</v>
      </c>
      <c r="F99" s="12">
        <f>E99/Calculation!K$19*1000</f>
        <v>9.5833528809329254E-4</v>
      </c>
      <c r="G99" s="12">
        <f t="shared" si="7"/>
        <v>68.680366353350379</v>
      </c>
    </row>
    <row r="100" spans="1:7">
      <c r="A100" s="12">
        <v>47.5</v>
      </c>
      <c r="B100" s="40">
        <v>67.25</v>
      </c>
      <c r="C100" s="12">
        <f t="shared" si="4"/>
        <v>6.7250000000000004E-2</v>
      </c>
      <c r="D100" s="12">
        <f t="shared" si="5"/>
        <v>4.6738750000000009E-3</v>
      </c>
      <c r="E100" s="12">
        <f t="shared" si="6"/>
        <v>2.0865513392857149E-4</v>
      </c>
      <c r="F100" s="12">
        <f>E100/Calculation!K$19*1000</f>
        <v>2.8316365608204716E-4</v>
      </c>
      <c r="G100" s="12">
        <f t="shared" si="7"/>
        <v>68.698988837513014</v>
      </c>
    </row>
    <row r="101" spans="1:7">
      <c r="A101" s="12">
        <v>48</v>
      </c>
      <c r="B101" s="40">
        <v>166.27</v>
      </c>
      <c r="C101" s="12">
        <f t="shared" si="4"/>
        <v>0.16627</v>
      </c>
      <c r="D101" s="12">
        <f t="shared" si="5"/>
        <v>1.1555764999999999E-2</v>
      </c>
      <c r="E101" s="12">
        <f t="shared" si="6"/>
        <v>5.1588236607142855E-4</v>
      </c>
      <c r="F101" s="12">
        <f>E101/Calculation!K$20*1000</f>
        <v>7.9556642610277063E-4</v>
      </c>
      <c r="G101" s="12">
        <f t="shared" si="7"/>
        <v>68.715169788745783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R. intestinalis </vt:lpstr>
      <vt:lpstr>Determination cell counts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2016-04-13T16:13:56Z</dcterms:modified>
  <cp:category/>
</cp:coreProperties>
</file>