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880" yWindow="880" windowWidth="24640" windowHeight="15140" tabRatio="930" firstSheet="5" activeTab="16"/>
  </bookViews>
  <sheets>
    <sheet name="Fermentation" sheetId="1" r:id="rId1"/>
    <sheet name="Calculation" sheetId="2" r:id="rId2"/>
    <sheet name="Plate Count" sheetId="3" r:id="rId3"/>
    <sheet name="Flow cytometer" sheetId="22" r:id="rId4"/>
    <sheet name="OD600nm" sheetId="4" r:id="rId5"/>
    <sheet name="CDM" sheetId="5" r:id="rId6"/>
    <sheet name="H2" sheetId="17" r:id="rId7"/>
    <sheet name="CO2" sheetId="7" r:id="rId8"/>
    <sheet name="Metabolites" sheetId="8" r:id="rId9"/>
    <sheet name="D-Fructose" sheetId="19" r:id="rId10"/>
    <sheet name="Formic acid" sheetId="18" r:id="rId11"/>
    <sheet name="Acetic acid" sheetId="15" r:id="rId12"/>
    <sheet name="Propionic acid" sheetId="20" r:id="rId13"/>
    <sheet name="Butyric acid" sheetId="21" r:id="rId14"/>
    <sheet name="Lactic acid" sheetId="14" r:id="rId15"/>
    <sheet name="Ethanol" sheetId="16" r:id="rId16"/>
    <sheet name="Graph" sheetId="13" r:id="rId17"/>
    <sheet name="Graph (2)" sheetId="24" r:id="rId18"/>
    <sheet name="Carbon recovery" sheetId="23" r:id="rId19"/>
  </sheets>
  <definedNames>
    <definedName name="_2012_05_10_FPRAU_fruc1" localSheetId="7">'CO2'!$I$5:$I$293</definedName>
    <definedName name="_2012_06_08_BIF_REC_OLI_1" localSheetId="7">'CO2'!$N$5:$N$201</definedName>
    <definedName name="_2012_06_08_BIF_REC_OLI_1" localSheetId="6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3" l="1"/>
  <c r="B3" i="23"/>
  <c r="T20" i="8"/>
  <c r="T4" i="8"/>
  <c r="B4" i="23"/>
  <c r="D19" i="23"/>
  <c r="D26" i="23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1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5" i="17"/>
  <c r="F54" i="17"/>
  <c r="F55" i="17"/>
  <c r="F56" i="17"/>
  <c r="F57" i="17"/>
  <c r="F58" i="17"/>
  <c r="F59" i="17"/>
  <c r="F60" i="17"/>
  <c r="F61" i="17"/>
  <c r="F62" i="17"/>
  <c r="F63" i="17"/>
  <c r="F64" i="17"/>
  <c r="F53" i="17"/>
  <c r="F42" i="17"/>
  <c r="F43" i="17"/>
  <c r="F44" i="17"/>
  <c r="F45" i="17"/>
  <c r="F46" i="17"/>
  <c r="F47" i="17"/>
  <c r="F48" i="17"/>
  <c r="F49" i="17"/>
  <c r="F50" i="17"/>
  <c r="F51" i="17"/>
  <c r="F52" i="17"/>
  <c r="F41" i="17"/>
  <c r="F40" i="17"/>
  <c r="F39" i="17"/>
  <c r="F37" i="17"/>
  <c r="F38" i="17"/>
  <c r="F36" i="17"/>
  <c r="F35" i="17"/>
  <c r="F34" i="17"/>
  <c r="F32" i="17"/>
  <c r="F33" i="17"/>
  <c r="F31" i="17"/>
  <c r="F29" i="17"/>
  <c r="F30" i="17"/>
  <c r="F28" i="17"/>
  <c r="F26" i="17"/>
  <c r="F27" i="17"/>
  <c r="F25" i="17"/>
  <c r="F24" i="17"/>
  <c r="F23" i="17"/>
  <c r="F21" i="17"/>
  <c r="F22" i="17"/>
  <c r="F20" i="17"/>
  <c r="F18" i="17"/>
  <c r="F19" i="17"/>
  <c r="F17" i="17"/>
  <c r="F16" i="17"/>
  <c r="F15" i="17"/>
  <c r="F13" i="17"/>
  <c r="F14" i="17"/>
  <c r="F12" i="17"/>
  <c r="F10" i="17"/>
  <c r="F11" i="17"/>
  <c r="F9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5" i="17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4" i="22"/>
  <c r="Q4" i="22"/>
  <c r="U20" i="22"/>
  <c r="V20" i="22"/>
  <c r="W20" i="22"/>
  <c r="U19" i="22"/>
  <c r="V19" i="22"/>
  <c r="W19" i="22"/>
  <c r="U18" i="22"/>
  <c r="V18" i="22"/>
  <c r="W18" i="22"/>
  <c r="U17" i="22"/>
  <c r="V17" i="22"/>
  <c r="W17" i="22"/>
  <c r="U16" i="22"/>
  <c r="V16" i="22"/>
  <c r="W16" i="22"/>
  <c r="U15" i="22"/>
  <c r="V15" i="22"/>
  <c r="W15" i="22"/>
  <c r="U14" i="22"/>
  <c r="V14" i="22"/>
  <c r="W14" i="22"/>
  <c r="U13" i="22"/>
  <c r="V13" i="22"/>
  <c r="W13" i="22"/>
  <c r="U12" i="22"/>
  <c r="V12" i="22"/>
  <c r="W12" i="22"/>
  <c r="U11" i="22"/>
  <c r="V11" i="22"/>
  <c r="W11" i="22"/>
  <c r="U10" i="22"/>
  <c r="V10" i="22"/>
  <c r="W10" i="22"/>
  <c r="U9" i="22"/>
  <c r="V9" i="22"/>
  <c r="W9" i="22"/>
  <c r="U8" i="22"/>
  <c r="V8" i="22"/>
  <c r="W8" i="22"/>
  <c r="U7" i="22"/>
  <c r="V7" i="22"/>
  <c r="W7" i="22"/>
  <c r="U6" i="22"/>
  <c r="V6" i="22"/>
  <c r="W6" i="22"/>
  <c r="U5" i="22"/>
  <c r="V5" i="22"/>
  <c r="W5" i="22"/>
  <c r="U4" i="22"/>
  <c r="V4" i="22"/>
  <c r="W4" i="22"/>
  <c r="C106" i="7"/>
  <c r="D106" i="7"/>
  <c r="E106" i="7"/>
  <c r="G106" i="7"/>
  <c r="C107" i="7"/>
  <c r="D107" i="7"/>
  <c r="E107" i="7"/>
  <c r="G107" i="7"/>
  <c r="C108" i="7"/>
  <c r="D108" i="7"/>
  <c r="E108" i="7"/>
  <c r="G108" i="7"/>
  <c r="C109" i="7"/>
  <c r="D109" i="7"/>
  <c r="E109" i="7"/>
  <c r="G109" i="7"/>
  <c r="C110" i="7"/>
  <c r="D110" i="7"/>
  <c r="E110" i="7"/>
  <c r="G110" i="7"/>
  <c r="C111" i="7"/>
  <c r="D111" i="7"/>
  <c r="E111" i="7"/>
  <c r="G111" i="7"/>
  <c r="C112" i="7"/>
  <c r="D112" i="7"/>
  <c r="E112" i="7"/>
  <c r="G112" i="7"/>
  <c r="C113" i="7"/>
  <c r="D113" i="7"/>
  <c r="E113" i="7"/>
  <c r="G113" i="7"/>
  <c r="C114" i="7"/>
  <c r="D114" i="7"/>
  <c r="E114" i="7"/>
  <c r="G114" i="7"/>
  <c r="C115" i="7"/>
  <c r="D115" i="7"/>
  <c r="E115" i="7"/>
  <c r="G115" i="7"/>
  <c r="C116" i="7"/>
  <c r="D116" i="7"/>
  <c r="E116" i="7"/>
  <c r="G116" i="7"/>
  <c r="C117" i="7"/>
  <c r="D117" i="7"/>
  <c r="E117" i="7"/>
  <c r="G117" i="7"/>
  <c r="C118" i="7"/>
  <c r="D118" i="7"/>
  <c r="E118" i="7"/>
  <c r="G118" i="7"/>
  <c r="C119" i="7"/>
  <c r="D119" i="7"/>
  <c r="E119" i="7"/>
  <c r="G119" i="7"/>
  <c r="C120" i="7"/>
  <c r="D120" i="7"/>
  <c r="E120" i="7"/>
  <c r="G120" i="7"/>
  <c r="C121" i="7"/>
  <c r="D121" i="7"/>
  <c r="E121" i="7"/>
  <c r="G121" i="7"/>
  <c r="C122" i="7"/>
  <c r="D122" i="7"/>
  <c r="E122" i="7"/>
  <c r="G122" i="7"/>
  <c r="C123" i="7"/>
  <c r="D123" i="7"/>
  <c r="E123" i="7"/>
  <c r="G123" i="7"/>
  <c r="C124" i="7"/>
  <c r="D124" i="7"/>
  <c r="E124" i="7"/>
  <c r="G124" i="7"/>
  <c r="C125" i="7"/>
  <c r="D125" i="7"/>
  <c r="E125" i="7"/>
  <c r="G125" i="7"/>
  <c r="C126" i="7"/>
  <c r="D126" i="7"/>
  <c r="E126" i="7"/>
  <c r="G126" i="7"/>
  <c r="C127" i="7"/>
  <c r="D127" i="7"/>
  <c r="E127" i="7"/>
  <c r="G127" i="7"/>
  <c r="C128" i="7"/>
  <c r="D128" i="7"/>
  <c r="E128" i="7"/>
  <c r="G128" i="7"/>
  <c r="C129" i="7"/>
  <c r="D129" i="7"/>
  <c r="E129" i="7"/>
  <c r="G129" i="7"/>
  <c r="C130" i="7"/>
  <c r="D130" i="7"/>
  <c r="E130" i="7"/>
  <c r="G130" i="7"/>
  <c r="C131" i="7"/>
  <c r="D131" i="7"/>
  <c r="E131" i="7"/>
  <c r="G131" i="7"/>
  <c r="C132" i="7"/>
  <c r="D132" i="7"/>
  <c r="E132" i="7"/>
  <c r="G132" i="7"/>
  <c r="C133" i="7"/>
  <c r="D133" i="7"/>
  <c r="E133" i="7"/>
  <c r="G133" i="7"/>
  <c r="C134" i="7"/>
  <c r="D134" i="7"/>
  <c r="E134" i="7"/>
  <c r="G134" i="7"/>
  <c r="C135" i="7"/>
  <c r="D135" i="7"/>
  <c r="E135" i="7"/>
  <c r="G135" i="7"/>
  <c r="C136" i="7"/>
  <c r="D136" i="7"/>
  <c r="E136" i="7"/>
  <c r="G136" i="7"/>
  <c r="C137" i="7"/>
  <c r="D137" i="7"/>
  <c r="E137" i="7"/>
  <c r="G137" i="7"/>
  <c r="C138" i="7"/>
  <c r="D138" i="7"/>
  <c r="E138" i="7"/>
  <c r="G138" i="7"/>
  <c r="C139" i="7"/>
  <c r="D139" i="7"/>
  <c r="E139" i="7"/>
  <c r="G139" i="7"/>
  <c r="C140" i="7"/>
  <c r="D140" i="7"/>
  <c r="E140" i="7"/>
  <c r="G140" i="7"/>
  <c r="C141" i="7"/>
  <c r="D141" i="7"/>
  <c r="E141" i="7"/>
  <c r="G141" i="7"/>
  <c r="C142" i="7"/>
  <c r="D142" i="7"/>
  <c r="E142" i="7"/>
  <c r="G142" i="7"/>
  <c r="C143" i="7"/>
  <c r="D143" i="7"/>
  <c r="E143" i="7"/>
  <c r="G143" i="7"/>
  <c r="C144" i="7"/>
  <c r="D144" i="7"/>
  <c r="E144" i="7"/>
  <c r="G144" i="7"/>
  <c r="C145" i="7"/>
  <c r="D145" i="7"/>
  <c r="E145" i="7"/>
  <c r="G145" i="7"/>
  <c r="C146" i="7"/>
  <c r="D146" i="7"/>
  <c r="E146" i="7"/>
  <c r="G146" i="7"/>
  <c r="C147" i="7"/>
  <c r="D147" i="7"/>
  <c r="E147" i="7"/>
  <c r="G147" i="7"/>
  <c r="C148" i="7"/>
  <c r="D148" i="7"/>
  <c r="E148" i="7"/>
  <c r="G148" i="7"/>
  <c r="C149" i="7"/>
  <c r="D149" i="7"/>
  <c r="E149" i="7"/>
  <c r="G149" i="7"/>
  <c r="C150" i="7"/>
  <c r="D150" i="7"/>
  <c r="E150" i="7"/>
  <c r="G150" i="7"/>
  <c r="C151" i="7"/>
  <c r="D151" i="7"/>
  <c r="E151" i="7"/>
  <c r="G151" i="7"/>
  <c r="C152" i="7"/>
  <c r="D152" i="7"/>
  <c r="E152" i="7"/>
  <c r="G152" i="7"/>
  <c r="C153" i="7"/>
  <c r="D153" i="7"/>
  <c r="E153" i="7"/>
  <c r="G153" i="7"/>
  <c r="C154" i="7"/>
  <c r="D154" i="7"/>
  <c r="E154" i="7"/>
  <c r="G154" i="7"/>
  <c r="C155" i="7"/>
  <c r="D155" i="7"/>
  <c r="E155" i="7"/>
  <c r="G155" i="7"/>
  <c r="C156" i="7"/>
  <c r="D156" i="7"/>
  <c r="E156" i="7"/>
  <c r="G156" i="7"/>
  <c r="C157" i="7"/>
  <c r="D157" i="7"/>
  <c r="E157" i="7"/>
  <c r="G157" i="7"/>
  <c r="C158" i="7"/>
  <c r="D158" i="7"/>
  <c r="E158" i="7"/>
  <c r="G158" i="7"/>
  <c r="C159" i="7"/>
  <c r="D159" i="7"/>
  <c r="E159" i="7"/>
  <c r="G159" i="7"/>
  <c r="C160" i="7"/>
  <c r="D160" i="7"/>
  <c r="E160" i="7"/>
  <c r="G160" i="7"/>
  <c r="C161" i="7"/>
  <c r="D161" i="7"/>
  <c r="E161" i="7"/>
  <c r="G161" i="7"/>
  <c r="C162" i="7"/>
  <c r="D162" i="7"/>
  <c r="E162" i="7"/>
  <c r="G162" i="7"/>
  <c r="C163" i="7"/>
  <c r="D163" i="7"/>
  <c r="E163" i="7"/>
  <c r="G163" i="7"/>
  <c r="C164" i="7"/>
  <c r="D164" i="7"/>
  <c r="E164" i="7"/>
  <c r="G164" i="7"/>
  <c r="C165" i="7"/>
  <c r="D165" i="7"/>
  <c r="E165" i="7"/>
  <c r="G165" i="7"/>
  <c r="C166" i="7"/>
  <c r="D166" i="7"/>
  <c r="E166" i="7"/>
  <c r="G166" i="7"/>
  <c r="C167" i="7"/>
  <c r="D167" i="7"/>
  <c r="E167" i="7"/>
  <c r="G167" i="7"/>
  <c r="C168" i="7"/>
  <c r="D168" i="7"/>
  <c r="E168" i="7"/>
  <c r="G168" i="7"/>
  <c r="C169" i="7"/>
  <c r="D169" i="7"/>
  <c r="E169" i="7"/>
  <c r="G169" i="7"/>
  <c r="C170" i="7"/>
  <c r="D170" i="7"/>
  <c r="E170" i="7"/>
  <c r="G170" i="7"/>
  <c r="C171" i="7"/>
  <c r="D171" i="7"/>
  <c r="E171" i="7"/>
  <c r="G171" i="7"/>
  <c r="C172" i="7"/>
  <c r="D172" i="7"/>
  <c r="E172" i="7"/>
  <c r="G172" i="7"/>
  <c r="C173" i="7"/>
  <c r="D173" i="7"/>
  <c r="E173" i="7"/>
  <c r="G173" i="7"/>
  <c r="C174" i="7"/>
  <c r="D174" i="7"/>
  <c r="E174" i="7"/>
  <c r="G174" i="7"/>
  <c r="C175" i="7"/>
  <c r="D175" i="7"/>
  <c r="E175" i="7"/>
  <c r="G175" i="7"/>
  <c r="C176" i="7"/>
  <c r="D176" i="7"/>
  <c r="E176" i="7"/>
  <c r="G176" i="7"/>
  <c r="C177" i="7"/>
  <c r="D177" i="7"/>
  <c r="E177" i="7"/>
  <c r="G177" i="7"/>
  <c r="C178" i="7"/>
  <c r="D178" i="7"/>
  <c r="E178" i="7"/>
  <c r="G178" i="7"/>
  <c r="C179" i="7"/>
  <c r="D179" i="7"/>
  <c r="E179" i="7"/>
  <c r="G179" i="7"/>
  <c r="C180" i="7"/>
  <c r="D180" i="7"/>
  <c r="E180" i="7"/>
  <c r="G180" i="7"/>
  <c r="C181" i="7"/>
  <c r="D181" i="7"/>
  <c r="E181" i="7"/>
  <c r="G181" i="7"/>
  <c r="C182" i="7"/>
  <c r="D182" i="7"/>
  <c r="E182" i="7"/>
  <c r="G182" i="7"/>
  <c r="C183" i="7"/>
  <c r="D183" i="7"/>
  <c r="E183" i="7"/>
  <c r="G183" i="7"/>
  <c r="C184" i="7"/>
  <c r="D184" i="7"/>
  <c r="E184" i="7"/>
  <c r="G184" i="7"/>
  <c r="C185" i="7"/>
  <c r="D185" i="7"/>
  <c r="E185" i="7"/>
  <c r="G185" i="7"/>
  <c r="C186" i="7"/>
  <c r="D186" i="7"/>
  <c r="E186" i="7"/>
  <c r="G186" i="7"/>
  <c r="C187" i="7"/>
  <c r="D187" i="7"/>
  <c r="E187" i="7"/>
  <c r="G187" i="7"/>
  <c r="C188" i="7"/>
  <c r="D188" i="7"/>
  <c r="E188" i="7"/>
  <c r="G188" i="7"/>
  <c r="C189" i="7"/>
  <c r="D189" i="7"/>
  <c r="E189" i="7"/>
  <c r="G189" i="7"/>
  <c r="C190" i="7"/>
  <c r="D190" i="7"/>
  <c r="E190" i="7"/>
  <c r="G190" i="7"/>
  <c r="C191" i="7"/>
  <c r="D191" i="7"/>
  <c r="E191" i="7"/>
  <c r="G191" i="7"/>
  <c r="C192" i="7"/>
  <c r="D192" i="7"/>
  <c r="E192" i="7"/>
  <c r="G192" i="7"/>
  <c r="C193" i="7"/>
  <c r="D193" i="7"/>
  <c r="E193" i="7"/>
  <c r="G193" i="7"/>
  <c r="C194" i="7"/>
  <c r="D194" i="7"/>
  <c r="E194" i="7"/>
  <c r="G194" i="7"/>
  <c r="C195" i="7"/>
  <c r="D195" i="7"/>
  <c r="E195" i="7"/>
  <c r="G195" i="7"/>
  <c r="C196" i="7"/>
  <c r="D196" i="7"/>
  <c r="E196" i="7"/>
  <c r="G196" i="7"/>
  <c r="C197" i="7"/>
  <c r="D197" i="7"/>
  <c r="E197" i="7"/>
  <c r="G197" i="7"/>
  <c r="C198" i="7"/>
  <c r="D198" i="7"/>
  <c r="E198" i="7"/>
  <c r="G198" i="7"/>
  <c r="C199" i="7"/>
  <c r="D199" i="7"/>
  <c r="E199" i="7"/>
  <c r="G199" i="7"/>
  <c r="C200" i="7"/>
  <c r="D200" i="7"/>
  <c r="E200" i="7"/>
  <c r="G200" i="7"/>
  <c r="C201" i="7"/>
  <c r="D201" i="7"/>
  <c r="E201" i="7"/>
  <c r="G201" i="7"/>
  <c r="C202" i="7"/>
  <c r="D202" i="7"/>
  <c r="E202" i="7"/>
  <c r="G202" i="7"/>
  <c r="B8" i="23"/>
  <c r="C107" i="17"/>
  <c r="D107" i="17"/>
  <c r="E107" i="17"/>
  <c r="G107" i="17"/>
  <c r="C108" i="17"/>
  <c r="D108" i="17"/>
  <c r="E108" i="17"/>
  <c r="G108" i="17"/>
  <c r="C109" i="17"/>
  <c r="D109" i="17"/>
  <c r="E109" i="17"/>
  <c r="G109" i="17"/>
  <c r="C110" i="17"/>
  <c r="D110" i="17"/>
  <c r="E110" i="17"/>
  <c r="G110" i="17"/>
  <c r="C111" i="17"/>
  <c r="D111" i="17"/>
  <c r="E111" i="17"/>
  <c r="G111" i="17"/>
  <c r="C112" i="17"/>
  <c r="D112" i="17"/>
  <c r="E112" i="17"/>
  <c r="G112" i="17"/>
  <c r="C113" i="17"/>
  <c r="D113" i="17"/>
  <c r="E113" i="17"/>
  <c r="G113" i="17"/>
  <c r="C114" i="17"/>
  <c r="D114" i="17"/>
  <c r="E114" i="17"/>
  <c r="G114" i="17"/>
  <c r="C115" i="17"/>
  <c r="D115" i="17"/>
  <c r="E115" i="17"/>
  <c r="G115" i="17"/>
  <c r="C116" i="17"/>
  <c r="D116" i="17"/>
  <c r="E116" i="17"/>
  <c r="G116" i="17"/>
  <c r="C117" i="17"/>
  <c r="D117" i="17"/>
  <c r="E117" i="17"/>
  <c r="G117" i="17"/>
  <c r="C118" i="17"/>
  <c r="D118" i="17"/>
  <c r="E118" i="17"/>
  <c r="G118" i="17"/>
  <c r="C119" i="17"/>
  <c r="D119" i="17"/>
  <c r="E119" i="17"/>
  <c r="G119" i="17"/>
  <c r="C120" i="17"/>
  <c r="D120" i="17"/>
  <c r="E120" i="17"/>
  <c r="G120" i="17"/>
  <c r="C121" i="17"/>
  <c r="D121" i="17"/>
  <c r="E121" i="17"/>
  <c r="G121" i="17"/>
  <c r="C122" i="17"/>
  <c r="D122" i="17"/>
  <c r="E122" i="17"/>
  <c r="G122" i="17"/>
  <c r="C123" i="17"/>
  <c r="D123" i="17"/>
  <c r="E123" i="17"/>
  <c r="G123" i="17"/>
  <c r="C124" i="17"/>
  <c r="D124" i="17"/>
  <c r="E124" i="17"/>
  <c r="G124" i="17"/>
  <c r="C125" i="17"/>
  <c r="D125" i="17"/>
  <c r="E125" i="17"/>
  <c r="G125" i="17"/>
  <c r="C126" i="17"/>
  <c r="D126" i="17"/>
  <c r="E126" i="17"/>
  <c r="G126" i="17"/>
  <c r="C127" i="17"/>
  <c r="D127" i="17"/>
  <c r="E127" i="17"/>
  <c r="G127" i="17"/>
  <c r="C128" i="17"/>
  <c r="D128" i="17"/>
  <c r="E128" i="17"/>
  <c r="G128" i="17"/>
  <c r="C129" i="17"/>
  <c r="D129" i="17"/>
  <c r="E129" i="17"/>
  <c r="G129" i="17"/>
  <c r="C130" i="17"/>
  <c r="D130" i="17"/>
  <c r="E130" i="17"/>
  <c r="G130" i="17"/>
  <c r="C131" i="17"/>
  <c r="D131" i="17"/>
  <c r="E131" i="17"/>
  <c r="G131" i="17"/>
  <c r="C132" i="17"/>
  <c r="D132" i="17"/>
  <c r="E132" i="17"/>
  <c r="G132" i="17"/>
  <c r="C133" i="17"/>
  <c r="D133" i="17"/>
  <c r="E133" i="17"/>
  <c r="G133" i="17"/>
  <c r="C134" i="17"/>
  <c r="D134" i="17"/>
  <c r="E134" i="17"/>
  <c r="G134" i="17"/>
  <c r="C135" i="17"/>
  <c r="D135" i="17"/>
  <c r="E135" i="17"/>
  <c r="G135" i="17"/>
  <c r="C136" i="17"/>
  <c r="D136" i="17"/>
  <c r="E136" i="17"/>
  <c r="G136" i="17"/>
  <c r="C137" i="17"/>
  <c r="D137" i="17"/>
  <c r="E137" i="17"/>
  <c r="G137" i="17"/>
  <c r="C138" i="17"/>
  <c r="D138" i="17"/>
  <c r="E138" i="17"/>
  <c r="G138" i="17"/>
  <c r="C139" i="17"/>
  <c r="D139" i="17"/>
  <c r="E139" i="17"/>
  <c r="G139" i="17"/>
  <c r="C140" i="17"/>
  <c r="D140" i="17"/>
  <c r="E140" i="17"/>
  <c r="G140" i="17"/>
  <c r="C141" i="17"/>
  <c r="D141" i="17"/>
  <c r="E141" i="17"/>
  <c r="G141" i="17"/>
  <c r="C142" i="17"/>
  <c r="D142" i="17"/>
  <c r="E142" i="17"/>
  <c r="G142" i="17"/>
  <c r="C143" i="17"/>
  <c r="D143" i="17"/>
  <c r="E143" i="17"/>
  <c r="G143" i="17"/>
  <c r="C144" i="17"/>
  <c r="D144" i="17"/>
  <c r="E144" i="17"/>
  <c r="G144" i="17"/>
  <c r="C145" i="17"/>
  <c r="D145" i="17"/>
  <c r="E145" i="17"/>
  <c r="G145" i="17"/>
  <c r="C146" i="17"/>
  <c r="D146" i="17"/>
  <c r="E146" i="17"/>
  <c r="G146" i="17"/>
  <c r="C147" i="17"/>
  <c r="D147" i="17"/>
  <c r="E147" i="17"/>
  <c r="G147" i="17"/>
  <c r="C148" i="17"/>
  <c r="D148" i="17"/>
  <c r="E148" i="17"/>
  <c r="G148" i="17"/>
  <c r="C149" i="17"/>
  <c r="D149" i="17"/>
  <c r="E149" i="17"/>
  <c r="G149" i="17"/>
  <c r="C150" i="17"/>
  <c r="D150" i="17"/>
  <c r="E150" i="17"/>
  <c r="G150" i="17"/>
  <c r="C151" i="17"/>
  <c r="D151" i="17"/>
  <c r="E151" i="17"/>
  <c r="G151" i="17"/>
  <c r="C152" i="17"/>
  <c r="D152" i="17"/>
  <c r="E152" i="17"/>
  <c r="G152" i="17"/>
  <c r="C153" i="17"/>
  <c r="D153" i="17"/>
  <c r="E153" i="17"/>
  <c r="G153" i="17"/>
  <c r="C154" i="17"/>
  <c r="D154" i="17"/>
  <c r="E154" i="17"/>
  <c r="G154" i="17"/>
  <c r="C155" i="17"/>
  <c r="D155" i="17"/>
  <c r="E155" i="17"/>
  <c r="G155" i="17"/>
  <c r="C156" i="17"/>
  <c r="D156" i="17"/>
  <c r="E156" i="17"/>
  <c r="G156" i="17"/>
  <c r="C157" i="17"/>
  <c r="D157" i="17"/>
  <c r="E157" i="17"/>
  <c r="G157" i="17"/>
  <c r="C158" i="17"/>
  <c r="D158" i="17"/>
  <c r="E158" i="17"/>
  <c r="G158" i="17"/>
  <c r="C159" i="17"/>
  <c r="D159" i="17"/>
  <c r="E159" i="17"/>
  <c r="G159" i="17"/>
  <c r="C160" i="17"/>
  <c r="D160" i="17"/>
  <c r="E160" i="17"/>
  <c r="G160" i="17"/>
  <c r="C161" i="17"/>
  <c r="D161" i="17"/>
  <c r="E161" i="17"/>
  <c r="G161" i="17"/>
  <c r="C162" i="17"/>
  <c r="D162" i="17"/>
  <c r="E162" i="17"/>
  <c r="G162" i="17"/>
  <c r="C163" i="17"/>
  <c r="D163" i="17"/>
  <c r="E163" i="17"/>
  <c r="G163" i="17"/>
  <c r="C164" i="17"/>
  <c r="D164" i="17"/>
  <c r="E164" i="17"/>
  <c r="G164" i="17"/>
  <c r="C165" i="17"/>
  <c r="D165" i="17"/>
  <c r="E165" i="17"/>
  <c r="G165" i="17"/>
  <c r="C166" i="17"/>
  <c r="D166" i="17"/>
  <c r="E166" i="17"/>
  <c r="G166" i="17"/>
  <c r="C167" i="17"/>
  <c r="D167" i="17"/>
  <c r="E167" i="17"/>
  <c r="G167" i="17"/>
  <c r="C168" i="17"/>
  <c r="D168" i="17"/>
  <c r="E168" i="17"/>
  <c r="G168" i="17"/>
  <c r="C169" i="17"/>
  <c r="D169" i="17"/>
  <c r="E169" i="17"/>
  <c r="G169" i="17"/>
  <c r="C170" i="17"/>
  <c r="D170" i="17"/>
  <c r="E170" i="17"/>
  <c r="G170" i="17"/>
  <c r="C171" i="17"/>
  <c r="D171" i="17"/>
  <c r="E171" i="17"/>
  <c r="G171" i="17"/>
  <c r="C172" i="17"/>
  <c r="D172" i="17"/>
  <c r="E172" i="17"/>
  <c r="G172" i="17"/>
  <c r="C173" i="17"/>
  <c r="D173" i="17"/>
  <c r="E173" i="17"/>
  <c r="G173" i="17"/>
  <c r="C174" i="17"/>
  <c r="D174" i="17"/>
  <c r="E174" i="17"/>
  <c r="G174" i="17"/>
  <c r="C175" i="17"/>
  <c r="D175" i="17"/>
  <c r="E175" i="17"/>
  <c r="G175" i="17"/>
  <c r="C176" i="17"/>
  <c r="D176" i="17"/>
  <c r="E176" i="17"/>
  <c r="G176" i="17"/>
  <c r="C177" i="17"/>
  <c r="D177" i="17"/>
  <c r="E177" i="17"/>
  <c r="G177" i="17"/>
  <c r="C178" i="17"/>
  <c r="D178" i="17"/>
  <c r="E178" i="17"/>
  <c r="G178" i="17"/>
  <c r="C179" i="17"/>
  <c r="D179" i="17"/>
  <c r="E179" i="17"/>
  <c r="G179" i="17"/>
  <c r="C180" i="17"/>
  <c r="D180" i="17"/>
  <c r="E180" i="17"/>
  <c r="G180" i="17"/>
  <c r="C181" i="17"/>
  <c r="D181" i="17"/>
  <c r="E181" i="17"/>
  <c r="G181" i="17"/>
  <c r="C182" i="17"/>
  <c r="D182" i="17"/>
  <c r="E182" i="17"/>
  <c r="G182" i="17"/>
  <c r="C183" i="17"/>
  <c r="D183" i="17"/>
  <c r="E183" i="17"/>
  <c r="G183" i="17"/>
  <c r="C184" i="17"/>
  <c r="D184" i="17"/>
  <c r="E184" i="17"/>
  <c r="G184" i="17"/>
  <c r="C185" i="17"/>
  <c r="D185" i="17"/>
  <c r="E185" i="17"/>
  <c r="G185" i="17"/>
  <c r="C186" i="17"/>
  <c r="D186" i="17"/>
  <c r="E186" i="17"/>
  <c r="G186" i="17"/>
  <c r="C187" i="17"/>
  <c r="D187" i="17"/>
  <c r="E187" i="17"/>
  <c r="G187" i="17"/>
  <c r="C188" i="17"/>
  <c r="D188" i="17"/>
  <c r="E188" i="17"/>
  <c r="G188" i="17"/>
  <c r="C189" i="17"/>
  <c r="D189" i="17"/>
  <c r="E189" i="17"/>
  <c r="G189" i="17"/>
  <c r="C190" i="17"/>
  <c r="D190" i="17"/>
  <c r="E190" i="17"/>
  <c r="G190" i="17"/>
  <c r="C191" i="17"/>
  <c r="D191" i="17"/>
  <c r="E191" i="17"/>
  <c r="G191" i="17"/>
  <c r="C192" i="17"/>
  <c r="D192" i="17"/>
  <c r="E192" i="17"/>
  <c r="G192" i="17"/>
  <c r="C193" i="17"/>
  <c r="D193" i="17"/>
  <c r="E193" i="17"/>
  <c r="G193" i="17"/>
  <c r="C194" i="17"/>
  <c r="D194" i="17"/>
  <c r="E194" i="17"/>
  <c r="G194" i="17"/>
  <c r="C195" i="17"/>
  <c r="D195" i="17"/>
  <c r="E195" i="17"/>
  <c r="G195" i="17"/>
  <c r="C196" i="17"/>
  <c r="D196" i="17"/>
  <c r="E196" i="17"/>
  <c r="G196" i="17"/>
  <c r="C197" i="17"/>
  <c r="D197" i="17"/>
  <c r="E197" i="17"/>
  <c r="G197" i="17"/>
  <c r="C198" i="17"/>
  <c r="D198" i="17"/>
  <c r="E198" i="17"/>
  <c r="G198" i="17"/>
  <c r="C199" i="17"/>
  <c r="D199" i="17"/>
  <c r="E199" i="17"/>
  <c r="G199" i="17"/>
  <c r="C200" i="17"/>
  <c r="D200" i="17"/>
  <c r="E200" i="17"/>
  <c r="G200" i="17"/>
  <c r="C201" i="17"/>
  <c r="D201" i="17"/>
  <c r="E201" i="17"/>
  <c r="G201" i="17"/>
  <c r="C202" i="17"/>
  <c r="D202" i="17"/>
  <c r="E202" i="17"/>
  <c r="G202" i="17"/>
  <c r="C203" i="17"/>
  <c r="D203" i="17"/>
  <c r="E203" i="17"/>
  <c r="G203" i="17"/>
  <c r="B7" i="23"/>
  <c r="F3" i="2"/>
  <c r="I3" i="2"/>
  <c r="J3" i="2"/>
  <c r="K3" i="2"/>
  <c r="F4" i="2"/>
  <c r="I5" i="2"/>
  <c r="F5" i="2"/>
  <c r="I6" i="2"/>
  <c r="F6" i="2"/>
  <c r="I7" i="2"/>
  <c r="F7" i="2"/>
  <c r="I8" i="2"/>
  <c r="F8" i="2"/>
  <c r="I9" i="2"/>
  <c r="F9" i="2"/>
  <c r="I10" i="2"/>
  <c r="F10" i="2"/>
  <c r="I11" i="2"/>
  <c r="F11" i="2"/>
  <c r="I12" i="2"/>
  <c r="F12" i="2"/>
  <c r="I13" i="2"/>
  <c r="F13" i="2"/>
  <c r="I14" i="2"/>
  <c r="F14" i="2"/>
  <c r="I15" i="2"/>
  <c r="F15" i="2"/>
  <c r="I16" i="2"/>
  <c r="F16" i="2"/>
  <c r="I17" i="2"/>
  <c r="F17" i="2"/>
  <c r="I18" i="2"/>
  <c r="F18" i="2"/>
  <c r="I19" i="2"/>
  <c r="F19" i="2"/>
  <c r="I20" i="2"/>
  <c r="I4" i="2"/>
  <c r="J4" i="2"/>
  <c r="K4" i="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4" i="2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L41" i="8"/>
  <c r="L25" i="8"/>
  <c r="B6" i="23"/>
  <c r="G7" i="19"/>
  <c r="R74" i="22"/>
  <c r="R79" i="22"/>
  <c r="R69" i="22"/>
  <c r="Q20" i="22"/>
  <c r="R20" i="22"/>
  <c r="S20" i="22"/>
  <c r="T20" i="22"/>
  <c r="D5" i="17"/>
  <c r="E5" i="17"/>
  <c r="F5" i="17"/>
  <c r="G5" i="17"/>
  <c r="D6" i="17"/>
  <c r="E6" i="17"/>
  <c r="F6" i="17"/>
  <c r="G6" i="17"/>
  <c r="D7" i="17"/>
  <c r="E7" i="17"/>
  <c r="F7" i="17"/>
  <c r="G7" i="17"/>
  <c r="D8" i="17"/>
  <c r="E8" i="17"/>
  <c r="F8" i="17"/>
  <c r="G8" i="17"/>
  <c r="D9" i="17"/>
  <c r="E9" i="17"/>
  <c r="G9" i="17"/>
  <c r="D10" i="17"/>
  <c r="E10" i="17"/>
  <c r="G10" i="17"/>
  <c r="D11" i="17"/>
  <c r="E11" i="17"/>
  <c r="G11" i="17"/>
  <c r="D12" i="17"/>
  <c r="E12" i="17"/>
  <c r="G12" i="17"/>
  <c r="D13" i="17"/>
  <c r="E13" i="17"/>
  <c r="G13" i="17"/>
  <c r="D14" i="17"/>
  <c r="E14" i="17"/>
  <c r="G14" i="17"/>
  <c r="D15" i="17"/>
  <c r="E15" i="17"/>
  <c r="G15" i="17"/>
  <c r="D16" i="17"/>
  <c r="E16" i="17"/>
  <c r="G16" i="17"/>
  <c r="D17" i="17"/>
  <c r="E17" i="17"/>
  <c r="G17" i="17"/>
  <c r="D18" i="17"/>
  <c r="E18" i="17"/>
  <c r="G18" i="17"/>
  <c r="D19" i="17"/>
  <c r="E19" i="17"/>
  <c r="G19" i="17"/>
  <c r="D20" i="17"/>
  <c r="E20" i="17"/>
  <c r="G20" i="17"/>
  <c r="D21" i="17"/>
  <c r="E21" i="17"/>
  <c r="G21" i="17"/>
  <c r="D22" i="17"/>
  <c r="E22" i="17"/>
  <c r="G22" i="17"/>
  <c r="D23" i="17"/>
  <c r="E23" i="17"/>
  <c r="G23" i="17"/>
  <c r="D24" i="17"/>
  <c r="E24" i="17"/>
  <c r="G24" i="17"/>
  <c r="D25" i="17"/>
  <c r="E25" i="17"/>
  <c r="G25" i="17"/>
  <c r="D26" i="17"/>
  <c r="E26" i="17"/>
  <c r="G26" i="17"/>
  <c r="D27" i="17"/>
  <c r="E27" i="17"/>
  <c r="G27" i="17"/>
  <c r="D28" i="17"/>
  <c r="E28" i="17"/>
  <c r="G28" i="17"/>
  <c r="D29" i="17"/>
  <c r="E29" i="17"/>
  <c r="G29" i="17"/>
  <c r="D30" i="17"/>
  <c r="E30" i="17"/>
  <c r="G30" i="17"/>
  <c r="D31" i="17"/>
  <c r="E31" i="17"/>
  <c r="G31" i="17"/>
  <c r="D32" i="17"/>
  <c r="E32" i="17"/>
  <c r="G32" i="17"/>
  <c r="D33" i="17"/>
  <c r="E33" i="17"/>
  <c r="G33" i="17"/>
  <c r="D34" i="17"/>
  <c r="E34" i="17"/>
  <c r="G34" i="17"/>
  <c r="D35" i="17"/>
  <c r="E35" i="17"/>
  <c r="G35" i="17"/>
  <c r="D36" i="17"/>
  <c r="E36" i="17"/>
  <c r="G36" i="17"/>
  <c r="D37" i="17"/>
  <c r="E37" i="17"/>
  <c r="G37" i="17"/>
  <c r="D38" i="17"/>
  <c r="E38" i="17"/>
  <c r="G38" i="17"/>
  <c r="D39" i="17"/>
  <c r="E39" i="17"/>
  <c r="G39" i="17"/>
  <c r="D40" i="17"/>
  <c r="E40" i="17"/>
  <c r="G40" i="17"/>
  <c r="D41" i="17"/>
  <c r="E41" i="17"/>
  <c r="G41" i="17"/>
  <c r="D42" i="17"/>
  <c r="E42" i="17"/>
  <c r="G42" i="17"/>
  <c r="D43" i="17"/>
  <c r="E43" i="17"/>
  <c r="G43" i="17"/>
  <c r="D44" i="17"/>
  <c r="E44" i="17"/>
  <c r="G44" i="17"/>
  <c r="D45" i="17"/>
  <c r="E45" i="17"/>
  <c r="G45" i="17"/>
  <c r="D46" i="17"/>
  <c r="E46" i="17"/>
  <c r="G46" i="17"/>
  <c r="D47" i="17"/>
  <c r="E47" i="17"/>
  <c r="G47" i="17"/>
  <c r="D48" i="17"/>
  <c r="E48" i="17"/>
  <c r="G48" i="17"/>
  <c r="D49" i="17"/>
  <c r="E49" i="17"/>
  <c r="G49" i="17"/>
  <c r="D50" i="17"/>
  <c r="E50" i="17"/>
  <c r="G50" i="17"/>
  <c r="D51" i="17"/>
  <c r="E51" i="17"/>
  <c r="G51" i="17"/>
  <c r="D52" i="17"/>
  <c r="E52" i="17"/>
  <c r="G52" i="17"/>
  <c r="D53" i="17"/>
  <c r="E53" i="17"/>
  <c r="G53" i="17"/>
  <c r="D54" i="17"/>
  <c r="E54" i="17"/>
  <c r="G54" i="17"/>
  <c r="D55" i="17"/>
  <c r="E55" i="17"/>
  <c r="G55" i="17"/>
  <c r="D56" i="17"/>
  <c r="E56" i="17"/>
  <c r="G56" i="17"/>
  <c r="D57" i="17"/>
  <c r="E57" i="17"/>
  <c r="G57" i="17"/>
  <c r="D58" i="17"/>
  <c r="E58" i="17"/>
  <c r="G58" i="17"/>
  <c r="D59" i="17"/>
  <c r="E59" i="17"/>
  <c r="G59" i="17"/>
  <c r="D60" i="17"/>
  <c r="E60" i="17"/>
  <c r="G60" i="17"/>
  <c r="D61" i="17"/>
  <c r="E61" i="17"/>
  <c r="G61" i="17"/>
  <c r="D62" i="17"/>
  <c r="E62" i="17"/>
  <c r="G62" i="17"/>
  <c r="D63" i="17"/>
  <c r="E63" i="17"/>
  <c r="G63" i="17"/>
  <c r="D64" i="17"/>
  <c r="E64" i="17"/>
  <c r="G64" i="17"/>
  <c r="D65" i="17"/>
  <c r="E65" i="17"/>
  <c r="G65" i="17"/>
  <c r="D66" i="17"/>
  <c r="E66" i="17"/>
  <c r="G66" i="17"/>
  <c r="D67" i="17"/>
  <c r="E67" i="17"/>
  <c r="G67" i="17"/>
  <c r="D68" i="17"/>
  <c r="E68" i="17"/>
  <c r="G68" i="17"/>
  <c r="D69" i="17"/>
  <c r="E69" i="17"/>
  <c r="G69" i="17"/>
  <c r="D70" i="17"/>
  <c r="E70" i="17"/>
  <c r="G70" i="17"/>
  <c r="D71" i="17"/>
  <c r="E71" i="17"/>
  <c r="G71" i="17"/>
  <c r="D72" i="17"/>
  <c r="E72" i="17"/>
  <c r="G72" i="17"/>
  <c r="D73" i="17"/>
  <c r="E73" i="17"/>
  <c r="G73" i="17"/>
  <c r="D74" i="17"/>
  <c r="E74" i="17"/>
  <c r="G74" i="17"/>
  <c r="D75" i="17"/>
  <c r="E75" i="17"/>
  <c r="G75" i="17"/>
  <c r="D76" i="17"/>
  <c r="E76" i="17"/>
  <c r="G76" i="17"/>
  <c r="D77" i="17"/>
  <c r="E77" i="17"/>
  <c r="G77" i="17"/>
  <c r="D78" i="17"/>
  <c r="E78" i="17"/>
  <c r="G78" i="17"/>
  <c r="D79" i="17"/>
  <c r="E79" i="17"/>
  <c r="G79" i="17"/>
  <c r="D80" i="17"/>
  <c r="E80" i="17"/>
  <c r="G80" i="17"/>
  <c r="D81" i="17"/>
  <c r="E81" i="17"/>
  <c r="G81" i="17"/>
  <c r="D82" i="17"/>
  <c r="E82" i="17"/>
  <c r="G82" i="17"/>
  <c r="D83" i="17"/>
  <c r="E83" i="17"/>
  <c r="G83" i="17"/>
  <c r="D84" i="17"/>
  <c r="E84" i="17"/>
  <c r="G84" i="17"/>
  <c r="D85" i="17"/>
  <c r="E85" i="17"/>
  <c r="G85" i="17"/>
  <c r="D86" i="17"/>
  <c r="E86" i="17"/>
  <c r="G86" i="17"/>
  <c r="D87" i="17"/>
  <c r="E87" i="17"/>
  <c r="G87" i="17"/>
  <c r="D88" i="17"/>
  <c r="E88" i="17"/>
  <c r="G88" i="17"/>
  <c r="D89" i="17"/>
  <c r="E89" i="17"/>
  <c r="G89" i="17"/>
  <c r="D90" i="17"/>
  <c r="E90" i="17"/>
  <c r="G90" i="17"/>
  <c r="D91" i="17"/>
  <c r="E91" i="17"/>
  <c r="G91" i="17"/>
  <c r="D92" i="17"/>
  <c r="E92" i="17"/>
  <c r="G92" i="17"/>
  <c r="D93" i="17"/>
  <c r="E93" i="17"/>
  <c r="G93" i="17"/>
  <c r="D94" i="17"/>
  <c r="E94" i="17"/>
  <c r="G94" i="17"/>
  <c r="D95" i="17"/>
  <c r="E95" i="17"/>
  <c r="G95" i="17"/>
  <c r="D96" i="17"/>
  <c r="E96" i="17"/>
  <c r="G96" i="17"/>
  <c r="D97" i="17"/>
  <c r="E97" i="17"/>
  <c r="G97" i="17"/>
  <c r="D98" i="17"/>
  <c r="E98" i="17"/>
  <c r="G98" i="17"/>
  <c r="D99" i="17"/>
  <c r="E99" i="17"/>
  <c r="G99" i="17"/>
  <c r="D100" i="17"/>
  <c r="E100" i="17"/>
  <c r="G100" i="17"/>
  <c r="D101" i="17"/>
  <c r="E101" i="17"/>
  <c r="G101" i="17"/>
  <c r="D25" i="23"/>
  <c r="H4" i="8"/>
  <c r="H20" i="8"/>
  <c r="B2" i="23"/>
  <c r="C16" i="23"/>
  <c r="C17" i="23"/>
  <c r="L20" i="8"/>
  <c r="L4" i="8"/>
  <c r="B5" i="23"/>
  <c r="C18" i="23"/>
  <c r="C20" i="23"/>
  <c r="P4" i="8"/>
  <c r="P20" i="8"/>
  <c r="C22" i="23"/>
  <c r="C23" i="23"/>
  <c r="C19" i="23"/>
  <c r="C25" i="23"/>
  <c r="C26" i="23"/>
  <c r="M20" i="8"/>
  <c r="M4" i="8"/>
  <c r="C5" i="23"/>
  <c r="C5" i="7"/>
  <c r="D5" i="7"/>
  <c r="E5" i="7"/>
  <c r="G5" i="7"/>
  <c r="C6" i="7"/>
  <c r="D6" i="7"/>
  <c r="E6" i="7"/>
  <c r="G6" i="7"/>
  <c r="C7" i="7"/>
  <c r="D7" i="7"/>
  <c r="E7" i="7"/>
  <c r="G7" i="7"/>
  <c r="C8" i="7"/>
  <c r="D8" i="7"/>
  <c r="E8" i="7"/>
  <c r="G8" i="7"/>
  <c r="C9" i="7"/>
  <c r="D9" i="7"/>
  <c r="E9" i="7"/>
  <c r="G9" i="7"/>
  <c r="C10" i="7"/>
  <c r="D10" i="7"/>
  <c r="E10" i="7"/>
  <c r="G10" i="7"/>
  <c r="C11" i="7"/>
  <c r="D11" i="7"/>
  <c r="E11" i="7"/>
  <c r="G11" i="7"/>
  <c r="C12" i="7"/>
  <c r="D12" i="7"/>
  <c r="E12" i="7"/>
  <c r="G12" i="7"/>
  <c r="C13" i="7"/>
  <c r="D13" i="7"/>
  <c r="E13" i="7"/>
  <c r="G13" i="7"/>
  <c r="C14" i="7"/>
  <c r="D14" i="7"/>
  <c r="E14" i="7"/>
  <c r="G14" i="7"/>
  <c r="C15" i="7"/>
  <c r="D15" i="7"/>
  <c r="E15" i="7"/>
  <c r="G15" i="7"/>
  <c r="C16" i="7"/>
  <c r="D16" i="7"/>
  <c r="E16" i="7"/>
  <c r="G16" i="7"/>
  <c r="C17" i="7"/>
  <c r="D17" i="7"/>
  <c r="E17" i="7"/>
  <c r="G17" i="7"/>
  <c r="C18" i="7"/>
  <c r="D18" i="7"/>
  <c r="E18" i="7"/>
  <c r="G18" i="7"/>
  <c r="C19" i="7"/>
  <c r="D19" i="7"/>
  <c r="E19" i="7"/>
  <c r="G19" i="7"/>
  <c r="C20" i="7"/>
  <c r="D20" i="7"/>
  <c r="E20" i="7"/>
  <c r="G20" i="7"/>
  <c r="C21" i="7"/>
  <c r="D21" i="7"/>
  <c r="E21" i="7"/>
  <c r="G21" i="7"/>
  <c r="C22" i="7"/>
  <c r="D22" i="7"/>
  <c r="E22" i="7"/>
  <c r="G22" i="7"/>
  <c r="C23" i="7"/>
  <c r="D23" i="7"/>
  <c r="E23" i="7"/>
  <c r="G23" i="7"/>
  <c r="C24" i="7"/>
  <c r="D24" i="7"/>
  <c r="E24" i="7"/>
  <c r="G24" i="7"/>
  <c r="C25" i="7"/>
  <c r="D25" i="7"/>
  <c r="E25" i="7"/>
  <c r="G25" i="7"/>
  <c r="C26" i="7"/>
  <c r="D26" i="7"/>
  <c r="E26" i="7"/>
  <c r="G26" i="7"/>
  <c r="C27" i="7"/>
  <c r="D27" i="7"/>
  <c r="E27" i="7"/>
  <c r="G27" i="7"/>
  <c r="C28" i="7"/>
  <c r="D28" i="7"/>
  <c r="E28" i="7"/>
  <c r="G28" i="7"/>
  <c r="C29" i="7"/>
  <c r="D29" i="7"/>
  <c r="E29" i="7"/>
  <c r="G29" i="7"/>
  <c r="C30" i="7"/>
  <c r="D30" i="7"/>
  <c r="E30" i="7"/>
  <c r="G30" i="7"/>
  <c r="C31" i="7"/>
  <c r="D31" i="7"/>
  <c r="E31" i="7"/>
  <c r="G31" i="7"/>
  <c r="C32" i="7"/>
  <c r="D32" i="7"/>
  <c r="E32" i="7"/>
  <c r="G32" i="7"/>
  <c r="C33" i="7"/>
  <c r="D33" i="7"/>
  <c r="E33" i="7"/>
  <c r="G33" i="7"/>
  <c r="C34" i="7"/>
  <c r="D34" i="7"/>
  <c r="E34" i="7"/>
  <c r="G34" i="7"/>
  <c r="C35" i="7"/>
  <c r="D35" i="7"/>
  <c r="E35" i="7"/>
  <c r="G35" i="7"/>
  <c r="C36" i="7"/>
  <c r="D36" i="7"/>
  <c r="E36" i="7"/>
  <c r="G36" i="7"/>
  <c r="C37" i="7"/>
  <c r="D37" i="7"/>
  <c r="E37" i="7"/>
  <c r="G37" i="7"/>
  <c r="C38" i="7"/>
  <c r="D38" i="7"/>
  <c r="E38" i="7"/>
  <c r="G38" i="7"/>
  <c r="C39" i="7"/>
  <c r="D39" i="7"/>
  <c r="E39" i="7"/>
  <c r="G39" i="7"/>
  <c r="C40" i="7"/>
  <c r="D40" i="7"/>
  <c r="E40" i="7"/>
  <c r="G40" i="7"/>
  <c r="C41" i="7"/>
  <c r="D41" i="7"/>
  <c r="E41" i="7"/>
  <c r="G41" i="7"/>
  <c r="C42" i="7"/>
  <c r="D42" i="7"/>
  <c r="E42" i="7"/>
  <c r="G42" i="7"/>
  <c r="C43" i="7"/>
  <c r="D43" i="7"/>
  <c r="E43" i="7"/>
  <c r="G43" i="7"/>
  <c r="C44" i="7"/>
  <c r="D44" i="7"/>
  <c r="E44" i="7"/>
  <c r="G44" i="7"/>
  <c r="C45" i="7"/>
  <c r="D45" i="7"/>
  <c r="E45" i="7"/>
  <c r="G45" i="7"/>
  <c r="C46" i="7"/>
  <c r="D46" i="7"/>
  <c r="E46" i="7"/>
  <c r="G46" i="7"/>
  <c r="C47" i="7"/>
  <c r="D47" i="7"/>
  <c r="E47" i="7"/>
  <c r="G47" i="7"/>
  <c r="C48" i="7"/>
  <c r="D48" i="7"/>
  <c r="E48" i="7"/>
  <c r="G48" i="7"/>
  <c r="C49" i="7"/>
  <c r="D49" i="7"/>
  <c r="E49" i="7"/>
  <c r="G49" i="7"/>
  <c r="C50" i="7"/>
  <c r="D50" i="7"/>
  <c r="E50" i="7"/>
  <c r="G50" i="7"/>
  <c r="C51" i="7"/>
  <c r="D51" i="7"/>
  <c r="E51" i="7"/>
  <c r="G51" i="7"/>
  <c r="C52" i="7"/>
  <c r="D52" i="7"/>
  <c r="E52" i="7"/>
  <c r="G52" i="7"/>
  <c r="C53" i="7"/>
  <c r="D53" i="7"/>
  <c r="E53" i="7"/>
  <c r="G53" i="7"/>
  <c r="C54" i="7"/>
  <c r="D54" i="7"/>
  <c r="E54" i="7"/>
  <c r="G54" i="7"/>
  <c r="C55" i="7"/>
  <c r="D55" i="7"/>
  <c r="E55" i="7"/>
  <c r="G55" i="7"/>
  <c r="C56" i="7"/>
  <c r="D56" i="7"/>
  <c r="E56" i="7"/>
  <c r="G56" i="7"/>
  <c r="C57" i="7"/>
  <c r="D57" i="7"/>
  <c r="E57" i="7"/>
  <c r="G57" i="7"/>
  <c r="C58" i="7"/>
  <c r="D58" i="7"/>
  <c r="E58" i="7"/>
  <c r="G58" i="7"/>
  <c r="C59" i="7"/>
  <c r="D59" i="7"/>
  <c r="E59" i="7"/>
  <c r="G59" i="7"/>
  <c r="C60" i="7"/>
  <c r="D60" i="7"/>
  <c r="E60" i="7"/>
  <c r="G60" i="7"/>
  <c r="C61" i="7"/>
  <c r="D61" i="7"/>
  <c r="E61" i="7"/>
  <c r="G61" i="7"/>
  <c r="C62" i="7"/>
  <c r="D62" i="7"/>
  <c r="E62" i="7"/>
  <c r="G62" i="7"/>
  <c r="C63" i="7"/>
  <c r="D63" i="7"/>
  <c r="E63" i="7"/>
  <c r="G63" i="7"/>
  <c r="C64" i="7"/>
  <c r="D64" i="7"/>
  <c r="E64" i="7"/>
  <c r="G64" i="7"/>
  <c r="C65" i="7"/>
  <c r="D65" i="7"/>
  <c r="E65" i="7"/>
  <c r="G65" i="7"/>
  <c r="C66" i="7"/>
  <c r="D66" i="7"/>
  <c r="E66" i="7"/>
  <c r="G66" i="7"/>
  <c r="C67" i="7"/>
  <c r="D67" i="7"/>
  <c r="E67" i="7"/>
  <c r="G67" i="7"/>
  <c r="C68" i="7"/>
  <c r="D68" i="7"/>
  <c r="E68" i="7"/>
  <c r="G68" i="7"/>
  <c r="C69" i="7"/>
  <c r="D69" i="7"/>
  <c r="E69" i="7"/>
  <c r="G69" i="7"/>
  <c r="C70" i="7"/>
  <c r="D70" i="7"/>
  <c r="E70" i="7"/>
  <c r="G70" i="7"/>
  <c r="C71" i="7"/>
  <c r="D71" i="7"/>
  <c r="E71" i="7"/>
  <c r="G71" i="7"/>
  <c r="C72" i="7"/>
  <c r="D72" i="7"/>
  <c r="E72" i="7"/>
  <c r="G72" i="7"/>
  <c r="C73" i="7"/>
  <c r="D73" i="7"/>
  <c r="E73" i="7"/>
  <c r="G73" i="7"/>
  <c r="C74" i="7"/>
  <c r="D74" i="7"/>
  <c r="E74" i="7"/>
  <c r="G74" i="7"/>
  <c r="C75" i="7"/>
  <c r="D75" i="7"/>
  <c r="E75" i="7"/>
  <c r="G75" i="7"/>
  <c r="C76" i="7"/>
  <c r="D76" i="7"/>
  <c r="E76" i="7"/>
  <c r="G76" i="7"/>
  <c r="C77" i="7"/>
  <c r="D77" i="7"/>
  <c r="E77" i="7"/>
  <c r="G77" i="7"/>
  <c r="C78" i="7"/>
  <c r="D78" i="7"/>
  <c r="E78" i="7"/>
  <c r="G78" i="7"/>
  <c r="C79" i="7"/>
  <c r="D79" i="7"/>
  <c r="E79" i="7"/>
  <c r="G79" i="7"/>
  <c r="C80" i="7"/>
  <c r="D80" i="7"/>
  <c r="E80" i="7"/>
  <c r="G80" i="7"/>
  <c r="C81" i="7"/>
  <c r="D81" i="7"/>
  <c r="E81" i="7"/>
  <c r="G81" i="7"/>
  <c r="C82" i="7"/>
  <c r="D82" i="7"/>
  <c r="E82" i="7"/>
  <c r="G82" i="7"/>
  <c r="C83" i="7"/>
  <c r="D83" i="7"/>
  <c r="E83" i="7"/>
  <c r="G83" i="7"/>
  <c r="C84" i="7"/>
  <c r="D84" i="7"/>
  <c r="E84" i="7"/>
  <c r="G84" i="7"/>
  <c r="C85" i="7"/>
  <c r="D85" i="7"/>
  <c r="E85" i="7"/>
  <c r="G85" i="7"/>
  <c r="C86" i="7"/>
  <c r="D86" i="7"/>
  <c r="E86" i="7"/>
  <c r="G86" i="7"/>
  <c r="C87" i="7"/>
  <c r="D87" i="7"/>
  <c r="E87" i="7"/>
  <c r="G87" i="7"/>
  <c r="C88" i="7"/>
  <c r="D88" i="7"/>
  <c r="E88" i="7"/>
  <c r="G88" i="7"/>
  <c r="C89" i="7"/>
  <c r="D89" i="7"/>
  <c r="E89" i="7"/>
  <c r="G89" i="7"/>
  <c r="C90" i="7"/>
  <c r="D90" i="7"/>
  <c r="E90" i="7"/>
  <c r="G90" i="7"/>
  <c r="C91" i="7"/>
  <c r="D91" i="7"/>
  <c r="E91" i="7"/>
  <c r="G91" i="7"/>
  <c r="C92" i="7"/>
  <c r="D92" i="7"/>
  <c r="E92" i="7"/>
  <c r="G92" i="7"/>
  <c r="C93" i="7"/>
  <c r="D93" i="7"/>
  <c r="E93" i="7"/>
  <c r="G93" i="7"/>
  <c r="C94" i="7"/>
  <c r="D94" i="7"/>
  <c r="E94" i="7"/>
  <c r="G94" i="7"/>
  <c r="C95" i="7"/>
  <c r="D95" i="7"/>
  <c r="E95" i="7"/>
  <c r="G95" i="7"/>
  <c r="C96" i="7"/>
  <c r="D96" i="7"/>
  <c r="E96" i="7"/>
  <c r="G96" i="7"/>
  <c r="C97" i="7"/>
  <c r="D97" i="7"/>
  <c r="E97" i="7"/>
  <c r="G97" i="7"/>
  <c r="C98" i="7"/>
  <c r="D98" i="7"/>
  <c r="E98" i="7"/>
  <c r="G98" i="7"/>
  <c r="C99" i="7"/>
  <c r="D99" i="7"/>
  <c r="E99" i="7"/>
  <c r="G99" i="7"/>
  <c r="C100" i="7"/>
  <c r="D100" i="7"/>
  <c r="E100" i="7"/>
  <c r="G100" i="7"/>
  <c r="C101" i="7"/>
  <c r="D101" i="7"/>
  <c r="E101" i="7"/>
  <c r="G101" i="7"/>
  <c r="D21" i="23"/>
  <c r="D20" i="23"/>
  <c r="D18" i="23"/>
  <c r="D17" i="23"/>
  <c r="D16" i="23"/>
  <c r="M41" i="8"/>
  <c r="M25" i="8"/>
  <c r="C6" i="23"/>
  <c r="U4" i="8"/>
  <c r="U20" i="8"/>
  <c r="C4" i="23"/>
  <c r="Q4" i="8"/>
  <c r="Q20" i="8"/>
  <c r="C3" i="23"/>
  <c r="I4" i="8"/>
  <c r="I20" i="8"/>
  <c r="C2" i="23"/>
  <c r="P41" i="8"/>
  <c r="Q41" i="8"/>
  <c r="H41" i="8"/>
  <c r="I41" i="8"/>
  <c r="G24" i="14"/>
  <c r="H24" i="14"/>
  <c r="G24" i="20"/>
  <c r="H24" i="20"/>
  <c r="G24" i="15"/>
  <c r="H24" i="15"/>
  <c r="G24" i="18"/>
  <c r="H24" i="18"/>
  <c r="G24" i="19"/>
  <c r="H24" i="19"/>
  <c r="G24" i="21"/>
  <c r="H24" i="21"/>
  <c r="G24" i="16"/>
  <c r="H24" i="16"/>
  <c r="J20" i="2"/>
  <c r="F20" i="2"/>
  <c r="B10" i="23"/>
  <c r="B9" i="23"/>
  <c r="I20" i="4"/>
  <c r="J20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K20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D2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T74" i="22"/>
  <c r="Q5" i="22"/>
  <c r="T5" i="22"/>
  <c r="Q6" i="22"/>
  <c r="T6" i="22"/>
  <c r="Q7" i="22"/>
  <c r="T7" i="22"/>
  <c r="Q8" i="22"/>
  <c r="T8" i="22"/>
  <c r="Q9" i="22"/>
  <c r="T9" i="22"/>
  <c r="Q10" i="22"/>
  <c r="T10" i="22"/>
  <c r="Q11" i="22"/>
  <c r="T11" i="22"/>
  <c r="Q12" i="22"/>
  <c r="T12" i="22"/>
  <c r="Q13" i="22"/>
  <c r="T13" i="22"/>
  <c r="Q14" i="22"/>
  <c r="T14" i="22"/>
  <c r="Q15" i="22"/>
  <c r="T15" i="22"/>
  <c r="Q16" i="22"/>
  <c r="T16" i="22"/>
  <c r="Q17" i="22"/>
  <c r="T17" i="22"/>
  <c r="Q18" i="22"/>
  <c r="T18" i="22"/>
  <c r="Q19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19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4" i="22"/>
  <c r="H19" i="8"/>
  <c r="L19" i="8"/>
  <c r="T13" i="8"/>
  <c r="C21" i="23"/>
  <c r="P19" i="8"/>
  <c r="L40" i="8"/>
  <c r="D24" i="23"/>
  <c r="C24" i="23"/>
  <c r="D22" i="2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3" i="4"/>
  <c r="I3" i="4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14"/>
  <c r="H18" i="14"/>
  <c r="G19" i="14"/>
  <c r="H19" i="14"/>
  <c r="G20" i="14"/>
  <c r="H20" i="14"/>
  <c r="G21" i="14"/>
  <c r="H21" i="14"/>
  <c r="G22" i="14"/>
  <c r="H22" i="14"/>
  <c r="G23" i="14"/>
  <c r="H23" i="14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8"/>
  <c r="H18" i="18"/>
  <c r="G19" i="18"/>
  <c r="H19" i="18"/>
  <c r="G20" i="18"/>
  <c r="H20" i="18"/>
  <c r="G21" i="18"/>
  <c r="H21" i="18"/>
  <c r="G22" i="18"/>
  <c r="H22" i="18"/>
  <c r="G23" i="18"/>
  <c r="H23" i="18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L35" i="8"/>
  <c r="M35" i="8"/>
  <c r="P35" i="8"/>
  <c r="Q35" i="8"/>
  <c r="H36" i="8"/>
  <c r="I36" i="8"/>
  <c r="L36" i="8"/>
  <c r="M36" i="8"/>
  <c r="P36" i="8"/>
  <c r="Q36" i="8"/>
  <c r="H37" i="8"/>
  <c r="I37" i="8"/>
  <c r="L37" i="8"/>
  <c r="M37" i="8"/>
  <c r="P37" i="8"/>
  <c r="Q37" i="8"/>
  <c r="H38" i="8"/>
  <c r="I38" i="8"/>
  <c r="L38" i="8"/>
  <c r="M38" i="8"/>
  <c r="P38" i="8"/>
  <c r="Q38" i="8"/>
  <c r="H39" i="8"/>
  <c r="I39" i="8"/>
  <c r="L39" i="8"/>
  <c r="M39" i="8"/>
  <c r="P39" i="8"/>
  <c r="Q39" i="8"/>
  <c r="H40" i="8"/>
  <c r="I40" i="8"/>
  <c r="M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I19" i="8"/>
  <c r="M19" i="8"/>
  <c r="Q19" i="8"/>
  <c r="T19" i="8"/>
  <c r="U19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H8" i="14"/>
  <c r="H9" i="14"/>
  <c r="H10" i="14"/>
  <c r="H11" i="14"/>
  <c r="H12" i="14"/>
  <c r="H13" i="14"/>
  <c r="H14" i="14"/>
  <c r="H15" i="14"/>
  <c r="H16" i="14"/>
  <c r="H17" i="14"/>
  <c r="G8" i="14"/>
  <c r="G9" i="14"/>
  <c r="G10" i="14"/>
  <c r="G11" i="14"/>
  <c r="G12" i="14"/>
  <c r="G13" i="14"/>
  <c r="G14" i="14"/>
  <c r="G15" i="14"/>
  <c r="G16" i="14"/>
  <c r="G17" i="14"/>
  <c r="H7" i="14"/>
  <c r="G7" i="14"/>
  <c r="P24" i="8"/>
  <c r="L24" i="8"/>
  <c r="H24" i="8"/>
  <c r="U3" i="8"/>
  <c r="Q3" i="8"/>
  <c r="M3" i="8"/>
  <c r="Q24" i="8"/>
  <c r="M24" i="8"/>
  <c r="I24" i="8"/>
  <c r="T3" i="8"/>
  <c r="P3" i="8"/>
  <c r="L3" i="8"/>
  <c r="G3" i="5"/>
  <c r="P25" i="8"/>
  <c r="I25" i="8"/>
  <c r="Q25" i="8"/>
  <c r="H25" i="8"/>
  <c r="G4" i="5"/>
  <c r="L26" i="8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L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L28" i="8"/>
  <c r="H7" i="8"/>
  <c r="P7" i="8"/>
  <c r="G6" i="5"/>
  <c r="U8" i="8"/>
  <c r="M8" i="8"/>
  <c r="I29" i="8"/>
  <c r="P29" i="8"/>
  <c r="L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L30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L31" i="8"/>
  <c r="I31" i="8"/>
  <c r="H10" i="8"/>
  <c r="P32" i="8"/>
  <c r="L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L33" i="8"/>
  <c r="T12" i="8"/>
  <c r="L12" i="8"/>
  <c r="G12" i="5"/>
  <c r="H34" i="8"/>
  <c r="H13" i="8"/>
  <c r="U13" i="8"/>
  <c r="L34" i="8"/>
  <c r="L13" i="8"/>
  <c r="Q34" i="8"/>
  <c r="I34" i="8"/>
  <c r="Q13" i="8"/>
  <c r="I13" i="8"/>
  <c r="P34" i="8"/>
  <c r="P13" i="8"/>
  <c r="M34" i="8"/>
  <c r="M13" i="8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<sst xmlns="http://schemas.openxmlformats.org/spreadsheetml/2006/main" count="438" uniqueCount="187">
  <si>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</si>
  <si>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</si>
  <si>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</si>
  <si>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</si>
  <si>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</si>
  <si>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</si>
  <si>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</si>
  <si>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</si>
  <si>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</si>
  <si>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</si>
  <si>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</si>
  <si>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</si>
  <si>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</si>
  <si>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</si>
  <si>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</si>
  <si>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</si>
  <si>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</si>
  <si>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</si>
  <si>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</si>
  <si>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</si>
  <si>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</si>
  <si>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</si>
  <si>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</si>
  <si>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</si>
  <si>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</si>
  <si>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</si>
  <si>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</si>
  <si>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</si>
  <si>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</si>
  <si>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</si>
  <si>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</si>
  <si>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</si>
  <si>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</si>
  <si>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</si>
  <si>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</si>
  <si>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</si>
  <si>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</si>
  <si>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</si>
  <si>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</si>
  <si>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</si>
  <si>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</si>
  <si>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</si>
  <si>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</si>
  <si>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</si>
  <si>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</si>
  <si>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</si>
  <si>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</si>
  <si>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</si>
  <si>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</si>
  <si>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</si>
  <si>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</si>
  <si>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</si>
  <si>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</si>
  <si>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</si>
  <si>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</si>
  <si>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</si>
  <si>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</si>
  <si>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</si>
  <si>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</si>
  <si>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</si>
  <si>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</si>
  <si>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</si>
  <si>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</si>
  <si>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</si>
  <si>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</si>
  <si>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</si>
  <si>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</si>
  <si>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</si>
  <si>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</si>
  <si>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</si>
  <si>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</si>
  <si>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</si>
  <si>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</si>
  <si>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</si>
  <si>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</si>
  <si>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</si>
  <si>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</si>
  <si>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</si>
  <si>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</si>
  <si>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</si>
  <si>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</si>
  <si>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</si>
  <si>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</si>
  <si>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</si>
  <si>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</si>
  <si>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Neutralised soy pepton</t>
  </si>
  <si>
    <t>Trypton</t>
  </si>
  <si>
    <t>Granulated yeast extract</t>
  </si>
  <si>
    <t>Na-acetate trihydrate (50 mM)</t>
  </si>
  <si>
    <t>Hemine</t>
  </si>
  <si>
    <t>Menadione</t>
  </si>
  <si>
    <t>/</t>
  </si>
  <si>
    <t>Selenite and tungsten</t>
  </si>
  <si>
    <t>1,0 ml of a 1000x stock solution</t>
  </si>
  <si>
    <t>Trace element solution SL-10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</si>
  <si>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</si>
  <si>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</si>
  <si>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</si>
  <si>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</si>
  <si>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</si>
  <si>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</si>
  <si>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</si>
  <si>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</si>
  <si>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</si>
  <si>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</si>
  <si>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</si>
  <si>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</si>
  <si>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</si>
  <si>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</si>
  <si>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</si>
  <si>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</si>
  <si>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</si>
  <si>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</si>
  <si>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</si>
  <si>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</si>
  <si>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</si>
  <si>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Roseburia intestinalis 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</si>
  <si>
    <t>x</t>
  </si>
  <si>
    <t>2x</t>
  </si>
  <si>
    <t>z</t>
  </si>
  <si>
    <t>2x-z</t>
  </si>
  <si>
    <t>y</t>
  </si>
  <si>
    <t>(2x-2+Y)/2</t>
  </si>
  <si>
    <t>2x NAD + H2 wordt NADH + H+</t>
  </si>
  <si>
    <t>2x-z+y NADH + H+ wordt NAD + H2</t>
  </si>
  <si>
    <t>Theoretical</t>
  </si>
  <si>
    <t>Experimental</t>
  </si>
  <si>
    <t>2x-z-y</t>
  </si>
  <si>
    <t>f</t>
  </si>
  <si>
    <t>2x-z -f</t>
  </si>
  <si>
    <t>LN(Count/mL)</t>
  </si>
  <si>
    <t>y = lnN</t>
  </si>
  <si>
    <t>a= umax</t>
  </si>
  <si>
    <r>
      <t>h</t>
    </r>
    <r>
      <rPr>
        <vertAlign val="superscript"/>
        <sz val="11"/>
        <color theme="1"/>
        <rFont val="Calibri"/>
        <family val="2"/>
        <scheme val="minor"/>
      </rPr>
      <t>-1</t>
    </r>
  </si>
  <si>
    <t>x =t (h)</t>
  </si>
  <si>
    <r>
      <t>b = ln N</t>
    </r>
    <r>
      <rPr>
        <vertAlign val="subscript"/>
        <sz val="11"/>
        <color theme="1"/>
        <rFont val="Calibri"/>
        <family val="2"/>
        <scheme val="minor"/>
      </rPr>
      <t>O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</si>
  <si>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</si>
  <si>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doubling time td</t>
  </si>
  <si>
    <t>h</t>
  </si>
  <si>
    <t>umax average</t>
  </si>
  <si>
    <t>umax STDEV</t>
  </si>
  <si>
    <r>
      <t>h</t>
    </r>
    <r>
      <rPr>
        <vertAlign val="superscript"/>
        <sz val="11"/>
        <color rgb="FF000000"/>
        <rFont val="Calibri"/>
        <family val="2"/>
        <scheme val="minor"/>
      </rPr>
      <t>-1</t>
    </r>
  </si>
  <si>
    <t>doubling time average</t>
  </si>
  <si>
    <r>
      <t>Na</t>
    </r>
    <r>
      <rPr>
        <strike/>
        <vertAlign val="subscript"/>
        <sz val="11"/>
        <color rgb="FFFF0000"/>
        <rFont val="Calibri"/>
        <scheme val="minor"/>
      </rPr>
      <t>2</t>
    </r>
    <r>
      <rPr>
        <strike/>
        <sz val="11"/>
        <color rgb="FFFF0000"/>
        <rFont val="Calibri"/>
        <scheme val="minor"/>
      </rPr>
      <t>SO</t>
    </r>
    <r>
      <rPr>
        <strike/>
        <vertAlign val="subscript"/>
        <sz val="11"/>
        <color rgb="FFFF0000"/>
        <rFont val="Calibri"/>
        <scheme val="minor"/>
      </rPr>
      <t>4</t>
    </r>
  </si>
  <si>
    <t>D-Fructose</t>
  </si>
  <si>
    <t>D Fructose</t>
  </si>
  <si>
    <t>D-Fructose consumed</t>
  </si>
  <si>
    <t>10 ml of a 0,1 g/l stock solution</t>
  </si>
  <si>
    <t>15,00 g in 100 ml MilliQ,H20</t>
  </si>
  <si>
    <t>2x-z-y-f</t>
  </si>
  <si>
    <t>2x-z+y</t>
  </si>
  <si>
    <t>1,&amp;39</t>
  </si>
  <si>
    <t>Left (mL) after inoculation</t>
  </si>
  <si>
    <t xml:space="preserve"> Volume Fermentor (mL) after inoculation</t>
  </si>
  <si>
    <t>LOG</t>
  </si>
  <si>
    <t>STDEV LOG(Count/mL)</t>
  </si>
  <si>
    <t>15.00</t>
  </si>
  <si>
    <t>D - Fructose (80 mM)</t>
  </si>
  <si>
    <t>x moles D-fructose consumed</t>
  </si>
  <si>
    <t>2x moles pyruvate produced</t>
  </si>
  <si>
    <t>z moles lactate produced</t>
  </si>
  <si>
    <t>f moles formate produced</t>
  </si>
  <si>
    <t>2x-z moles CO2 produced</t>
  </si>
  <si>
    <t>2x-z-f moles CO2 produced</t>
  </si>
  <si>
    <t>y moles acetate consumed</t>
  </si>
  <si>
    <t>2x-z+y  moles acetyl-CoA produced</t>
  </si>
  <si>
    <t>(2x-2+Y)/2 moles butyraat produced</t>
  </si>
  <si>
    <t>2x-z-y moles H2</t>
  </si>
  <si>
    <t>2x-z-y-f moles H2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</si>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</sst>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trike/>
      <sz val="11"/>
      <color rgb="FFFF0000"/>
      <name val="Calibri"/>
      <scheme val="minor"/>
    </font>
    <font>
      <strike/>
      <vertAlign val="subscript"/>
      <sz val="11"/>
      <color rgb="FFFF0000"/>
      <name val="Calibri"/>
      <scheme val="minor"/>
    </font>
    <font>
      <sz val="11"/>
      <color rgb="FF008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22F91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7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0" xfId="0" applyFont="1"/>
    <xf numFmtId="2" fontId="25" fillId="0" borderId="0" xfId="0" applyNumberFormat="1" applyFont="1"/>
    <xf numFmtId="0" fontId="0" fillId="0" borderId="17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0" fontId="0" fillId="0" borderId="16" xfId="0" applyFont="1" applyFill="1" applyBorder="1" applyAlignment="1">
      <alignment horizontal="center"/>
    </xf>
    <xf numFmtId="1" fontId="25" fillId="0" borderId="20" xfId="0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1" fontId="25" fillId="0" borderId="18" xfId="0" applyNumberFormat="1" applyFont="1" applyBorder="1" applyAlignment="1">
      <alignment horizontal="center"/>
    </xf>
    <xf numFmtId="164" fontId="25" fillId="0" borderId="18" xfId="0" applyNumberFormat="1" applyFont="1" applyBorder="1" applyAlignment="1">
      <alignment horizontal="center"/>
    </xf>
    <xf numFmtId="164" fontId="25" fillId="0" borderId="18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/>
    </xf>
    <xf numFmtId="164" fontId="24" fillId="0" borderId="18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1" fontId="25" fillId="0" borderId="16" xfId="0" applyNumberFormat="1" applyFont="1" applyBorder="1" applyAlignment="1">
      <alignment horizontal="center"/>
    </xf>
    <xf numFmtId="1" fontId="25" fillId="0" borderId="3" xfId="0" applyNumberFormat="1" applyFont="1" applyBorder="1" applyAlignment="1">
      <alignment horizontal="center"/>
    </xf>
    <xf numFmtId="1" fontId="25" fillId="0" borderId="20" xfId="0" applyNumberFormat="1" applyFont="1" applyBorder="1" applyAlignment="1">
      <alignment horizontal="center"/>
    </xf>
    <xf numFmtId="165" fontId="0" fillId="0" borderId="0" xfId="0" applyNumberFormat="1"/>
    <xf numFmtId="165" fontId="24" fillId="0" borderId="0" xfId="0" applyNumberFormat="1" applyFont="1"/>
    <xf numFmtId="0" fontId="0" fillId="12" borderId="0" xfId="0" applyFill="1"/>
    <xf numFmtId="165" fontId="29" fillId="0" borderId="0" xfId="0" applyNumberFormat="1" applyFont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5" fillId="11" borderId="17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267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EC109"/>
      <color rgb="FF68FD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chartsheet" Target="chartsheets/sheet1.xml"/><Relationship Id="rId18" Type="http://schemas.openxmlformats.org/officeDocument/2006/relationships/chartsheet" Target="chartsheets/sheet2.xml"/><Relationship Id="rId19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9"/>
          <c:order val="0"/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7079514650833"/>
                  <c:y val="0.0311659473528152"/>
                </c:manualLayout>
              </c:layout>
              <c:numFmt formatCode="General" sourceLinked="0"/>
            </c:trendlineLbl>
          </c:trendline>
          <c:xVal>
            <c:numRef>
              <c:f>'Flow cytometer'!$D$10:$D$13</c:f>
              <c:numCache>
                <c:formatCode>0</c:formatCode>
                <c:ptCount val="4"/>
                <c:pt idx="0">
                  <c:v>8.666666666666665</c:v>
                </c:pt>
                <c:pt idx="1">
                  <c:v>10.0</c:v>
                </c:pt>
                <c:pt idx="2">
                  <c:v>11.33333333333333</c:v>
                </c:pt>
                <c:pt idx="3">
                  <c:v>12.66666666666667</c:v>
                </c:pt>
              </c:numCache>
            </c:numRef>
          </c:xVal>
          <c:yVal>
            <c:numRef>
              <c:f>'Flow cytometer'!$S$10:$S$13</c:f>
              <c:numCache>
                <c:formatCode>0.00</c:formatCode>
                <c:ptCount val="4"/>
                <c:pt idx="0">
                  <c:v>8.440094120014823</c:v>
                </c:pt>
                <c:pt idx="1">
                  <c:v>8.7222976962495</c:v>
                </c:pt>
                <c:pt idx="2">
                  <c:v>9.09303532026996</c:v>
                </c:pt>
                <c:pt idx="3">
                  <c:v>9.349249941762975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44840"/>
        <c:axId val="2114926888"/>
      </c:scatterChart>
      <c:valAx>
        <c:axId val="210634484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4926888"/>
        <c:crossesAt val="0.0"/>
        <c:crossBetween val="midCat"/>
        <c:majorUnit val="6.0"/>
      </c:valAx>
      <c:valAx>
        <c:axId val="2114926888"/>
        <c:scaling>
          <c:orientation val="minMax"/>
          <c:max val="10.0"/>
          <c:min val="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Cell growth (log (events/ml))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0634484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9"/>
          <c:order val="0"/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7079514650833"/>
                  <c:y val="0.0311659473528152"/>
                </c:manualLayout>
              </c:layout>
              <c:numFmt formatCode="General" sourceLinked="0"/>
            </c:trendlineLbl>
          </c:trendline>
          <c:xVal>
            <c:numRef>
              <c:f>'Flow cytometer'!$D$10:$D$13</c:f>
              <c:numCache>
                <c:formatCode>0</c:formatCode>
                <c:ptCount val="4"/>
                <c:pt idx="0">
                  <c:v>8.666666666666665</c:v>
                </c:pt>
                <c:pt idx="1">
                  <c:v>10.0</c:v>
                </c:pt>
                <c:pt idx="2">
                  <c:v>11.33333333333333</c:v>
                </c:pt>
                <c:pt idx="3">
                  <c:v>12.66666666666667</c:v>
                </c:pt>
              </c:numCache>
            </c:numRef>
          </c:xVal>
          <c:yVal>
            <c:numRef>
              <c:f>'Flow cytometer'!$T$10:$T$13</c:f>
              <c:numCache>
                <c:formatCode>0.00</c:formatCode>
                <c:ptCount val="4"/>
                <c:pt idx="0">
                  <c:v>19.43403490421283</c:v>
                </c:pt>
                <c:pt idx="1">
                  <c:v>20.0838326520404</c:v>
                </c:pt>
                <c:pt idx="2">
                  <c:v>20.93748757852195</c:v>
                </c:pt>
                <c:pt idx="3">
                  <c:v>21.52744354657888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707272"/>
        <c:axId val="2075883416"/>
      </c:scatterChart>
      <c:valAx>
        <c:axId val="207570727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5883416"/>
        <c:crossesAt val="0.0"/>
        <c:crossBetween val="midCat"/>
        <c:majorUnit val="6.0"/>
      </c:valAx>
      <c:valAx>
        <c:axId val="2075883416"/>
        <c:scaling>
          <c:orientation val="minMax"/>
          <c:max val="2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Cell growth (ln (events/ml))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570727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0.0128270394130867</c:v>
                  </c:pt>
                  <c:pt idx="1">
                    <c:v>0.0128270394130867</c:v>
                  </c:pt>
                  <c:pt idx="2">
                    <c:v>0.0128270394130867</c:v>
                  </c:pt>
                  <c:pt idx="3">
                    <c:v>0.0128364227630597</c:v>
                  </c:pt>
                  <c:pt idx="4">
                    <c:v>0.0128364227630597</c:v>
                  </c:pt>
                  <c:pt idx="5">
                    <c:v>0.0257135960745735</c:v>
                  </c:pt>
                  <c:pt idx="6">
                    <c:v>0.0</c:v>
                  </c:pt>
                  <c:pt idx="7">
                    <c:v>0.0128673884804806</c:v>
                  </c:pt>
                  <c:pt idx="8">
                    <c:v>0.0258275985189809</c:v>
                  </c:pt>
                  <c:pt idx="9">
                    <c:v>0.0259729696175868</c:v>
                  </c:pt>
                  <c:pt idx="10">
                    <c:v>0.0130625032564546</c:v>
                  </c:pt>
                  <c:pt idx="11">
                    <c:v>0.0131419911058854</c:v>
                  </c:pt>
                  <c:pt idx="12">
                    <c:v>0.0132668885926361</c:v>
                  </c:pt>
                  <c:pt idx="13">
                    <c:v>0.0464138817912555</c:v>
                  </c:pt>
                  <c:pt idx="14">
                    <c:v>0.138813186539508</c:v>
                  </c:pt>
                  <c:pt idx="15">
                    <c:v>0.303194036102248</c:v>
                  </c:pt>
                  <c:pt idx="16">
                    <c:v>0.125662549847808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0.0128270394130867</c:v>
                  </c:pt>
                  <c:pt idx="1">
                    <c:v>0.0128270394130867</c:v>
                  </c:pt>
                  <c:pt idx="2">
                    <c:v>0.0128270394130867</c:v>
                  </c:pt>
                  <c:pt idx="3">
                    <c:v>0.0128364227630597</c:v>
                  </c:pt>
                  <c:pt idx="4">
                    <c:v>0.0128364227630597</c:v>
                  </c:pt>
                  <c:pt idx="5">
                    <c:v>0.0257135960745735</c:v>
                  </c:pt>
                  <c:pt idx="6">
                    <c:v>0.0</c:v>
                  </c:pt>
                  <c:pt idx="7">
                    <c:v>0.0128673884804806</c:v>
                  </c:pt>
                  <c:pt idx="8">
                    <c:v>0.0258275985189809</c:v>
                  </c:pt>
                  <c:pt idx="9">
                    <c:v>0.0259729696175868</c:v>
                  </c:pt>
                  <c:pt idx="10">
                    <c:v>0.0130625032564546</c:v>
                  </c:pt>
                  <c:pt idx="11">
                    <c:v>0.0131419911058854</c:v>
                  </c:pt>
                  <c:pt idx="12">
                    <c:v>0.0132668885926361</c:v>
                  </c:pt>
                  <c:pt idx="13">
                    <c:v>0.0464138817912555</c:v>
                  </c:pt>
                  <c:pt idx="14">
                    <c:v>0.138813186539508</c:v>
                  </c:pt>
                  <c:pt idx="15">
                    <c:v>0.303194036102248</c:v>
                  </c:pt>
                  <c:pt idx="16">
                    <c:v>0.125662549847808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14.11666666666667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2.325388122628182</c:v>
                </c:pt>
                <c:pt idx="1">
                  <c:v>2.317982427970131</c:v>
                </c:pt>
                <c:pt idx="2">
                  <c:v>2.317982427970131</c:v>
                </c:pt>
                <c:pt idx="3">
                  <c:v>2.341911435508254</c:v>
                </c:pt>
                <c:pt idx="4">
                  <c:v>2.304855874819832</c:v>
                </c:pt>
                <c:pt idx="5">
                  <c:v>2.323360127823923</c:v>
                </c:pt>
                <c:pt idx="6">
                  <c:v>2.295557972718641</c:v>
                </c:pt>
                <c:pt idx="7">
                  <c:v>2.213839080485939</c:v>
                </c:pt>
                <c:pt idx="8">
                  <c:v>2.162177788831</c:v>
                </c:pt>
                <c:pt idx="9">
                  <c:v>2.166849894553129</c:v>
                </c:pt>
                <c:pt idx="10">
                  <c:v>2.224783732564306</c:v>
                </c:pt>
                <c:pt idx="11">
                  <c:v>2.428010272854585</c:v>
                </c:pt>
                <c:pt idx="12">
                  <c:v>4.189824010046178</c:v>
                </c:pt>
                <c:pt idx="13">
                  <c:v>8.424119545112873</c:v>
                </c:pt>
                <c:pt idx="14">
                  <c:v>17.59408438512134</c:v>
                </c:pt>
                <c:pt idx="15">
                  <c:v>18.54717996750182</c:v>
                </c:pt>
                <c:pt idx="16">
                  <c:v>19.49709955610627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109"/>
              </a:solidFill>
            </a:ln>
          </c:spPr>
          <c:marker>
            <c:symbol val="triangle"/>
            <c:size val="8"/>
            <c:spPr>
              <a:solidFill>
                <a:srgbClr val="FEC109"/>
              </a:solidFill>
              <a:ln>
                <a:solidFill>
                  <a:srgbClr val="FEC1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0.300563824417476</c:v>
                  </c:pt>
                  <c:pt idx="1">
                    <c:v>0.550660273110309</c:v>
                  </c:pt>
                  <c:pt idx="2">
                    <c:v>0.474063087283814</c:v>
                  </c:pt>
                  <c:pt idx="3">
                    <c:v>0.47323607869512</c:v>
                  </c:pt>
                  <c:pt idx="4">
                    <c:v>0.533976995826535</c:v>
                  </c:pt>
                  <c:pt idx="5">
                    <c:v>0.63469111086446</c:v>
                  </c:pt>
                  <c:pt idx="6">
                    <c:v>0.164917677010841</c:v>
                  </c:pt>
                  <c:pt idx="7">
                    <c:v>0.387488039529649</c:v>
                  </c:pt>
                  <c:pt idx="8">
                    <c:v>0.281391273245025</c:v>
                  </c:pt>
                  <c:pt idx="9">
                    <c:v>0.0702390540033595</c:v>
                  </c:pt>
                  <c:pt idx="10">
                    <c:v>0.315349146231537</c:v>
                  </c:pt>
                  <c:pt idx="11">
                    <c:v>0.0724341584767254</c:v>
                  </c:pt>
                  <c:pt idx="12">
                    <c:v>0.20197753160787</c:v>
                  </c:pt>
                  <c:pt idx="13">
                    <c:v>0.251838695331155</c:v>
                  </c:pt>
                  <c:pt idx="14">
                    <c:v>0.44998704985511</c:v>
                  </c:pt>
                  <c:pt idx="15">
                    <c:v>0.425006456880733</c:v>
                  </c:pt>
                  <c:pt idx="16">
                    <c:v>0.284991695392135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0.300563824417476</c:v>
                  </c:pt>
                  <c:pt idx="1">
                    <c:v>0.550660273110309</c:v>
                  </c:pt>
                  <c:pt idx="2">
                    <c:v>0.474063087283814</c:v>
                  </c:pt>
                  <c:pt idx="3">
                    <c:v>0.47323607869512</c:v>
                  </c:pt>
                  <c:pt idx="4">
                    <c:v>0.533976995826535</c:v>
                  </c:pt>
                  <c:pt idx="5">
                    <c:v>0.63469111086446</c:v>
                  </c:pt>
                  <c:pt idx="6">
                    <c:v>0.164917677010841</c:v>
                  </c:pt>
                  <c:pt idx="7">
                    <c:v>0.387488039529649</c:v>
                  </c:pt>
                  <c:pt idx="8">
                    <c:v>0.281391273245025</c:v>
                  </c:pt>
                  <c:pt idx="9">
                    <c:v>0.0702390540033595</c:v>
                  </c:pt>
                  <c:pt idx="10">
                    <c:v>0.315349146231537</c:v>
                  </c:pt>
                  <c:pt idx="11">
                    <c:v>0.0724341584767254</c:v>
                  </c:pt>
                  <c:pt idx="12">
                    <c:v>0.20197753160787</c:v>
                  </c:pt>
                  <c:pt idx="13">
                    <c:v>0.251838695331155</c:v>
                  </c:pt>
                  <c:pt idx="14">
                    <c:v>0.44998704985511</c:v>
                  </c:pt>
                  <c:pt idx="15">
                    <c:v>0.425006456880733</c:v>
                  </c:pt>
                  <c:pt idx="16">
                    <c:v>0.284991695392135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14.11666666666667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47.61385382150129</c:v>
                </c:pt>
                <c:pt idx="1">
                  <c:v>47.99156521439236</c:v>
                </c:pt>
                <c:pt idx="2">
                  <c:v>47.08061420800805</c:v>
                </c:pt>
                <c:pt idx="3">
                  <c:v>47.21511060527873</c:v>
                </c:pt>
                <c:pt idx="4">
                  <c:v>46.61477719989021</c:v>
                </c:pt>
                <c:pt idx="5">
                  <c:v>46.36585588841431</c:v>
                </c:pt>
                <c:pt idx="6">
                  <c:v>45.75769049639461</c:v>
                </c:pt>
                <c:pt idx="7">
                  <c:v>44.35353340858512</c:v>
                </c:pt>
                <c:pt idx="8">
                  <c:v>43.7977149475025</c:v>
                </c:pt>
                <c:pt idx="9">
                  <c:v>42.09845690935395</c:v>
                </c:pt>
                <c:pt idx="10">
                  <c:v>39.61843278850297</c:v>
                </c:pt>
                <c:pt idx="11">
                  <c:v>38.94327322769371</c:v>
                </c:pt>
                <c:pt idx="12">
                  <c:v>39.61786591163249</c:v>
                </c:pt>
                <c:pt idx="13">
                  <c:v>41.99529055033592</c:v>
                </c:pt>
                <c:pt idx="14">
                  <c:v>48.39036642838715</c:v>
                </c:pt>
                <c:pt idx="15">
                  <c:v>48.29421771499223</c:v>
                </c:pt>
                <c:pt idx="16">
                  <c:v>48.23484444511888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0.0442766181148019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0.026220723534002</c:v>
                  </c:pt>
                  <c:pt idx="14">
                    <c:v>0.0535339772152536</c:v>
                  </c:pt>
                  <c:pt idx="15">
                    <c:v>0.0464744495663089</c:v>
                  </c:pt>
                  <c:pt idx="16">
                    <c:v>0.0804961079026447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0.0442766181148019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0.026220723534002</c:v>
                  </c:pt>
                  <c:pt idx="14">
                    <c:v>0.0535339772152536</c:v>
                  </c:pt>
                  <c:pt idx="15">
                    <c:v>0.0464744495663089</c:v>
                  </c:pt>
                  <c:pt idx="16">
                    <c:v>0.0804961079026447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14.11666666666667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0.354212944918415</c:v>
                </c:pt>
                <c:pt idx="11">
                  <c:v>0.846374947492684</c:v>
                </c:pt>
                <c:pt idx="12">
                  <c:v>1.528959667276285</c:v>
                </c:pt>
                <c:pt idx="13">
                  <c:v>2.01342605816347</c:v>
                </c:pt>
                <c:pt idx="14">
                  <c:v>3.260778824459919</c:v>
                </c:pt>
                <c:pt idx="15">
                  <c:v>3.253211469641647</c:v>
                </c:pt>
                <c:pt idx="16">
                  <c:v>3.253211469641647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'CO2'!$G$106:$G$202</c:f>
              <c:numCache>
                <c:formatCode>0.0</c:formatCode>
                <c:ptCount val="97"/>
                <c:pt idx="0">
                  <c:v>0.0</c:v>
                </c:pt>
                <c:pt idx="1">
                  <c:v>0.0860462680582725</c:v>
                </c:pt>
                <c:pt idx="2">
                  <c:v>0.35457321126443</c:v>
                </c:pt>
                <c:pt idx="3">
                  <c:v>0.71195856325646</c:v>
                </c:pt>
                <c:pt idx="4">
                  <c:v>1.064768374146018</c:v>
                </c:pt>
                <c:pt idx="5">
                  <c:v>1.41290710100622</c:v>
                </c:pt>
                <c:pt idx="6">
                  <c:v>1.749952416832978</c:v>
                </c:pt>
                <c:pt idx="7">
                  <c:v>2.081785760295848</c:v>
                </c:pt>
                <c:pt idx="8">
                  <c:v>2.407315028157088</c:v>
                </c:pt>
                <c:pt idx="9">
                  <c:v>2.728555987071738</c:v>
                </c:pt>
                <c:pt idx="10">
                  <c:v>3.06549604492628</c:v>
                </c:pt>
                <c:pt idx="11">
                  <c:v>3.433218451487763</c:v>
                </c:pt>
                <c:pt idx="12">
                  <c:v>3.84149302954784</c:v>
                </c:pt>
                <c:pt idx="13">
                  <c:v>4.307188540931569</c:v>
                </c:pt>
                <c:pt idx="14">
                  <c:v>4.80326713812012</c:v>
                </c:pt>
                <c:pt idx="15">
                  <c:v>5.291054390842755</c:v>
                </c:pt>
                <c:pt idx="16">
                  <c:v>5.776545584516691</c:v>
                </c:pt>
                <c:pt idx="17">
                  <c:v>6.286041198438093</c:v>
                </c:pt>
                <c:pt idx="18">
                  <c:v>6.863894430058272</c:v>
                </c:pt>
                <c:pt idx="19">
                  <c:v>7.540200374505963</c:v>
                </c:pt>
                <c:pt idx="20">
                  <c:v>8.351248977122702</c:v>
                </c:pt>
                <c:pt idx="21">
                  <c:v>9.345776451584622</c:v>
                </c:pt>
                <c:pt idx="22">
                  <c:v>10.57567913744796</c:v>
                </c:pt>
                <c:pt idx="23">
                  <c:v>12.14411725489876</c:v>
                </c:pt>
                <c:pt idx="24">
                  <c:v>14.17657121692383</c:v>
                </c:pt>
                <c:pt idx="25">
                  <c:v>16.7364730160535</c:v>
                </c:pt>
                <c:pt idx="26">
                  <c:v>19.90742279671129</c:v>
                </c:pt>
                <c:pt idx="27">
                  <c:v>23.72920723289268</c:v>
                </c:pt>
                <c:pt idx="28">
                  <c:v>28.00914504665712</c:v>
                </c:pt>
                <c:pt idx="29">
                  <c:v>32.6055929558272</c:v>
                </c:pt>
                <c:pt idx="30">
                  <c:v>37.58756287843155</c:v>
                </c:pt>
                <c:pt idx="31">
                  <c:v>42.99699358583134</c:v>
                </c:pt>
                <c:pt idx="32">
                  <c:v>48.68933699936238</c:v>
                </c:pt>
                <c:pt idx="33">
                  <c:v>54.41515260679506</c:v>
                </c:pt>
                <c:pt idx="34">
                  <c:v>60.30329555445483</c:v>
                </c:pt>
                <c:pt idx="35">
                  <c:v>66.43779902255991</c:v>
                </c:pt>
                <c:pt idx="36">
                  <c:v>72.79762635274818</c:v>
                </c:pt>
                <c:pt idx="37">
                  <c:v>79.27488759379557</c:v>
                </c:pt>
                <c:pt idx="38">
                  <c:v>85.71848929448468</c:v>
                </c:pt>
                <c:pt idx="39">
                  <c:v>92.13874720297792</c:v>
                </c:pt>
                <c:pt idx="40">
                  <c:v>98.47475088710986</c:v>
                </c:pt>
                <c:pt idx="41">
                  <c:v>104.7137675770027</c:v>
                </c:pt>
                <c:pt idx="42">
                  <c:v>110.7769779203754</c:v>
                </c:pt>
                <c:pt idx="43">
                  <c:v>115.6960540255535</c:v>
                </c:pt>
                <c:pt idx="44">
                  <c:v>118.790446647805</c:v>
                </c:pt>
                <c:pt idx="45">
                  <c:v>120.6366308867564</c:v>
                </c:pt>
                <c:pt idx="46">
                  <c:v>121.7421481771047</c:v>
                </c:pt>
                <c:pt idx="47">
                  <c:v>122.4195453559464</c:v>
                </c:pt>
                <c:pt idx="48">
                  <c:v>122.8615000995696</c:v>
                </c:pt>
                <c:pt idx="49">
                  <c:v>123.1577180116658</c:v>
                </c:pt>
                <c:pt idx="50">
                  <c:v>123.3634163600398</c:v>
                </c:pt>
                <c:pt idx="51">
                  <c:v>123.5180151323983</c:v>
                </c:pt>
                <c:pt idx="52">
                  <c:v>123.6365205370299</c:v>
                </c:pt>
                <c:pt idx="53">
                  <c:v>123.7317279724037</c:v>
                </c:pt>
                <c:pt idx="54">
                  <c:v>123.8128503702471</c:v>
                </c:pt>
                <c:pt idx="55">
                  <c:v>123.8842793585925</c:v>
                </c:pt>
                <c:pt idx="56">
                  <c:v>123.9504365570782</c:v>
                </c:pt>
                <c:pt idx="57">
                  <c:v>124.0140040721904</c:v>
                </c:pt>
                <c:pt idx="58">
                  <c:v>124.0750431112884</c:v>
                </c:pt>
                <c:pt idx="59">
                  <c:v>124.1315779008129</c:v>
                </c:pt>
                <c:pt idx="60">
                  <c:v>124.1918872701009</c:v>
                </c:pt>
                <c:pt idx="61">
                  <c:v>124.255300184573</c:v>
                </c:pt>
                <c:pt idx="62">
                  <c:v>124.3120965519506</c:v>
                </c:pt>
                <c:pt idx="63">
                  <c:v>124.3626791695048</c:v>
                </c:pt>
                <c:pt idx="64">
                  <c:v>124.4081796437853</c:v>
                </c:pt>
                <c:pt idx="65">
                  <c:v>124.4499579849638</c:v>
                </c:pt>
                <c:pt idx="66">
                  <c:v>124.4893748539349</c:v>
                </c:pt>
                <c:pt idx="67">
                  <c:v>124.5261693109478</c:v>
                </c:pt>
                <c:pt idx="68">
                  <c:v>124.5607545648347</c:v>
                </c:pt>
                <c:pt idx="69">
                  <c:v>124.593870487158</c:v>
                </c:pt>
                <c:pt idx="70">
                  <c:v>124.6256257485867</c:v>
                </c:pt>
                <c:pt idx="71">
                  <c:v>124.6566196646083</c:v>
                </c:pt>
                <c:pt idx="72">
                  <c:v>124.6859269077278</c:v>
                </c:pt>
                <c:pt idx="73">
                  <c:v>124.7135800140736</c:v>
                </c:pt>
                <c:pt idx="74">
                  <c:v>124.7396876543151</c:v>
                </c:pt>
                <c:pt idx="75">
                  <c:v>124.7653163627449</c:v>
                </c:pt>
                <c:pt idx="76">
                  <c:v>124.7911741255194</c:v>
                </c:pt>
                <c:pt idx="77">
                  <c:v>124.816977227598</c:v>
                </c:pt>
                <c:pt idx="78">
                  <c:v>124.844640745505</c:v>
                </c:pt>
                <c:pt idx="79">
                  <c:v>124.8728378559196</c:v>
                </c:pt>
                <c:pt idx="80">
                  <c:v>124.8987606909512</c:v>
                </c:pt>
                <c:pt idx="81">
                  <c:v>124.9227242003237</c:v>
                </c:pt>
                <c:pt idx="82">
                  <c:v>124.945653711532</c:v>
                </c:pt>
                <c:pt idx="83">
                  <c:v>124.9676149475558</c:v>
                </c:pt>
                <c:pt idx="84">
                  <c:v>124.9884120409014</c:v>
                </c:pt>
                <c:pt idx="85">
                  <c:v>125.008218734495</c:v>
                </c:pt>
                <c:pt idx="86">
                  <c:v>125.0271326367222</c:v>
                </c:pt>
                <c:pt idx="87">
                  <c:v>125.0363826580585</c:v>
                </c:pt>
                <c:pt idx="88">
                  <c:v>125.0363826580585</c:v>
                </c:pt>
                <c:pt idx="89">
                  <c:v>125.0363826580585</c:v>
                </c:pt>
                <c:pt idx="90">
                  <c:v>125.0363826580585</c:v>
                </c:pt>
                <c:pt idx="91">
                  <c:v>125.0463185409839</c:v>
                </c:pt>
                <c:pt idx="92">
                  <c:v>125.0562544239092</c:v>
                </c:pt>
                <c:pt idx="93">
                  <c:v>125.0562544239092</c:v>
                </c:pt>
                <c:pt idx="94">
                  <c:v>125.0562544239092</c:v>
                </c:pt>
                <c:pt idx="95">
                  <c:v>125.0562544239092</c:v>
                </c:pt>
                <c:pt idx="96">
                  <c:v>125.0562544239092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8FD65"/>
              </a:solidFill>
            </a:ln>
          </c:spPr>
          <c:marker>
            <c:symbol val="circle"/>
            <c:size val="8"/>
            <c:spPr>
              <a:solidFill>
                <a:srgbClr val="68FD65"/>
              </a:solidFill>
              <a:ln>
                <a:solidFill>
                  <a:srgbClr val="68FD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0.463507159105387</c:v>
                  </c:pt>
                  <c:pt idx="1">
                    <c:v>0.716852498902363</c:v>
                  </c:pt>
                  <c:pt idx="2">
                    <c:v>0.834423315403414</c:v>
                  </c:pt>
                  <c:pt idx="3">
                    <c:v>0.844452244806124</c:v>
                  </c:pt>
                  <c:pt idx="4">
                    <c:v>0.890467559947665</c:v>
                  </c:pt>
                  <c:pt idx="5">
                    <c:v>0.857004685930642</c:v>
                  </c:pt>
                  <c:pt idx="6">
                    <c:v>0.360975543664785</c:v>
                  </c:pt>
                  <c:pt idx="7">
                    <c:v>1.051353045265748</c:v>
                  </c:pt>
                  <c:pt idx="8">
                    <c:v>0.58498227803685</c:v>
                  </c:pt>
                  <c:pt idx="9">
                    <c:v>0.0687180184179731</c:v>
                  </c:pt>
                  <c:pt idx="10">
                    <c:v>0.20372899189801</c:v>
                  </c:pt>
                  <c:pt idx="11">
                    <c:v>0.0328549777647127</c:v>
                  </c:pt>
                  <c:pt idx="12">
                    <c:v>0.17399361270995</c:v>
                  </c:pt>
                  <c:pt idx="13">
                    <c:v>0.129384332332804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0.463507159105387</c:v>
                  </c:pt>
                  <c:pt idx="1">
                    <c:v>0.716852498902363</c:v>
                  </c:pt>
                  <c:pt idx="2">
                    <c:v>0.834423315403414</c:v>
                  </c:pt>
                  <c:pt idx="3">
                    <c:v>0.844452244806124</c:v>
                  </c:pt>
                  <c:pt idx="4">
                    <c:v>0.890467559947665</c:v>
                  </c:pt>
                  <c:pt idx="5">
                    <c:v>0.857004685930642</c:v>
                  </c:pt>
                  <c:pt idx="6">
                    <c:v>0.360975543664785</c:v>
                  </c:pt>
                  <c:pt idx="7">
                    <c:v>1.051353045265748</c:v>
                  </c:pt>
                  <c:pt idx="8">
                    <c:v>0.58498227803685</c:v>
                  </c:pt>
                  <c:pt idx="9">
                    <c:v>0.0687180184179731</c:v>
                  </c:pt>
                  <c:pt idx="10">
                    <c:v>0.20372899189801</c:v>
                  </c:pt>
                  <c:pt idx="11">
                    <c:v>0.0328549777647127</c:v>
                  </c:pt>
                  <c:pt idx="12">
                    <c:v>0.17399361270995</c:v>
                  </c:pt>
                  <c:pt idx="13">
                    <c:v>0.129384332332804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14.11666666666667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78.27078684094668</c:v>
                </c:pt>
                <c:pt idx="1">
                  <c:v>80.25551300930452</c:v>
                </c:pt>
                <c:pt idx="2">
                  <c:v>79.49642930685424</c:v>
                </c:pt>
                <c:pt idx="3">
                  <c:v>80.1141222083678</c:v>
                </c:pt>
                <c:pt idx="4">
                  <c:v>79.4100665552878</c:v>
                </c:pt>
                <c:pt idx="5">
                  <c:v>77.64699238690783</c:v>
                </c:pt>
                <c:pt idx="6">
                  <c:v>76.8380456693492</c:v>
                </c:pt>
                <c:pt idx="7">
                  <c:v>74.02988737262544</c:v>
                </c:pt>
                <c:pt idx="8">
                  <c:v>71.55317323934865</c:v>
                </c:pt>
                <c:pt idx="9">
                  <c:v>64.38318354507862</c:v>
                </c:pt>
                <c:pt idx="10">
                  <c:v>54.65426342336788</c:v>
                </c:pt>
                <c:pt idx="11">
                  <c:v>46.00700090454305</c:v>
                </c:pt>
                <c:pt idx="12">
                  <c:v>33.70625330202598</c:v>
                </c:pt>
                <c:pt idx="13">
                  <c:v>21.51670203372953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0.255299056868781</c:v>
                  </c:pt>
                  <c:pt idx="1">
                    <c:v>0.102422299717793</c:v>
                  </c:pt>
                  <c:pt idx="2">
                    <c:v>0.0472825925812126</c:v>
                  </c:pt>
                  <c:pt idx="3">
                    <c:v>0.0601390876982511</c:v>
                  </c:pt>
                  <c:pt idx="4">
                    <c:v>0.0601390876982511</c:v>
                  </c:pt>
                  <c:pt idx="5">
                    <c:v>0.118298301041756</c:v>
                  </c:pt>
                  <c:pt idx="6">
                    <c:v>0.0862636473990467</c:v>
                  </c:pt>
                  <c:pt idx="7">
                    <c:v>0.211711023287946</c:v>
                  </c:pt>
                  <c:pt idx="8">
                    <c:v>0.429234578759856</c:v>
                  </c:pt>
                  <c:pt idx="9">
                    <c:v>0.406410185302562</c:v>
                  </c:pt>
                  <c:pt idx="10">
                    <c:v>0.266087725594534</c:v>
                  </c:pt>
                  <c:pt idx="11">
                    <c:v>0.0232715318967847</c:v>
                  </c:pt>
                  <c:pt idx="12">
                    <c:v>0.275309290047729</c:v>
                  </c:pt>
                  <c:pt idx="13">
                    <c:v>0.28766017466431</c:v>
                  </c:pt>
                  <c:pt idx="14">
                    <c:v>0.764501329938993</c:v>
                  </c:pt>
                  <c:pt idx="15">
                    <c:v>0.55222397725335</c:v>
                  </c:pt>
                  <c:pt idx="16">
                    <c:v>0.459593241084258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0.255299056868781</c:v>
                  </c:pt>
                  <c:pt idx="1">
                    <c:v>0.102422299717793</c:v>
                  </c:pt>
                  <c:pt idx="2">
                    <c:v>0.0472825925812126</c:v>
                  </c:pt>
                  <c:pt idx="3">
                    <c:v>0.0601390876982511</c:v>
                  </c:pt>
                  <c:pt idx="4">
                    <c:v>0.0601390876982511</c:v>
                  </c:pt>
                  <c:pt idx="5">
                    <c:v>0.118298301041756</c:v>
                  </c:pt>
                  <c:pt idx="6">
                    <c:v>0.0862636473990467</c:v>
                  </c:pt>
                  <c:pt idx="7">
                    <c:v>0.211711023287946</c:v>
                  </c:pt>
                  <c:pt idx="8">
                    <c:v>0.429234578759856</c:v>
                  </c:pt>
                  <c:pt idx="9">
                    <c:v>0.406410185302562</c:v>
                  </c:pt>
                  <c:pt idx="10">
                    <c:v>0.266087725594534</c:v>
                  </c:pt>
                  <c:pt idx="11">
                    <c:v>0.0232715318967847</c:v>
                  </c:pt>
                  <c:pt idx="12">
                    <c:v>0.275309290047729</c:v>
                  </c:pt>
                  <c:pt idx="13">
                    <c:v>0.28766017466431</c:v>
                  </c:pt>
                  <c:pt idx="14">
                    <c:v>0.764501329938993</c:v>
                  </c:pt>
                  <c:pt idx="15">
                    <c:v>0.55222397725335</c:v>
                  </c:pt>
                  <c:pt idx="16">
                    <c:v>0.459593241084258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14.11666666666667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2.506091779115884</c:v>
                </c:pt>
                <c:pt idx="1">
                  <c:v>3.52821380383082</c:v>
                </c:pt>
                <c:pt idx="2">
                  <c:v>4.239913584002704</c:v>
                </c:pt>
                <c:pt idx="3">
                  <c:v>5.114348682553162</c:v>
                </c:pt>
                <c:pt idx="4">
                  <c:v>5.841722717405167</c:v>
                </c:pt>
                <c:pt idx="5">
                  <c:v>6.602290408609546</c:v>
                </c:pt>
                <c:pt idx="6">
                  <c:v>7.959655004914604</c:v>
                </c:pt>
                <c:pt idx="7">
                  <c:v>10.01032948137161</c:v>
                </c:pt>
                <c:pt idx="8">
                  <c:v>13.63662571725847</c:v>
                </c:pt>
                <c:pt idx="9">
                  <c:v>19.9070134723855</c:v>
                </c:pt>
                <c:pt idx="10">
                  <c:v>28.53566814391803</c:v>
                </c:pt>
                <c:pt idx="11">
                  <c:v>36.44321895036479</c:v>
                </c:pt>
                <c:pt idx="12">
                  <c:v>45.8734072375588</c:v>
                </c:pt>
                <c:pt idx="13">
                  <c:v>54.21347887846517</c:v>
                </c:pt>
                <c:pt idx="14">
                  <c:v>67.66288341095436</c:v>
                </c:pt>
                <c:pt idx="15">
                  <c:v>68.98461021825451</c:v>
                </c:pt>
                <c:pt idx="16">
                  <c:v>71.46106384645557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'H2'!$G$107:$G$203</c:f>
              <c:numCache>
                <c:formatCode>0.0</c:formatCode>
                <c:ptCount val="97"/>
                <c:pt idx="0">
                  <c:v>0.00019012748623987</c:v>
                </c:pt>
                <c:pt idx="1">
                  <c:v>0.0206278622188308</c:v>
                </c:pt>
                <c:pt idx="2">
                  <c:v>0.171399282153112</c:v>
                </c:pt>
                <c:pt idx="3">
                  <c:v>0.572035727150127</c:v>
                </c:pt>
                <c:pt idx="4">
                  <c:v>1.077012330113978</c:v>
                </c:pt>
                <c:pt idx="5">
                  <c:v>1.512025427348688</c:v>
                </c:pt>
                <c:pt idx="6">
                  <c:v>1.893745618837544</c:v>
                </c:pt>
                <c:pt idx="7">
                  <c:v>2.22366300630069</c:v>
                </c:pt>
                <c:pt idx="8">
                  <c:v>2.513190730030345</c:v>
                </c:pt>
                <c:pt idx="9">
                  <c:v>2.904188158104143</c:v>
                </c:pt>
                <c:pt idx="10">
                  <c:v>3.404987514799827</c:v>
                </c:pt>
                <c:pt idx="11">
                  <c:v>3.956271618009579</c:v>
                </c:pt>
                <c:pt idx="12">
                  <c:v>4.639385465139081</c:v>
                </c:pt>
                <c:pt idx="13">
                  <c:v>5.510926934126686</c:v>
                </c:pt>
                <c:pt idx="14">
                  <c:v>6.302819453968778</c:v>
                </c:pt>
                <c:pt idx="15">
                  <c:v>6.839776662411934</c:v>
                </c:pt>
                <c:pt idx="16">
                  <c:v>7.335158797413303</c:v>
                </c:pt>
                <c:pt idx="17">
                  <c:v>7.916384115377507</c:v>
                </c:pt>
                <c:pt idx="18">
                  <c:v>8.662492915646655</c:v>
                </c:pt>
                <c:pt idx="19">
                  <c:v>9.649904561869451</c:v>
                </c:pt>
                <c:pt idx="20">
                  <c:v>10.96165000818035</c:v>
                </c:pt>
                <c:pt idx="21">
                  <c:v>12.73453892959033</c:v>
                </c:pt>
                <c:pt idx="22">
                  <c:v>15.12835330011711</c:v>
                </c:pt>
                <c:pt idx="23">
                  <c:v>18.42300782584242</c:v>
                </c:pt>
                <c:pt idx="24">
                  <c:v>22.84952015363064</c:v>
                </c:pt>
                <c:pt idx="25">
                  <c:v>28.28917539874511</c:v>
                </c:pt>
                <c:pt idx="26">
                  <c:v>34.71886698223702</c:v>
                </c:pt>
                <c:pt idx="27">
                  <c:v>42.00371356299003</c:v>
                </c:pt>
                <c:pt idx="28">
                  <c:v>49.6239908586132</c:v>
                </c:pt>
                <c:pt idx="29">
                  <c:v>57.4543191503773</c:v>
                </c:pt>
                <c:pt idx="30">
                  <c:v>65.90065192609981</c:v>
                </c:pt>
                <c:pt idx="31">
                  <c:v>75.49681899280634</c:v>
                </c:pt>
                <c:pt idx="32">
                  <c:v>86.00521419966182</c:v>
                </c:pt>
                <c:pt idx="33">
                  <c:v>96.84206121872563</c:v>
                </c:pt>
                <c:pt idx="34">
                  <c:v>109.193176896094</c:v>
                </c:pt>
                <c:pt idx="35">
                  <c:v>122.1058021320738</c:v>
                </c:pt>
                <c:pt idx="36">
                  <c:v>136.6443587673546</c:v>
                </c:pt>
                <c:pt idx="37">
                  <c:v>151.4282765540092</c:v>
                </c:pt>
                <c:pt idx="38">
                  <c:v>163.9975382253033</c:v>
                </c:pt>
                <c:pt idx="39">
                  <c:v>176.4317042601185</c:v>
                </c:pt>
                <c:pt idx="40">
                  <c:v>188.5562230843137</c:v>
                </c:pt>
                <c:pt idx="41">
                  <c:v>200.3264620388593</c:v>
                </c:pt>
                <c:pt idx="42">
                  <c:v>213.3760873576698</c:v>
                </c:pt>
                <c:pt idx="43">
                  <c:v>221.9932843610526</c:v>
                </c:pt>
                <c:pt idx="44">
                  <c:v>223.7301663318403</c:v>
                </c:pt>
                <c:pt idx="45">
                  <c:v>224.2169055023739</c:v>
                </c:pt>
                <c:pt idx="46">
                  <c:v>224.375588232384</c:v>
                </c:pt>
                <c:pt idx="47">
                  <c:v>224.4404034796411</c:v>
                </c:pt>
                <c:pt idx="48">
                  <c:v>224.4740164489713</c:v>
                </c:pt>
                <c:pt idx="49">
                  <c:v>224.496160047432</c:v>
                </c:pt>
                <c:pt idx="50">
                  <c:v>224.5138336724403</c:v>
                </c:pt>
                <c:pt idx="51">
                  <c:v>224.52554753687</c:v>
                </c:pt>
                <c:pt idx="52">
                  <c:v>224.5319179988297</c:v>
                </c:pt>
                <c:pt idx="53">
                  <c:v>224.5361309013728</c:v>
                </c:pt>
                <c:pt idx="54">
                  <c:v>224.5374670580271</c:v>
                </c:pt>
                <c:pt idx="55">
                  <c:v>224.5377755431182</c:v>
                </c:pt>
                <c:pt idx="56">
                  <c:v>224.5408579457344</c:v>
                </c:pt>
                <c:pt idx="57">
                  <c:v>224.5467662921311</c:v>
                </c:pt>
                <c:pt idx="58">
                  <c:v>224.5495922359117</c:v>
                </c:pt>
                <c:pt idx="59">
                  <c:v>224.551852623692</c:v>
                </c:pt>
                <c:pt idx="60">
                  <c:v>224.554222332864</c:v>
                </c:pt>
                <c:pt idx="61">
                  <c:v>224.5572813796668</c:v>
                </c:pt>
                <c:pt idx="62">
                  <c:v>224.5612143468815</c:v>
                </c:pt>
                <c:pt idx="63">
                  <c:v>224.5624162314688</c:v>
                </c:pt>
                <c:pt idx="64">
                  <c:v>224.5626895349483</c:v>
                </c:pt>
                <c:pt idx="65">
                  <c:v>224.5630721598196</c:v>
                </c:pt>
                <c:pt idx="66">
                  <c:v>224.5636734274745</c:v>
                </c:pt>
                <c:pt idx="67">
                  <c:v>224.5643293558253</c:v>
                </c:pt>
                <c:pt idx="68">
                  <c:v>224.567443063324</c:v>
                </c:pt>
                <c:pt idx="69">
                  <c:v>224.5711027270592</c:v>
                </c:pt>
                <c:pt idx="70">
                  <c:v>224.5721952902547</c:v>
                </c:pt>
                <c:pt idx="71">
                  <c:v>224.5724685937342</c:v>
                </c:pt>
                <c:pt idx="72">
                  <c:v>224.5769475171853</c:v>
                </c:pt>
                <c:pt idx="73">
                  <c:v>224.5857960426957</c:v>
                </c:pt>
                <c:pt idx="74">
                  <c:v>224.5940439512738</c:v>
                </c:pt>
                <c:pt idx="75">
                  <c:v>224.6021278777641</c:v>
                </c:pt>
                <c:pt idx="76">
                  <c:v>224.6105937784033</c:v>
                </c:pt>
                <c:pt idx="77">
                  <c:v>224.6157826401786</c:v>
                </c:pt>
                <c:pt idx="78">
                  <c:v>224.6182950800223</c:v>
                </c:pt>
                <c:pt idx="79">
                  <c:v>224.6199335994542</c:v>
                </c:pt>
                <c:pt idx="80">
                  <c:v>224.6213541268251</c:v>
                </c:pt>
                <c:pt idx="81">
                  <c:v>224.6230479576755</c:v>
                </c:pt>
                <c:pt idx="82">
                  <c:v>224.6274182104574</c:v>
                </c:pt>
                <c:pt idx="83">
                  <c:v>224.6316791418475</c:v>
                </c:pt>
                <c:pt idx="84">
                  <c:v>224.6324443915901</c:v>
                </c:pt>
                <c:pt idx="85">
                  <c:v>224.6356674204806</c:v>
                </c:pt>
                <c:pt idx="86">
                  <c:v>224.6390537807363</c:v>
                </c:pt>
                <c:pt idx="87">
                  <c:v>224.6396543976686</c:v>
                </c:pt>
                <c:pt idx="88">
                  <c:v>224.6401456932092</c:v>
                </c:pt>
                <c:pt idx="89">
                  <c:v>224.6406369887497</c:v>
                </c:pt>
                <c:pt idx="90">
                  <c:v>224.641019613621</c:v>
                </c:pt>
                <c:pt idx="91">
                  <c:v>224.6421668375124</c:v>
                </c:pt>
                <c:pt idx="92">
                  <c:v>224.6429314365325</c:v>
                </c:pt>
                <c:pt idx="93">
                  <c:v>224.6432594007079</c:v>
                </c:pt>
                <c:pt idx="94">
                  <c:v>224.6456085091865</c:v>
                </c:pt>
                <c:pt idx="95">
                  <c:v>224.6482302704221</c:v>
                </c:pt>
                <c:pt idx="96">
                  <c:v>224.6497150953372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60360"/>
        <c:axId val="2082644936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10754.0</c:v>
                </c:pt>
                <c:pt idx="1">
                  <c:v>9861.0</c:v>
                </c:pt>
                <c:pt idx="2">
                  <c:v>12099.0</c:v>
                </c:pt>
                <c:pt idx="3">
                  <c:v>14362.0</c:v>
                </c:pt>
                <c:pt idx="4">
                  <c:v>11486.0</c:v>
                </c:pt>
                <c:pt idx="5">
                  <c:v>14582.0</c:v>
                </c:pt>
                <c:pt idx="6">
                  <c:v>17732.0</c:v>
                </c:pt>
                <c:pt idx="7">
                  <c:v>39363.0</c:v>
                </c:pt>
                <c:pt idx="8">
                  <c:v>93203.0</c:v>
                </c:pt>
                <c:pt idx="9">
                  <c:v>15325.0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0.0264969777256453</c:v>
                  </c:pt>
                  <c:pt idx="1">
                    <c:v>0.018516446980806</c:v>
                  </c:pt>
                  <c:pt idx="2">
                    <c:v>0.00944105776143312</c:v>
                  </c:pt>
                  <c:pt idx="3">
                    <c:v>0.0666587991613775</c:v>
                  </c:pt>
                  <c:pt idx="4">
                    <c:v>0.00622396707864705</c:v>
                  </c:pt>
                  <c:pt idx="5">
                    <c:v>0.026910113325798</c:v>
                  </c:pt>
                  <c:pt idx="6">
                    <c:v>0.030052587929109</c:v>
                  </c:pt>
                  <c:pt idx="7">
                    <c:v>0.0380899899213219</c:v>
                  </c:pt>
                  <c:pt idx="8">
                    <c:v>0.0447111282065518</c:v>
                  </c:pt>
                  <c:pt idx="9">
                    <c:v>0.00551245394999285</c:v>
                  </c:pt>
                  <c:pt idx="10">
                    <c:v>0.0232402953996774</c:v>
                  </c:pt>
                  <c:pt idx="11">
                    <c:v>0.0207630004011756</c:v>
                  </c:pt>
                  <c:pt idx="12">
                    <c:v>0.0254420767129955</c:v>
                  </c:pt>
                  <c:pt idx="13">
                    <c:v>0.0424694361305371</c:v>
                  </c:pt>
                  <c:pt idx="14">
                    <c:v>0.00691761186732448</c:v>
                  </c:pt>
                  <c:pt idx="15">
                    <c:v>0.0608986590656344</c:v>
                  </c:pt>
                  <c:pt idx="16">
                    <c:v>0.0633153605627519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0.0264969777256453</c:v>
                  </c:pt>
                  <c:pt idx="1">
                    <c:v>0.018516446980806</c:v>
                  </c:pt>
                  <c:pt idx="2">
                    <c:v>0.00944105776143312</c:v>
                  </c:pt>
                  <c:pt idx="3">
                    <c:v>0.0666587991613775</c:v>
                  </c:pt>
                  <c:pt idx="4">
                    <c:v>0.00622396707864705</c:v>
                  </c:pt>
                  <c:pt idx="5">
                    <c:v>0.026910113325798</c:v>
                  </c:pt>
                  <c:pt idx="6">
                    <c:v>0.030052587929109</c:v>
                  </c:pt>
                  <c:pt idx="7">
                    <c:v>0.0380899899213219</c:v>
                  </c:pt>
                  <c:pt idx="8">
                    <c:v>0.0447111282065518</c:v>
                  </c:pt>
                  <c:pt idx="9">
                    <c:v>0.00551245394999285</c:v>
                  </c:pt>
                  <c:pt idx="10">
                    <c:v>0.0232402953996774</c:v>
                  </c:pt>
                  <c:pt idx="11">
                    <c:v>0.0207630004011756</c:v>
                  </c:pt>
                  <c:pt idx="12">
                    <c:v>0.0254420767129955</c:v>
                  </c:pt>
                  <c:pt idx="13">
                    <c:v>0.0424694361305371</c:v>
                  </c:pt>
                  <c:pt idx="14">
                    <c:v>0.00691761186732448</c:v>
                  </c:pt>
                  <c:pt idx="15">
                    <c:v>0.0608986590656344</c:v>
                  </c:pt>
                  <c:pt idx="16">
                    <c:v>0.0633153605627519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14.11666666666667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8.165723099343967</c:v>
                </c:pt>
                <c:pt idx="1">
                  <c:v>8.165449182916153</c:v>
                </c:pt>
                <c:pt idx="2">
                  <c:v>8.256753707723581</c:v>
                </c:pt>
                <c:pt idx="3">
                  <c:v>8.253008703038549</c:v>
                </c:pt>
                <c:pt idx="4">
                  <c:v>8.225243358567995</c:v>
                </c:pt>
                <c:pt idx="5">
                  <c:v>8.307485786114813</c:v>
                </c:pt>
                <c:pt idx="6">
                  <c:v>8.440094120014823</c:v>
                </c:pt>
                <c:pt idx="7">
                  <c:v>8.7222976962495</c:v>
                </c:pt>
                <c:pt idx="8">
                  <c:v>9.09303532026996</c:v>
                </c:pt>
                <c:pt idx="9">
                  <c:v>9.349249941762975</c:v>
                </c:pt>
                <c:pt idx="10">
                  <c:v>9.538384387069621</c:v>
                </c:pt>
                <c:pt idx="11">
                  <c:v>9.713732996125194</c:v>
                </c:pt>
                <c:pt idx="12">
                  <c:v>9.739173524215131</c:v>
                </c:pt>
                <c:pt idx="13">
                  <c:v>9.778295457224438</c:v>
                </c:pt>
                <c:pt idx="14">
                  <c:v>9.761565820456393</c:v>
                </c:pt>
                <c:pt idx="15">
                  <c:v>9.684079719826323</c:v>
                </c:pt>
                <c:pt idx="16">
                  <c:v>9.480357433363714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91336"/>
        <c:axId val="2082531016"/>
      </c:scatterChart>
      <c:valAx>
        <c:axId val="211376036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82644936"/>
        <c:crosses val="autoZero"/>
        <c:crossBetween val="midCat"/>
        <c:majorUnit val="6.0"/>
      </c:valAx>
      <c:valAx>
        <c:axId val="2082644936"/>
        <c:scaling>
          <c:orientation val="minMax"/>
          <c:max val="15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3760360"/>
        <c:crosses val="autoZero"/>
        <c:crossBetween val="midCat"/>
      </c:valAx>
      <c:valAx>
        <c:axId val="2082531016"/>
        <c:scaling>
          <c:orientation val="minMax"/>
          <c:max val="10.0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76591336"/>
        <c:crosses val="max"/>
        <c:crossBetween val="midCat"/>
        <c:majorUnit val="1.0"/>
        <c:minorUnit val="0.2"/>
      </c:valAx>
      <c:valAx>
        <c:axId val="2076591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8253101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0.0128270394130867</c:v>
                  </c:pt>
                  <c:pt idx="1">
                    <c:v>0.0128270394130867</c:v>
                  </c:pt>
                  <c:pt idx="2">
                    <c:v>0.0128270394130867</c:v>
                  </c:pt>
                  <c:pt idx="3">
                    <c:v>0.0128364227630597</c:v>
                  </c:pt>
                  <c:pt idx="4">
                    <c:v>0.0128364227630597</c:v>
                  </c:pt>
                  <c:pt idx="5">
                    <c:v>0.0257135960745735</c:v>
                  </c:pt>
                  <c:pt idx="6">
                    <c:v>0.0</c:v>
                  </c:pt>
                  <c:pt idx="7">
                    <c:v>0.0128673884804806</c:v>
                  </c:pt>
                  <c:pt idx="8">
                    <c:v>0.0258275985189809</c:v>
                  </c:pt>
                  <c:pt idx="9">
                    <c:v>0.0259729696175868</c:v>
                  </c:pt>
                  <c:pt idx="10">
                    <c:v>0.0130625032564546</c:v>
                  </c:pt>
                  <c:pt idx="11">
                    <c:v>0.0131419911058854</c:v>
                  </c:pt>
                  <c:pt idx="12">
                    <c:v>0.0132668885926361</c:v>
                  </c:pt>
                  <c:pt idx="13">
                    <c:v>0.0464138817912555</c:v>
                  </c:pt>
                  <c:pt idx="14">
                    <c:v>0.138813186539508</c:v>
                  </c:pt>
                  <c:pt idx="15">
                    <c:v>0.303194036102248</c:v>
                  </c:pt>
                  <c:pt idx="16">
                    <c:v>0.125662549847808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0.0128270394130867</c:v>
                  </c:pt>
                  <c:pt idx="1">
                    <c:v>0.0128270394130867</c:v>
                  </c:pt>
                  <c:pt idx="2">
                    <c:v>0.0128270394130867</c:v>
                  </c:pt>
                  <c:pt idx="3">
                    <c:v>0.0128364227630597</c:v>
                  </c:pt>
                  <c:pt idx="4">
                    <c:v>0.0128364227630597</c:v>
                  </c:pt>
                  <c:pt idx="5">
                    <c:v>0.0257135960745735</c:v>
                  </c:pt>
                  <c:pt idx="6">
                    <c:v>0.0</c:v>
                  </c:pt>
                  <c:pt idx="7">
                    <c:v>0.0128673884804806</c:v>
                  </c:pt>
                  <c:pt idx="8">
                    <c:v>0.0258275985189809</c:v>
                  </c:pt>
                  <c:pt idx="9">
                    <c:v>0.0259729696175868</c:v>
                  </c:pt>
                  <c:pt idx="10">
                    <c:v>0.0130625032564546</c:v>
                  </c:pt>
                  <c:pt idx="11">
                    <c:v>0.0131419911058854</c:v>
                  </c:pt>
                  <c:pt idx="12">
                    <c:v>0.0132668885926361</c:v>
                  </c:pt>
                  <c:pt idx="13">
                    <c:v>0.0464138817912555</c:v>
                  </c:pt>
                  <c:pt idx="14">
                    <c:v>0.138813186539508</c:v>
                  </c:pt>
                  <c:pt idx="15">
                    <c:v>0.303194036102248</c:v>
                  </c:pt>
                  <c:pt idx="16">
                    <c:v>0.125662549847808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14.11666666666667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2.325388122628182</c:v>
                </c:pt>
                <c:pt idx="1">
                  <c:v>2.317982427970131</c:v>
                </c:pt>
                <c:pt idx="2">
                  <c:v>2.317982427970131</c:v>
                </c:pt>
                <c:pt idx="3">
                  <c:v>2.341911435508254</c:v>
                </c:pt>
                <c:pt idx="4">
                  <c:v>2.304855874819832</c:v>
                </c:pt>
                <c:pt idx="5">
                  <c:v>2.323360127823923</c:v>
                </c:pt>
                <c:pt idx="6">
                  <c:v>2.295557972718641</c:v>
                </c:pt>
                <c:pt idx="7">
                  <c:v>2.213839080485939</c:v>
                </c:pt>
                <c:pt idx="8">
                  <c:v>2.162177788831</c:v>
                </c:pt>
                <c:pt idx="9">
                  <c:v>2.166849894553129</c:v>
                </c:pt>
                <c:pt idx="10">
                  <c:v>2.224783732564306</c:v>
                </c:pt>
                <c:pt idx="11">
                  <c:v>2.428010272854585</c:v>
                </c:pt>
                <c:pt idx="12">
                  <c:v>4.189824010046178</c:v>
                </c:pt>
                <c:pt idx="13">
                  <c:v>8.424119545112873</c:v>
                </c:pt>
                <c:pt idx="14">
                  <c:v>17.59408438512134</c:v>
                </c:pt>
                <c:pt idx="15">
                  <c:v>18.54717996750182</c:v>
                </c:pt>
                <c:pt idx="16">
                  <c:v>19.49709955610627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109"/>
              </a:solidFill>
            </a:ln>
          </c:spPr>
          <c:marker>
            <c:symbol val="triangle"/>
            <c:size val="8"/>
            <c:spPr>
              <a:solidFill>
                <a:srgbClr val="FEC109"/>
              </a:solidFill>
              <a:ln>
                <a:solidFill>
                  <a:srgbClr val="FEC1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0.300563824417476</c:v>
                  </c:pt>
                  <c:pt idx="1">
                    <c:v>0.550660273110309</c:v>
                  </c:pt>
                  <c:pt idx="2">
                    <c:v>0.474063087283814</c:v>
                  </c:pt>
                  <c:pt idx="3">
                    <c:v>0.47323607869512</c:v>
                  </c:pt>
                  <c:pt idx="4">
                    <c:v>0.533976995826535</c:v>
                  </c:pt>
                  <c:pt idx="5">
                    <c:v>0.63469111086446</c:v>
                  </c:pt>
                  <c:pt idx="6">
                    <c:v>0.164917677010841</c:v>
                  </c:pt>
                  <c:pt idx="7">
                    <c:v>0.387488039529649</c:v>
                  </c:pt>
                  <c:pt idx="8">
                    <c:v>0.281391273245025</c:v>
                  </c:pt>
                  <c:pt idx="9">
                    <c:v>0.0702390540033595</c:v>
                  </c:pt>
                  <c:pt idx="10">
                    <c:v>0.315349146231537</c:v>
                  </c:pt>
                  <c:pt idx="11">
                    <c:v>0.0724341584767254</c:v>
                  </c:pt>
                  <c:pt idx="12">
                    <c:v>0.20197753160787</c:v>
                  </c:pt>
                  <c:pt idx="13">
                    <c:v>0.251838695331155</c:v>
                  </c:pt>
                  <c:pt idx="14">
                    <c:v>0.44998704985511</c:v>
                  </c:pt>
                  <c:pt idx="15">
                    <c:v>0.425006456880733</c:v>
                  </c:pt>
                  <c:pt idx="16">
                    <c:v>0.284991695392135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0.300563824417476</c:v>
                  </c:pt>
                  <c:pt idx="1">
                    <c:v>0.550660273110309</c:v>
                  </c:pt>
                  <c:pt idx="2">
                    <c:v>0.474063087283814</c:v>
                  </c:pt>
                  <c:pt idx="3">
                    <c:v>0.47323607869512</c:v>
                  </c:pt>
                  <c:pt idx="4">
                    <c:v>0.533976995826535</c:v>
                  </c:pt>
                  <c:pt idx="5">
                    <c:v>0.63469111086446</c:v>
                  </c:pt>
                  <c:pt idx="6">
                    <c:v>0.164917677010841</c:v>
                  </c:pt>
                  <c:pt idx="7">
                    <c:v>0.387488039529649</c:v>
                  </c:pt>
                  <c:pt idx="8">
                    <c:v>0.281391273245025</c:v>
                  </c:pt>
                  <c:pt idx="9">
                    <c:v>0.0702390540033595</c:v>
                  </c:pt>
                  <c:pt idx="10">
                    <c:v>0.315349146231537</c:v>
                  </c:pt>
                  <c:pt idx="11">
                    <c:v>0.0724341584767254</c:v>
                  </c:pt>
                  <c:pt idx="12">
                    <c:v>0.20197753160787</c:v>
                  </c:pt>
                  <c:pt idx="13">
                    <c:v>0.251838695331155</c:v>
                  </c:pt>
                  <c:pt idx="14">
                    <c:v>0.44998704985511</c:v>
                  </c:pt>
                  <c:pt idx="15">
                    <c:v>0.425006456880733</c:v>
                  </c:pt>
                  <c:pt idx="16">
                    <c:v>0.284991695392135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14.11666666666667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47.61385382150129</c:v>
                </c:pt>
                <c:pt idx="1">
                  <c:v>47.99156521439236</c:v>
                </c:pt>
                <c:pt idx="2">
                  <c:v>47.08061420800805</c:v>
                </c:pt>
                <c:pt idx="3">
                  <c:v>47.21511060527873</c:v>
                </c:pt>
                <c:pt idx="4">
                  <c:v>46.61477719989021</c:v>
                </c:pt>
                <c:pt idx="5">
                  <c:v>46.36585588841431</c:v>
                </c:pt>
                <c:pt idx="6">
                  <c:v>45.75769049639461</c:v>
                </c:pt>
                <c:pt idx="7">
                  <c:v>44.35353340858512</c:v>
                </c:pt>
                <c:pt idx="8">
                  <c:v>43.7977149475025</c:v>
                </c:pt>
                <c:pt idx="9">
                  <c:v>42.09845690935395</c:v>
                </c:pt>
                <c:pt idx="10">
                  <c:v>39.61843278850297</c:v>
                </c:pt>
                <c:pt idx="11">
                  <c:v>38.94327322769371</c:v>
                </c:pt>
                <c:pt idx="12">
                  <c:v>39.61786591163249</c:v>
                </c:pt>
                <c:pt idx="13">
                  <c:v>41.99529055033592</c:v>
                </c:pt>
                <c:pt idx="14">
                  <c:v>48.39036642838715</c:v>
                </c:pt>
                <c:pt idx="15">
                  <c:v>48.29421771499223</c:v>
                </c:pt>
                <c:pt idx="16">
                  <c:v>48.23484444511888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0.0442766181148019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0.026220723534002</c:v>
                  </c:pt>
                  <c:pt idx="14">
                    <c:v>0.0535339772152536</c:v>
                  </c:pt>
                  <c:pt idx="15">
                    <c:v>0.0464744495663089</c:v>
                  </c:pt>
                  <c:pt idx="16">
                    <c:v>0.0804961079026447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0.0442766181148019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0.026220723534002</c:v>
                  </c:pt>
                  <c:pt idx="14">
                    <c:v>0.0535339772152536</c:v>
                  </c:pt>
                  <c:pt idx="15">
                    <c:v>0.0464744495663089</c:v>
                  </c:pt>
                  <c:pt idx="16">
                    <c:v>0.0804961079026447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14.11666666666667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0.354212944918415</c:v>
                </c:pt>
                <c:pt idx="11">
                  <c:v>0.846374947492684</c:v>
                </c:pt>
                <c:pt idx="12">
                  <c:v>1.528959667276285</c:v>
                </c:pt>
                <c:pt idx="13">
                  <c:v>2.01342605816347</c:v>
                </c:pt>
                <c:pt idx="14">
                  <c:v>3.260778824459919</c:v>
                </c:pt>
                <c:pt idx="15">
                  <c:v>3.253211469641647</c:v>
                </c:pt>
                <c:pt idx="16">
                  <c:v>3.253211469641647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'CO2'!$G$106:$G$202</c:f>
              <c:numCache>
                <c:formatCode>0.0</c:formatCode>
                <c:ptCount val="97"/>
                <c:pt idx="0">
                  <c:v>0.0</c:v>
                </c:pt>
                <c:pt idx="1">
                  <c:v>0.0860462680582725</c:v>
                </c:pt>
                <c:pt idx="2">
                  <c:v>0.35457321126443</c:v>
                </c:pt>
                <c:pt idx="3">
                  <c:v>0.71195856325646</c:v>
                </c:pt>
                <c:pt idx="4">
                  <c:v>1.064768374146018</c:v>
                </c:pt>
                <c:pt idx="5">
                  <c:v>1.41290710100622</c:v>
                </c:pt>
                <c:pt idx="6">
                  <c:v>1.749952416832978</c:v>
                </c:pt>
                <c:pt idx="7">
                  <c:v>2.081785760295848</c:v>
                </c:pt>
                <c:pt idx="8">
                  <c:v>2.407315028157088</c:v>
                </c:pt>
                <c:pt idx="9">
                  <c:v>2.728555987071738</c:v>
                </c:pt>
                <c:pt idx="10">
                  <c:v>3.06549604492628</c:v>
                </c:pt>
                <c:pt idx="11">
                  <c:v>3.433218451487763</c:v>
                </c:pt>
                <c:pt idx="12">
                  <c:v>3.84149302954784</c:v>
                </c:pt>
                <c:pt idx="13">
                  <c:v>4.307188540931569</c:v>
                </c:pt>
                <c:pt idx="14">
                  <c:v>4.80326713812012</c:v>
                </c:pt>
                <c:pt idx="15">
                  <c:v>5.291054390842755</c:v>
                </c:pt>
                <c:pt idx="16">
                  <c:v>5.776545584516691</c:v>
                </c:pt>
                <c:pt idx="17">
                  <c:v>6.286041198438093</c:v>
                </c:pt>
                <c:pt idx="18">
                  <c:v>6.863894430058272</c:v>
                </c:pt>
                <c:pt idx="19">
                  <c:v>7.540200374505963</c:v>
                </c:pt>
                <c:pt idx="20">
                  <c:v>8.351248977122702</c:v>
                </c:pt>
                <c:pt idx="21">
                  <c:v>9.345776451584622</c:v>
                </c:pt>
                <c:pt idx="22">
                  <c:v>10.57567913744796</c:v>
                </c:pt>
                <c:pt idx="23">
                  <c:v>12.14411725489876</c:v>
                </c:pt>
                <c:pt idx="24">
                  <c:v>14.17657121692383</c:v>
                </c:pt>
                <c:pt idx="25">
                  <c:v>16.7364730160535</c:v>
                </c:pt>
                <c:pt idx="26">
                  <c:v>19.90742279671129</c:v>
                </c:pt>
                <c:pt idx="27">
                  <c:v>23.72920723289268</c:v>
                </c:pt>
                <c:pt idx="28">
                  <c:v>28.00914504665712</c:v>
                </c:pt>
                <c:pt idx="29">
                  <c:v>32.6055929558272</c:v>
                </c:pt>
                <c:pt idx="30">
                  <c:v>37.58756287843155</c:v>
                </c:pt>
                <c:pt idx="31">
                  <c:v>42.99699358583134</c:v>
                </c:pt>
                <c:pt idx="32">
                  <c:v>48.68933699936238</c:v>
                </c:pt>
                <c:pt idx="33">
                  <c:v>54.41515260679506</c:v>
                </c:pt>
                <c:pt idx="34">
                  <c:v>60.30329555445483</c:v>
                </c:pt>
                <c:pt idx="35">
                  <c:v>66.43779902255991</c:v>
                </c:pt>
                <c:pt idx="36">
                  <c:v>72.79762635274818</c:v>
                </c:pt>
                <c:pt idx="37">
                  <c:v>79.27488759379557</c:v>
                </c:pt>
                <c:pt idx="38">
                  <c:v>85.71848929448468</c:v>
                </c:pt>
                <c:pt idx="39">
                  <c:v>92.13874720297792</c:v>
                </c:pt>
                <c:pt idx="40">
                  <c:v>98.47475088710986</c:v>
                </c:pt>
                <c:pt idx="41">
                  <c:v>104.7137675770027</c:v>
                </c:pt>
                <c:pt idx="42">
                  <c:v>110.7769779203754</c:v>
                </c:pt>
                <c:pt idx="43">
                  <c:v>115.6960540255535</c:v>
                </c:pt>
                <c:pt idx="44">
                  <c:v>118.790446647805</c:v>
                </c:pt>
                <c:pt idx="45">
                  <c:v>120.6366308867564</c:v>
                </c:pt>
                <c:pt idx="46">
                  <c:v>121.7421481771047</c:v>
                </c:pt>
                <c:pt idx="47">
                  <c:v>122.4195453559464</c:v>
                </c:pt>
                <c:pt idx="48">
                  <c:v>122.8615000995696</c:v>
                </c:pt>
                <c:pt idx="49">
                  <c:v>123.1577180116658</c:v>
                </c:pt>
                <c:pt idx="50">
                  <c:v>123.3634163600398</c:v>
                </c:pt>
                <c:pt idx="51">
                  <c:v>123.5180151323983</c:v>
                </c:pt>
                <c:pt idx="52">
                  <c:v>123.6365205370299</c:v>
                </c:pt>
                <c:pt idx="53">
                  <c:v>123.7317279724037</c:v>
                </c:pt>
                <c:pt idx="54">
                  <c:v>123.8128503702471</c:v>
                </c:pt>
                <c:pt idx="55">
                  <c:v>123.8842793585925</c:v>
                </c:pt>
                <c:pt idx="56">
                  <c:v>123.9504365570782</c:v>
                </c:pt>
                <c:pt idx="57">
                  <c:v>124.0140040721904</c:v>
                </c:pt>
                <c:pt idx="58">
                  <c:v>124.0750431112884</c:v>
                </c:pt>
                <c:pt idx="59">
                  <c:v>124.1315779008129</c:v>
                </c:pt>
                <c:pt idx="60">
                  <c:v>124.1918872701009</c:v>
                </c:pt>
                <c:pt idx="61">
                  <c:v>124.255300184573</c:v>
                </c:pt>
                <c:pt idx="62">
                  <c:v>124.3120965519506</c:v>
                </c:pt>
                <c:pt idx="63">
                  <c:v>124.3626791695048</c:v>
                </c:pt>
                <c:pt idx="64">
                  <c:v>124.4081796437853</c:v>
                </c:pt>
                <c:pt idx="65">
                  <c:v>124.4499579849638</c:v>
                </c:pt>
                <c:pt idx="66">
                  <c:v>124.4893748539349</c:v>
                </c:pt>
                <c:pt idx="67">
                  <c:v>124.5261693109478</c:v>
                </c:pt>
                <c:pt idx="68">
                  <c:v>124.5607545648347</c:v>
                </c:pt>
                <c:pt idx="69">
                  <c:v>124.593870487158</c:v>
                </c:pt>
                <c:pt idx="70">
                  <c:v>124.6256257485867</c:v>
                </c:pt>
                <c:pt idx="71">
                  <c:v>124.6566196646083</c:v>
                </c:pt>
                <c:pt idx="72">
                  <c:v>124.6859269077278</c:v>
                </c:pt>
                <c:pt idx="73">
                  <c:v>124.7135800140736</c:v>
                </c:pt>
                <c:pt idx="74">
                  <c:v>124.7396876543151</c:v>
                </c:pt>
                <c:pt idx="75">
                  <c:v>124.7653163627449</c:v>
                </c:pt>
                <c:pt idx="76">
                  <c:v>124.7911741255194</c:v>
                </c:pt>
                <c:pt idx="77">
                  <c:v>124.816977227598</c:v>
                </c:pt>
                <c:pt idx="78">
                  <c:v>124.844640745505</c:v>
                </c:pt>
                <c:pt idx="79">
                  <c:v>124.8728378559196</c:v>
                </c:pt>
                <c:pt idx="80">
                  <c:v>124.8987606909512</c:v>
                </c:pt>
                <c:pt idx="81">
                  <c:v>124.9227242003237</c:v>
                </c:pt>
                <c:pt idx="82">
                  <c:v>124.945653711532</c:v>
                </c:pt>
                <c:pt idx="83">
                  <c:v>124.9676149475558</c:v>
                </c:pt>
                <c:pt idx="84">
                  <c:v>124.9884120409014</c:v>
                </c:pt>
                <c:pt idx="85">
                  <c:v>125.008218734495</c:v>
                </c:pt>
                <c:pt idx="86">
                  <c:v>125.0271326367222</c:v>
                </c:pt>
                <c:pt idx="87">
                  <c:v>125.0363826580585</c:v>
                </c:pt>
                <c:pt idx="88">
                  <c:v>125.0363826580585</c:v>
                </c:pt>
                <c:pt idx="89">
                  <c:v>125.0363826580585</c:v>
                </c:pt>
                <c:pt idx="90">
                  <c:v>125.0363826580585</c:v>
                </c:pt>
                <c:pt idx="91">
                  <c:v>125.0463185409839</c:v>
                </c:pt>
                <c:pt idx="92">
                  <c:v>125.0562544239092</c:v>
                </c:pt>
                <c:pt idx="93">
                  <c:v>125.0562544239092</c:v>
                </c:pt>
                <c:pt idx="94">
                  <c:v>125.0562544239092</c:v>
                </c:pt>
                <c:pt idx="95">
                  <c:v>125.0562544239092</c:v>
                </c:pt>
                <c:pt idx="96">
                  <c:v>125.0562544239092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8FD65"/>
              </a:solidFill>
            </a:ln>
          </c:spPr>
          <c:marker>
            <c:symbol val="circle"/>
            <c:size val="8"/>
            <c:spPr>
              <a:solidFill>
                <a:srgbClr val="68FD65"/>
              </a:solidFill>
              <a:ln>
                <a:solidFill>
                  <a:srgbClr val="68FD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0.463507159105387</c:v>
                  </c:pt>
                  <c:pt idx="1">
                    <c:v>0.716852498902363</c:v>
                  </c:pt>
                  <c:pt idx="2">
                    <c:v>0.834423315403414</c:v>
                  </c:pt>
                  <c:pt idx="3">
                    <c:v>0.844452244806124</c:v>
                  </c:pt>
                  <c:pt idx="4">
                    <c:v>0.890467559947665</c:v>
                  </c:pt>
                  <c:pt idx="5">
                    <c:v>0.857004685930642</c:v>
                  </c:pt>
                  <c:pt idx="6">
                    <c:v>0.360975543664785</c:v>
                  </c:pt>
                  <c:pt idx="7">
                    <c:v>1.051353045265748</c:v>
                  </c:pt>
                  <c:pt idx="8">
                    <c:v>0.58498227803685</c:v>
                  </c:pt>
                  <c:pt idx="9">
                    <c:v>0.0687180184179731</c:v>
                  </c:pt>
                  <c:pt idx="10">
                    <c:v>0.20372899189801</c:v>
                  </c:pt>
                  <c:pt idx="11">
                    <c:v>0.0328549777647127</c:v>
                  </c:pt>
                  <c:pt idx="12">
                    <c:v>0.17399361270995</c:v>
                  </c:pt>
                  <c:pt idx="13">
                    <c:v>0.129384332332804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0.463507159105387</c:v>
                  </c:pt>
                  <c:pt idx="1">
                    <c:v>0.716852498902363</c:v>
                  </c:pt>
                  <c:pt idx="2">
                    <c:v>0.834423315403414</c:v>
                  </c:pt>
                  <c:pt idx="3">
                    <c:v>0.844452244806124</c:v>
                  </c:pt>
                  <c:pt idx="4">
                    <c:v>0.890467559947665</c:v>
                  </c:pt>
                  <c:pt idx="5">
                    <c:v>0.857004685930642</c:v>
                  </c:pt>
                  <c:pt idx="6">
                    <c:v>0.360975543664785</c:v>
                  </c:pt>
                  <c:pt idx="7">
                    <c:v>1.051353045265748</c:v>
                  </c:pt>
                  <c:pt idx="8">
                    <c:v>0.58498227803685</c:v>
                  </c:pt>
                  <c:pt idx="9">
                    <c:v>0.0687180184179731</c:v>
                  </c:pt>
                  <c:pt idx="10">
                    <c:v>0.20372899189801</c:v>
                  </c:pt>
                  <c:pt idx="11">
                    <c:v>0.0328549777647127</c:v>
                  </c:pt>
                  <c:pt idx="12">
                    <c:v>0.17399361270995</c:v>
                  </c:pt>
                  <c:pt idx="13">
                    <c:v>0.129384332332804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14.11666666666667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78.27078684094668</c:v>
                </c:pt>
                <c:pt idx="1">
                  <c:v>80.25551300930452</c:v>
                </c:pt>
                <c:pt idx="2">
                  <c:v>79.49642930685424</c:v>
                </c:pt>
                <c:pt idx="3">
                  <c:v>80.1141222083678</c:v>
                </c:pt>
                <c:pt idx="4">
                  <c:v>79.4100665552878</c:v>
                </c:pt>
                <c:pt idx="5">
                  <c:v>77.64699238690783</c:v>
                </c:pt>
                <c:pt idx="6">
                  <c:v>76.8380456693492</c:v>
                </c:pt>
                <c:pt idx="7">
                  <c:v>74.02988737262544</c:v>
                </c:pt>
                <c:pt idx="8">
                  <c:v>71.55317323934865</c:v>
                </c:pt>
                <c:pt idx="9">
                  <c:v>64.38318354507862</c:v>
                </c:pt>
                <c:pt idx="10">
                  <c:v>54.65426342336788</c:v>
                </c:pt>
                <c:pt idx="11">
                  <c:v>46.00700090454305</c:v>
                </c:pt>
                <c:pt idx="12">
                  <c:v>33.70625330202598</c:v>
                </c:pt>
                <c:pt idx="13">
                  <c:v>21.51670203372953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0.255299056868781</c:v>
                  </c:pt>
                  <c:pt idx="1">
                    <c:v>0.102422299717793</c:v>
                  </c:pt>
                  <c:pt idx="2">
                    <c:v>0.0472825925812126</c:v>
                  </c:pt>
                  <c:pt idx="3">
                    <c:v>0.0601390876982511</c:v>
                  </c:pt>
                  <c:pt idx="4">
                    <c:v>0.0601390876982511</c:v>
                  </c:pt>
                  <c:pt idx="5">
                    <c:v>0.118298301041756</c:v>
                  </c:pt>
                  <c:pt idx="6">
                    <c:v>0.0862636473990467</c:v>
                  </c:pt>
                  <c:pt idx="7">
                    <c:v>0.211711023287946</c:v>
                  </c:pt>
                  <c:pt idx="8">
                    <c:v>0.429234578759856</c:v>
                  </c:pt>
                  <c:pt idx="9">
                    <c:v>0.406410185302562</c:v>
                  </c:pt>
                  <c:pt idx="10">
                    <c:v>0.266087725594534</c:v>
                  </c:pt>
                  <c:pt idx="11">
                    <c:v>0.0232715318967847</c:v>
                  </c:pt>
                  <c:pt idx="12">
                    <c:v>0.275309290047729</c:v>
                  </c:pt>
                  <c:pt idx="13">
                    <c:v>0.28766017466431</c:v>
                  </c:pt>
                  <c:pt idx="14">
                    <c:v>0.764501329938993</c:v>
                  </c:pt>
                  <c:pt idx="15">
                    <c:v>0.55222397725335</c:v>
                  </c:pt>
                  <c:pt idx="16">
                    <c:v>0.459593241084258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0.255299056868781</c:v>
                  </c:pt>
                  <c:pt idx="1">
                    <c:v>0.102422299717793</c:v>
                  </c:pt>
                  <c:pt idx="2">
                    <c:v>0.0472825925812126</c:v>
                  </c:pt>
                  <c:pt idx="3">
                    <c:v>0.0601390876982511</c:v>
                  </c:pt>
                  <c:pt idx="4">
                    <c:v>0.0601390876982511</c:v>
                  </c:pt>
                  <c:pt idx="5">
                    <c:v>0.118298301041756</c:v>
                  </c:pt>
                  <c:pt idx="6">
                    <c:v>0.0862636473990467</c:v>
                  </c:pt>
                  <c:pt idx="7">
                    <c:v>0.211711023287946</c:v>
                  </c:pt>
                  <c:pt idx="8">
                    <c:v>0.429234578759856</c:v>
                  </c:pt>
                  <c:pt idx="9">
                    <c:v>0.406410185302562</c:v>
                  </c:pt>
                  <c:pt idx="10">
                    <c:v>0.266087725594534</c:v>
                  </c:pt>
                  <c:pt idx="11">
                    <c:v>0.0232715318967847</c:v>
                  </c:pt>
                  <c:pt idx="12">
                    <c:v>0.275309290047729</c:v>
                  </c:pt>
                  <c:pt idx="13">
                    <c:v>0.28766017466431</c:v>
                  </c:pt>
                  <c:pt idx="14">
                    <c:v>0.764501329938993</c:v>
                  </c:pt>
                  <c:pt idx="15">
                    <c:v>0.55222397725335</c:v>
                  </c:pt>
                  <c:pt idx="16">
                    <c:v>0.459593241084258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14.11666666666667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2.506091779115884</c:v>
                </c:pt>
                <c:pt idx="1">
                  <c:v>3.52821380383082</c:v>
                </c:pt>
                <c:pt idx="2">
                  <c:v>4.239913584002704</c:v>
                </c:pt>
                <c:pt idx="3">
                  <c:v>5.114348682553162</c:v>
                </c:pt>
                <c:pt idx="4">
                  <c:v>5.841722717405167</c:v>
                </c:pt>
                <c:pt idx="5">
                  <c:v>6.602290408609546</c:v>
                </c:pt>
                <c:pt idx="6">
                  <c:v>7.959655004914604</c:v>
                </c:pt>
                <c:pt idx="7">
                  <c:v>10.01032948137161</c:v>
                </c:pt>
                <c:pt idx="8">
                  <c:v>13.63662571725847</c:v>
                </c:pt>
                <c:pt idx="9">
                  <c:v>19.9070134723855</c:v>
                </c:pt>
                <c:pt idx="10">
                  <c:v>28.53566814391803</c:v>
                </c:pt>
                <c:pt idx="11">
                  <c:v>36.44321895036479</c:v>
                </c:pt>
                <c:pt idx="12">
                  <c:v>45.8734072375588</c:v>
                </c:pt>
                <c:pt idx="13">
                  <c:v>54.21347887846517</c:v>
                </c:pt>
                <c:pt idx="14">
                  <c:v>67.66288341095436</c:v>
                </c:pt>
                <c:pt idx="15">
                  <c:v>68.98461021825451</c:v>
                </c:pt>
                <c:pt idx="16">
                  <c:v>71.46106384645557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'H2'!$G$107:$G$203</c:f>
              <c:numCache>
                <c:formatCode>0.0</c:formatCode>
                <c:ptCount val="97"/>
                <c:pt idx="0">
                  <c:v>0.00019012748623987</c:v>
                </c:pt>
                <c:pt idx="1">
                  <c:v>0.0206278622188308</c:v>
                </c:pt>
                <c:pt idx="2">
                  <c:v>0.171399282153112</c:v>
                </c:pt>
                <c:pt idx="3">
                  <c:v>0.572035727150127</c:v>
                </c:pt>
                <c:pt idx="4">
                  <c:v>1.077012330113978</c:v>
                </c:pt>
                <c:pt idx="5">
                  <c:v>1.512025427348688</c:v>
                </c:pt>
                <c:pt idx="6">
                  <c:v>1.893745618837544</c:v>
                </c:pt>
                <c:pt idx="7">
                  <c:v>2.22366300630069</c:v>
                </c:pt>
                <c:pt idx="8">
                  <c:v>2.513190730030345</c:v>
                </c:pt>
                <c:pt idx="9">
                  <c:v>2.904188158104143</c:v>
                </c:pt>
                <c:pt idx="10">
                  <c:v>3.404987514799827</c:v>
                </c:pt>
                <c:pt idx="11">
                  <c:v>3.956271618009579</c:v>
                </c:pt>
                <c:pt idx="12">
                  <c:v>4.639385465139081</c:v>
                </c:pt>
                <c:pt idx="13">
                  <c:v>5.510926934126686</c:v>
                </c:pt>
                <c:pt idx="14">
                  <c:v>6.302819453968778</c:v>
                </c:pt>
                <c:pt idx="15">
                  <c:v>6.839776662411934</c:v>
                </c:pt>
                <c:pt idx="16">
                  <c:v>7.335158797413303</c:v>
                </c:pt>
                <c:pt idx="17">
                  <c:v>7.916384115377507</c:v>
                </c:pt>
                <c:pt idx="18">
                  <c:v>8.662492915646655</c:v>
                </c:pt>
                <c:pt idx="19">
                  <c:v>9.649904561869451</c:v>
                </c:pt>
                <c:pt idx="20">
                  <c:v>10.96165000818035</c:v>
                </c:pt>
                <c:pt idx="21">
                  <c:v>12.73453892959033</c:v>
                </c:pt>
                <c:pt idx="22">
                  <c:v>15.12835330011711</c:v>
                </c:pt>
                <c:pt idx="23">
                  <c:v>18.42300782584242</c:v>
                </c:pt>
                <c:pt idx="24">
                  <c:v>22.84952015363064</c:v>
                </c:pt>
                <c:pt idx="25">
                  <c:v>28.28917539874511</c:v>
                </c:pt>
                <c:pt idx="26">
                  <c:v>34.71886698223702</c:v>
                </c:pt>
                <c:pt idx="27">
                  <c:v>42.00371356299003</c:v>
                </c:pt>
                <c:pt idx="28">
                  <c:v>49.6239908586132</c:v>
                </c:pt>
                <c:pt idx="29">
                  <c:v>57.4543191503773</c:v>
                </c:pt>
                <c:pt idx="30">
                  <c:v>65.90065192609981</c:v>
                </c:pt>
                <c:pt idx="31">
                  <c:v>75.49681899280634</c:v>
                </c:pt>
                <c:pt idx="32">
                  <c:v>86.00521419966182</c:v>
                </c:pt>
                <c:pt idx="33">
                  <c:v>96.84206121872563</c:v>
                </c:pt>
                <c:pt idx="34">
                  <c:v>109.193176896094</c:v>
                </c:pt>
                <c:pt idx="35">
                  <c:v>122.1058021320738</c:v>
                </c:pt>
                <c:pt idx="36">
                  <c:v>136.6443587673546</c:v>
                </c:pt>
                <c:pt idx="37">
                  <c:v>151.4282765540092</c:v>
                </c:pt>
                <c:pt idx="38">
                  <c:v>163.9975382253033</c:v>
                </c:pt>
                <c:pt idx="39">
                  <c:v>176.4317042601185</c:v>
                </c:pt>
                <c:pt idx="40">
                  <c:v>188.5562230843137</c:v>
                </c:pt>
                <c:pt idx="41">
                  <c:v>200.3264620388593</c:v>
                </c:pt>
                <c:pt idx="42">
                  <c:v>213.3760873576698</c:v>
                </c:pt>
                <c:pt idx="43">
                  <c:v>221.9932843610526</c:v>
                </c:pt>
                <c:pt idx="44">
                  <c:v>223.7301663318403</c:v>
                </c:pt>
                <c:pt idx="45">
                  <c:v>224.2169055023739</c:v>
                </c:pt>
                <c:pt idx="46">
                  <c:v>224.375588232384</c:v>
                </c:pt>
                <c:pt idx="47">
                  <c:v>224.4404034796411</c:v>
                </c:pt>
                <c:pt idx="48">
                  <c:v>224.4740164489713</c:v>
                </c:pt>
                <c:pt idx="49">
                  <c:v>224.496160047432</c:v>
                </c:pt>
                <c:pt idx="50">
                  <c:v>224.5138336724403</c:v>
                </c:pt>
                <c:pt idx="51">
                  <c:v>224.52554753687</c:v>
                </c:pt>
                <c:pt idx="52">
                  <c:v>224.5319179988297</c:v>
                </c:pt>
                <c:pt idx="53">
                  <c:v>224.5361309013728</c:v>
                </c:pt>
                <c:pt idx="54">
                  <c:v>224.5374670580271</c:v>
                </c:pt>
                <c:pt idx="55">
                  <c:v>224.5377755431182</c:v>
                </c:pt>
                <c:pt idx="56">
                  <c:v>224.5408579457344</c:v>
                </c:pt>
                <c:pt idx="57">
                  <c:v>224.5467662921311</c:v>
                </c:pt>
                <c:pt idx="58">
                  <c:v>224.5495922359117</c:v>
                </c:pt>
                <c:pt idx="59">
                  <c:v>224.551852623692</c:v>
                </c:pt>
                <c:pt idx="60">
                  <c:v>224.554222332864</c:v>
                </c:pt>
                <c:pt idx="61">
                  <c:v>224.5572813796668</c:v>
                </c:pt>
                <c:pt idx="62">
                  <c:v>224.5612143468815</c:v>
                </c:pt>
                <c:pt idx="63">
                  <c:v>224.5624162314688</c:v>
                </c:pt>
                <c:pt idx="64">
                  <c:v>224.5626895349483</c:v>
                </c:pt>
                <c:pt idx="65">
                  <c:v>224.5630721598196</c:v>
                </c:pt>
                <c:pt idx="66">
                  <c:v>224.5636734274745</c:v>
                </c:pt>
                <c:pt idx="67">
                  <c:v>224.5643293558253</c:v>
                </c:pt>
                <c:pt idx="68">
                  <c:v>224.567443063324</c:v>
                </c:pt>
                <c:pt idx="69">
                  <c:v>224.5711027270592</c:v>
                </c:pt>
                <c:pt idx="70">
                  <c:v>224.5721952902547</c:v>
                </c:pt>
                <c:pt idx="71">
                  <c:v>224.5724685937342</c:v>
                </c:pt>
                <c:pt idx="72">
                  <c:v>224.5769475171853</c:v>
                </c:pt>
                <c:pt idx="73">
                  <c:v>224.5857960426957</c:v>
                </c:pt>
                <c:pt idx="74">
                  <c:v>224.5940439512738</c:v>
                </c:pt>
                <c:pt idx="75">
                  <c:v>224.6021278777641</c:v>
                </c:pt>
                <c:pt idx="76">
                  <c:v>224.6105937784033</c:v>
                </c:pt>
                <c:pt idx="77">
                  <c:v>224.6157826401786</c:v>
                </c:pt>
                <c:pt idx="78">
                  <c:v>224.6182950800223</c:v>
                </c:pt>
                <c:pt idx="79">
                  <c:v>224.6199335994542</c:v>
                </c:pt>
                <c:pt idx="80">
                  <c:v>224.6213541268251</c:v>
                </c:pt>
                <c:pt idx="81">
                  <c:v>224.6230479576755</c:v>
                </c:pt>
                <c:pt idx="82">
                  <c:v>224.6274182104574</c:v>
                </c:pt>
                <c:pt idx="83">
                  <c:v>224.6316791418475</c:v>
                </c:pt>
                <c:pt idx="84">
                  <c:v>224.6324443915901</c:v>
                </c:pt>
                <c:pt idx="85">
                  <c:v>224.6356674204806</c:v>
                </c:pt>
                <c:pt idx="86">
                  <c:v>224.6390537807363</c:v>
                </c:pt>
                <c:pt idx="87">
                  <c:v>224.6396543976686</c:v>
                </c:pt>
                <c:pt idx="88">
                  <c:v>224.6401456932092</c:v>
                </c:pt>
                <c:pt idx="89">
                  <c:v>224.6406369887497</c:v>
                </c:pt>
                <c:pt idx="90">
                  <c:v>224.641019613621</c:v>
                </c:pt>
                <c:pt idx="91">
                  <c:v>224.6421668375124</c:v>
                </c:pt>
                <c:pt idx="92">
                  <c:v>224.6429314365325</c:v>
                </c:pt>
                <c:pt idx="93">
                  <c:v>224.6432594007079</c:v>
                </c:pt>
                <c:pt idx="94">
                  <c:v>224.6456085091865</c:v>
                </c:pt>
                <c:pt idx="95">
                  <c:v>224.6482302704221</c:v>
                </c:pt>
                <c:pt idx="96">
                  <c:v>224.6497150953372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82840"/>
        <c:axId val="211562732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10754.0</c:v>
                </c:pt>
                <c:pt idx="1">
                  <c:v>9861.0</c:v>
                </c:pt>
                <c:pt idx="2">
                  <c:v>12099.0</c:v>
                </c:pt>
                <c:pt idx="3">
                  <c:v>14362.0</c:v>
                </c:pt>
                <c:pt idx="4">
                  <c:v>11486.0</c:v>
                </c:pt>
                <c:pt idx="5">
                  <c:v>14582.0</c:v>
                </c:pt>
                <c:pt idx="6">
                  <c:v>17732.0</c:v>
                </c:pt>
                <c:pt idx="7">
                  <c:v>39363.0</c:v>
                </c:pt>
                <c:pt idx="8">
                  <c:v>93203.0</c:v>
                </c:pt>
                <c:pt idx="9">
                  <c:v>15325.0</c:v>
                </c:pt>
              </c:numCache>
            </c:numRef>
          </c:yVal>
          <c:smooth val="0"/>
        </c:ser>
        <c:ser>
          <c:idx val="5"/>
          <c:order val="8"/>
          <c:tx>
            <c:v>OD600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0.00924164575891835</c:v>
                  </c:pt>
                  <c:pt idx="3">
                    <c:v>0.0937924606902566</c:v>
                  </c:pt>
                  <c:pt idx="4">
                    <c:v>1.36033484174105E-16</c:v>
                  </c:pt>
                  <c:pt idx="5">
                    <c:v>0.016007</c:v>
                  </c:pt>
                  <c:pt idx="6">
                    <c:v>0.00924164575891835</c:v>
                  </c:pt>
                  <c:pt idx="7">
                    <c:v>0.0184832915178367</c:v>
                  </c:pt>
                  <c:pt idx="8">
                    <c:v>0.0333212276534544</c:v>
                  </c:pt>
                  <c:pt idx="9">
                    <c:v>0.11579748945609</c:v>
                  </c:pt>
                  <c:pt idx="10">
                    <c:v>0.0554498745535101</c:v>
                  </c:pt>
                  <c:pt idx="11">
                    <c:v>0.240282789731877</c:v>
                  </c:pt>
                  <c:pt idx="12">
                    <c:v>0.242406095709933</c:v>
                  </c:pt>
                  <c:pt idx="13">
                    <c:v>0.279702954867004</c:v>
                  </c:pt>
                  <c:pt idx="14">
                    <c:v>0.573875692969595</c:v>
                  </c:pt>
                  <c:pt idx="15">
                    <c:v>0.276014402829514</c:v>
                  </c:pt>
                  <c:pt idx="16">
                    <c:v>0.032014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0.00924164575891835</c:v>
                  </c:pt>
                  <c:pt idx="3">
                    <c:v>0.0937924606902566</c:v>
                  </c:pt>
                  <c:pt idx="4">
                    <c:v>1.36033484174105E-16</c:v>
                  </c:pt>
                  <c:pt idx="5">
                    <c:v>0.016007</c:v>
                  </c:pt>
                  <c:pt idx="6">
                    <c:v>0.00924164575891835</c:v>
                  </c:pt>
                  <c:pt idx="7">
                    <c:v>0.0184832915178367</c:v>
                  </c:pt>
                  <c:pt idx="8">
                    <c:v>0.0333212276534544</c:v>
                  </c:pt>
                  <c:pt idx="9">
                    <c:v>0.11579748945609</c:v>
                  </c:pt>
                  <c:pt idx="10">
                    <c:v>0.0554498745535101</c:v>
                  </c:pt>
                  <c:pt idx="11">
                    <c:v>0.240282789731877</c:v>
                  </c:pt>
                  <c:pt idx="12">
                    <c:v>0.242406095709933</c:v>
                  </c:pt>
                  <c:pt idx="13">
                    <c:v>0.279702954867004</c:v>
                  </c:pt>
                  <c:pt idx="14">
                    <c:v>0.573875692969595</c:v>
                  </c:pt>
                  <c:pt idx="15">
                    <c:v>0.276014402829514</c:v>
                  </c:pt>
                  <c:pt idx="16">
                    <c:v>0.032014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14.11666666666667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0.3291491</c:v>
                </c:pt>
                <c:pt idx="1">
                  <c:v>0.4460002</c:v>
                </c:pt>
                <c:pt idx="2">
                  <c:v>0.415566666666667</c:v>
                </c:pt>
                <c:pt idx="3">
                  <c:v>0.495601666666667</c:v>
                </c:pt>
                <c:pt idx="4">
                  <c:v>0.570301</c:v>
                </c:pt>
                <c:pt idx="5">
                  <c:v>0.634329</c:v>
                </c:pt>
                <c:pt idx="6">
                  <c:v>0.869098333333333</c:v>
                </c:pt>
                <c:pt idx="7">
                  <c:v>1.231923666666667</c:v>
                </c:pt>
                <c:pt idx="8">
                  <c:v>1.989588333333334</c:v>
                </c:pt>
                <c:pt idx="9">
                  <c:v>3.520924666666667</c:v>
                </c:pt>
                <c:pt idx="10">
                  <c:v>4.822211999999999</c:v>
                </c:pt>
                <c:pt idx="11">
                  <c:v>5.857331333333333</c:v>
                </c:pt>
                <c:pt idx="12">
                  <c:v>7.265947333333333</c:v>
                </c:pt>
                <c:pt idx="13">
                  <c:v>8.525164666666666</c:v>
                </c:pt>
                <c:pt idx="14">
                  <c:v>6.689695333333332</c:v>
                </c:pt>
                <c:pt idx="15">
                  <c:v>4.512743333333333</c:v>
                </c:pt>
                <c:pt idx="16">
                  <c:v>1.556784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20360"/>
        <c:axId val="2075455832"/>
      </c:scatterChart>
      <c:valAx>
        <c:axId val="211548284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5627320"/>
        <c:crosses val="autoZero"/>
        <c:crossBetween val="midCat"/>
        <c:majorUnit val="6.0"/>
      </c:valAx>
      <c:valAx>
        <c:axId val="2115627320"/>
        <c:scaling>
          <c:orientation val="minMax"/>
          <c:max val="15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5482840"/>
        <c:crosses val="autoZero"/>
        <c:crossBetween val="midCat"/>
      </c:valAx>
      <c:valAx>
        <c:axId val="2075455832"/>
        <c:scaling>
          <c:orientation val="minMax"/>
          <c:max val="9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 600 nm)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12320360"/>
        <c:crosses val="max"/>
        <c:crossBetween val="midCat"/>
        <c:majorUnit val="1.0"/>
        <c:minorUnit val="0.2"/>
      </c:valAx>
      <c:valAx>
        <c:axId val="2112320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545583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73100" y="3733800"/>
    <xdr:ext cx="9296400" cy="6070600"/>
    <xdr:graphicFrame macro="">
      <xdr:nvGraphicFramePr>
        <xdr:cNvPr id="3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73100" y="10312400"/>
    <xdr:ext cx="9296400" cy="6070600"/>
    <xdr:graphicFrame macro="">
      <xdr:nvGraphicFramePr>
        <xdr:cNvPr id="4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H8" sqref="H8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26.5" style="2" bestFit="1" customWidth="1"/>
    <col min="4" max="16384" width="8.83203125" style="2"/>
  </cols>
  <sheetData>
    <row r="1" spans="1:3">
      <c r="A1" s="93" t="s">
        <v>0</v>
      </c>
      <c r="B1" s="94"/>
      <c r="C1" s="34">
        <v>41788</v>
      </c>
    </row>
    <row r="2" spans="1:3" ht="16">
      <c r="A2" s="93" t="s">
        <v>1</v>
      </c>
      <c r="B2" s="95"/>
      <c r="C2" s="32" t="s">
        <v>116</v>
      </c>
    </row>
    <row r="3" spans="1:3">
      <c r="A3" s="11"/>
      <c r="B3" s="11"/>
      <c r="C3" s="10"/>
    </row>
    <row r="4" spans="1:3">
      <c r="A4" s="96" t="s">
        <v>48</v>
      </c>
      <c r="B4" s="96"/>
      <c r="C4" s="7" t="s">
        <v>95</v>
      </c>
    </row>
    <row r="6" spans="1:3">
      <c r="A6" s="42" t="s">
        <v>82</v>
      </c>
      <c r="B6" s="42" t="s">
        <v>83</v>
      </c>
      <c r="C6" s="42" t="s">
        <v>68</v>
      </c>
    </row>
    <row r="7" spans="1:3">
      <c r="A7" s="38" t="s">
        <v>84</v>
      </c>
      <c r="B7" s="83">
        <v>6.5</v>
      </c>
      <c r="C7" s="38" t="s">
        <v>91</v>
      </c>
    </row>
    <row r="8" spans="1:3">
      <c r="A8" s="38" t="s">
        <v>85</v>
      </c>
      <c r="B8" s="83">
        <v>5</v>
      </c>
      <c r="C8" s="38" t="s">
        <v>91</v>
      </c>
    </row>
    <row r="9" spans="1:3">
      <c r="A9" s="38" t="s">
        <v>86</v>
      </c>
      <c r="B9" s="83">
        <v>2.5</v>
      </c>
      <c r="C9" s="38" t="s">
        <v>91</v>
      </c>
    </row>
    <row r="10" spans="1:3">
      <c r="A10" s="38" t="s">
        <v>87</v>
      </c>
      <c r="B10" s="83">
        <v>3</v>
      </c>
      <c r="C10" s="38" t="s">
        <v>91</v>
      </c>
    </row>
    <row r="11" spans="1:3">
      <c r="A11" s="30" t="s">
        <v>88</v>
      </c>
      <c r="B11" s="84">
        <v>6.8</v>
      </c>
      <c r="C11" s="30" t="s">
        <v>91</v>
      </c>
    </row>
    <row r="12" spans="1:3">
      <c r="A12" s="38" t="s">
        <v>72</v>
      </c>
      <c r="B12" s="83">
        <v>4.5</v>
      </c>
      <c r="C12" s="38" t="s">
        <v>91</v>
      </c>
    </row>
    <row r="13" spans="1:3" ht="16">
      <c r="A13" s="41" t="s">
        <v>76</v>
      </c>
      <c r="B13" s="83">
        <v>1</v>
      </c>
      <c r="C13" s="38" t="s">
        <v>91</v>
      </c>
    </row>
    <row r="14" spans="1:3" ht="16">
      <c r="A14" s="10" t="s">
        <v>75</v>
      </c>
      <c r="B14" s="83">
        <v>1</v>
      </c>
      <c r="C14" s="38" t="s">
        <v>91</v>
      </c>
    </row>
    <row r="15" spans="1:3" ht="16">
      <c r="A15" s="68" t="s">
        <v>143</v>
      </c>
      <c r="B15" s="85">
        <v>2</v>
      </c>
      <c r="C15" s="68" t="s">
        <v>91</v>
      </c>
    </row>
    <row r="16" spans="1:3" ht="16">
      <c r="A16" s="38" t="s">
        <v>96</v>
      </c>
      <c r="B16" s="83">
        <v>1</v>
      </c>
      <c r="C16" s="38" t="s">
        <v>91</v>
      </c>
    </row>
    <row r="17" spans="1:3" ht="16">
      <c r="A17" s="38" t="s">
        <v>97</v>
      </c>
      <c r="B17" s="83">
        <v>1</v>
      </c>
      <c r="C17" s="38" t="s">
        <v>91</v>
      </c>
    </row>
    <row r="18" spans="1:3" ht="16">
      <c r="A18" s="38" t="s">
        <v>98</v>
      </c>
      <c r="B18" s="83">
        <v>0.4</v>
      </c>
      <c r="C18" s="38" t="s">
        <v>91</v>
      </c>
    </row>
    <row r="19" spans="1:3" ht="16">
      <c r="A19" s="38" t="s">
        <v>74</v>
      </c>
      <c r="B19" s="83">
        <v>0.2</v>
      </c>
      <c r="C19" s="38" t="s">
        <v>91</v>
      </c>
    </row>
    <row r="20" spans="1:3" ht="16">
      <c r="A20" s="38" t="s">
        <v>99</v>
      </c>
      <c r="B20" s="83">
        <v>0.1</v>
      </c>
      <c r="C20" s="38" t="s">
        <v>91</v>
      </c>
    </row>
    <row r="21" spans="1:3" ht="16">
      <c r="A21" s="38" t="s">
        <v>100</v>
      </c>
      <c r="B21" s="38">
        <v>0.05</v>
      </c>
      <c r="C21" s="38" t="s">
        <v>91</v>
      </c>
    </row>
    <row r="22" spans="1:3" ht="16">
      <c r="A22" s="38" t="s">
        <v>101</v>
      </c>
      <c r="B22" s="38">
        <v>5.0000000000000001E-3</v>
      </c>
      <c r="C22" s="38" t="s">
        <v>91</v>
      </c>
    </row>
    <row r="23" spans="1:3" ht="16">
      <c r="A23" s="38" t="s">
        <v>102</v>
      </c>
      <c r="B23" s="38">
        <v>5.0000000000000001E-3</v>
      </c>
      <c r="C23" s="38" t="s">
        <v>91</v>
      </c>
    </row>
    <row r="24" spans="1:3">
      <c r="A24" s="38" t="s">
        <v>89</v>
      </c>
      <c r="B24" s="38">
        <v>5.0000000000000001E-3</v>
      </c>
      <c r="C24" s="38" t="s">
        <v>91</v>
      </c>
    </row>
    <row r="25" spans="1:3">
      <c r="A25" s="38" t="s">
        <v>90</v>
      </c>
      <c r="B25" s="38">
        <v>5.0000000000000001E-3</v>
      </c>
      <c r="C25" s="38" t="s">
        <v>91</v>
      </c>
    </row>
    <row r="26" spans="1:3">
      <c r="A26" s="38" t="s">
        <v>73</v>
      </c>
      <c r="B26" s="38">
        <v>1E-3</v>
      </c>
      <c r="C26" s="38" t="s">
        <v>147</v>
      </c>
    </row>
    <row r="27" spans="1:3">
      <c r="A27" s="38" t="s">
        <v>92</v>
      </c>
      <c r="B27" s="38" t="s">
        <v>91</v>
      </c>
      <c r="C27" s="38" t="s">
        <v>93</v>
      </c>
    </row>
    <row r="28" spans="1:3">
      <c r="A28" s="38" t="s">
        <v>94</v>
      </c>
      <c r="B28" s="38" t="s">
        <v>91</v>
      </c>
      <c r="C28" s="38" t="s">
        <v>93</v>
      </c>
    </row>
    <row r="29" spans="1:3">
      <c r="A29" s="30" t="s">
        <v>157</v>
      </c>
      <c r="B29" s="30" t="s">
        <v>156</v>
      </c>
      <c r="C29" s="30" t="s">
        <v>148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60</v>
      </c>
    </row>
    <row r="2" spans="1:8">
      <c r="A2" s="28" t="s">
        <v>144</v>
      </c>
      <c r="B2" s="17">
        <v>180.16</v>
      </c>
    </row>
    <row r="4" spans="1:8">
      <c r="A4" s="114" t="s">
        <v>145</v>
      </c>
      <c r="B4" s="115"/>
      <c r="C4" s="115"/>
      <c r="D4" s="115"/>
      <c r="E4" s="115"/>
      <c r="F4" s="115"/>
      <c r="G4" s="115"/>
      <c r="H4" s="116"/>
    </row>
    <row r="5" spans="1:8">
      <c r="A5" s="117" t="s">
        <v>61</v>
      </c>
      <c r="B5" s="115"/>
      <c r="C5" s="116"/>
      <c r="D5" s="118" t="s">
        <v>44</v>
      </c>
      <c r="E5" s="118" t="s">
        <v>45</v>
      </c>
      <c r="F5" s="118" t="s">
        <v>46</v>
      </c>
      <c r="G5" s="120" t="s">
        <v>62</v>
      </c>
      <c r="H5" s="120" t="s">
        <v>63</v>
      </c>
    </row>
    <row r="6" spans="1:8">
      <c r="A6" s="29" t="s">
        <v>4</v>
      </c>
      <c r="B6" s="29" t="s">
        <v>5</v>
      </c>
      <c r="C6" s="29" t="s">
        <v>19</v>
      </c>
      <c r="D6" s="119"/>
      <c r="E6" s="119"/>
      <c r="F6" s="119"/>
      <c r="G6" s="121"/>
      <c r="H6" s="121"/>
    </row>
    <row r="7" spans="1:8">
      <c r="A7" s="16">
        <v>0</v>
      </c>
      <c r="B7" s="69">
        <v>-0.16666666666666666</v>
      </c>
      <c r="C7" s="16">
        <v>2</v>
      </c>
      <c r="D7" s="16">
        <v>7.3840000000000003</v>
      </c>
      <c r="E7" s="16">
        <v>7.3159999999999998</v>
      </c>
      <c r="F7" s="16">
        <v>7.3109999999999999</v>
      </c>
      <c r="G7" s="19">
        <f>(C7*1000*AVERAGE(D7:F7)/$B$2)</f>
        <v>81.449822380106568</v>
      </c>
      <c r="H7" s="19">
        <f>(C7*1000*STDEV(D7:F7))/$B$2</f>
        <v>0.4527075600378288</v>
      </c>
    </row>
    <row r="8" spans="1:8">
      <c r="A8" s="16">
        <v>0</v>
      </c>
      <c r="B8" s="72">
        <v>0.16666666666666666</v>
      </c>
      <c r="C8" s="16">
        <v>2</v>
      </c>
      <c r="D8" s="16">
        <v>7.0410000000000004</v>
      </c>
      <c r="E8" s="19">
        <v>7.09</v>
      </c>
      <c r="F8" s="16">
        <v>7.0069999999999997</v>
      </c>
      <c r="G8" s="19">
        <f t="shared" ref="G8:G17" si="0">(C8*1000*AVERAGE(D8:F8))/$B$2</f>
        <v>78.219360568383649</v>
      </c>
      <c r="H8" s="19">
        <f t="shared" ref="H8:H17" si="1">(C8*1000*STDEV(D8:F8))/$B$2</f>
        <v>0.46320262089309716</v>
      </c>
    </row>
    <row r="9" spans="1:8">
      <c r="A9" s="16">
        <v>1</v>
      </c>
      <c r="B9" s="72">
        <v>2</v>
      </c>
      <c r="C9" s="16">
        <v>2</v>
      </c>
      <c r="D9" s="16">
        <v>7.2969999999999997</v>
      </c>
      <c r="E9" s="16">
        <v>7.173</v>
      </c>
      <c r="F9" s="16">
        <v>7.2039999999999997</v>
      </c>
      <c r="G9" s="19">
        <f t="shared" si="0"/>
        <v>80.202782711663716</v>
      </c>
      <c r="H9" s="19">
        <f t="shared" si="1"/>
        <v>0.71638150514487098</v>
      </c>
    </row>
    <row r="10" spans="1:8">
      <c r="A10" s="16">
        <v>2</v>
      </c>
      <c r="B10" s="72">
        <v>3.3333333333333335</v>
      </c>
      <c r="C10" s="16">
        <v>2</v>
      </c>
      <c r="D10" s="16">
        <v>7.2430000000000003</v>
      </c>
      <c r="E10" s="16">
        <v>7.11</v>
      </c>
      <c r="F10" s="16">
        <v>7.1159999999999997</v>
      </c>
      <c r="G10" s="19">
        <f t="shared" si="0"/>
        <v>79.444197750148021</v>
      </c>
      <c r="H10" s="19">
        <f t="shared" si="1"/>
        <v>0.83387507406609296</v>
      </c>
    </row>
    <row r="11" spans="1:8">
      <c r="A11" s="16">
        <v>3</v>
      </c>
      <c r="B11" s="72">
        <v>4.666666666666667</v>
      </c>
      <c r="C11" s="16">
        <v>2</v>
      </c>
      <c r="D11" s="16">
        <v>7.2869999999999999</v>
      </c>
      <c r="E11" s="16">
        <v>7.1970000000000001</v>
      </c>
      <c r="F11" s="16">
        <v>7.1360000000000001</v>
      </c>
      <c r="G11" s="19">
        <f t="shared" si="0"/>
        <v>80.002960331557134</v>
      </c>
      <c r="H11" s="19">
        <f t="shared" si="1"/>
        <v>0.84328053008439907</v>
      </c>
    </row>
    <row r="12" spans="1:8">
      <c r="A12" s="16">
        <v>4</v>
      </c>
      <c r="B12" s="72">
        <v>6</v>
      </c>
      <c r="C12" s="16">
        <v>2</v>
      </c>
      <c r="D12" s="16">
        <v>7.2210000000000001</v>
      </c>
      <c r="E12" s="16">
        <v>7.1479999999999997</v>
      </c>
      <c r="F12" s="16">
        <v>7.0609999999999999</v>
      </c>
      <c r="G12" s="19">
        <f t="shared" si="0"/>
        <v>79.299881586737726</v>
      </c>
      <c r="H12" s="19">
        <f t="shared" si="1"/>
        <v>0.88923199694735688</v>
      </c>
    </row>
    <row r="13" spans="1:8">
      <c r="A13" s="16">
        <v>5</v>
      </c>
      <c r="B13" s="72">
        <v>7.333333333333333</v>
      </c>
      <c r="C13" s="16">
        <v>2</v>
      </c>
      <c r="D13" s="16">
        <v>7.0369999999999999</v>
      </c>
      <c r="E13" s="16">
        <v>6.8879999999999999</v>
      </c>
      <c r="F13" s="16">
        <v>6.9960000000000004</v>
      </c>
      <c r="G13" s="19">
        <f t="shared" si="0"/>
        <v>77.416370633510951</v>
      </c>
      <c r="H13" s="19">
        <f t="shared" si="1"/>
        <v>0.85445926958851437</v>
      </c>
    </row>
    <row r="14" spans="1:8">
      <c r="A14" s="16">
        <v>6</v>
      </c>
      <c r="B14" s="72">
        <v>8.6666666666666661</v>
      </c>
      <c r="C14" s="16">
        <v>2</v>
      </c>
      <c r="D14" s="16">
        <v>6.9160000000000004</v>
      </c>
      <c r="E14" s="16">
        <v>6.9119999999999999</v>
      </c>
      <c r="F14" s="16">
        <v>6.8579999999999997</v>
      </c>
      <c r="G14" s="19">
        <f t="shared" si="0"/>
        <v>76.546773238602725</v>
      </c>
      <c r="H14" s="19">
        <f t="shared" si="1"/>
        <v>0.3596071821567926</v>
      </c>
    </row>
    <row r="15" spans="1:8">
      <c r="A15" s="16">
        <v>7</v>
      </c>
      <c r="B15" s="72">
        <v>10</v>
      </c>
      <c r="C15" s="16">
        <v>2</v>
      </c>
      <c r="D15" s="16">
        <v>6.742</v>
      </c>
      <c r="E15" s="16">
        <v>6.6340000000000003</v>
      </c>
      <c r="F15" s="16">
        <v>6.5540000000000003</v>
      </c>
      <c r="G15" s="19">
        <f t="shared" si="0"/>
        <v>73.74925991711072</v>
      </c>
      <c r="H15" s="19">
        <f t="shared" si="1"/>
        <v>1.0473676477403471</v>
      </c>
    </row>
    <row r="16" spans="1:8">
      <c r="A16" s="16">
        <v>8</v>
      </c>
      <c r="B16" s="72">
        <v>11.333333333333334</v>
      </c>
      <c r="C16" s="16">
        <v>2</v>
      </c>
      <c r="D16" s="16">
        <v>6.3739999999999997</v>
      </c>
      <c r="E16" s="16">
        <v>6.4580000000000002</v>
      </c>
      <c r="F16" s="16">
        <v>6.3620000000000001</v>
      </c>
      <c r="G16" s="19">
        <f t="shared" si="0"/>
        <v>71.025754884547084</v>
      </c>
      <c r="H16" s="19">
        <f t="shared" si="1"/>
        <v>0.58067037436154789</v>
      </c>
    </row>
    <row r="17" spans="1:8">
      <c r="A17" s="16">
        <v>9</v>
      </c>
      <c r="B17" s="72">
        <v>12.666666666666666</v>
      </c>
      <c r="C17" s="16">
        <v>2</v>
      </c>
      <c r="D17" s="16">
        <v>5.718</v>
      </c>
      <c r="E17" s="16">
        <v>5.726</v>
      </c>
      <c r="F17" s="16">
        <v>5.73</v>
      </c>
      <c r="G17" s="19">
        <f t="shared" si="0"/>
        <v>63.550917702782719</v>
      </c>
      <c r="H17" s="19">
        <f t="shared" si="1"/>
        <v>6.7829717213676574E-2</v>
      </c>
    </row>
    <row r="18" spans="1:8">
      <c r="A18" s="16">
        <v>10</v>
      </c>
      <c r="B18" s="72">
        <v>14.116666666666667</v>
      </c>
      <c r="C18" s="16">
        <v>2</v>
      </c>
      <c r="D18" s="16">
        <v>4.8520000000000003</v>
      </c>
      <c r="E18" s="16">
        <v>4.819</v>
      </c>
      <c r="F18" s="16">
        <v>4.8230000000000004</v>
      </c>
      <c r="G18" s="19">
        <f t="shared" ref="G18:G23" si="2">(C18*1000*AVERAGE(D18:F18))/$B$2</f>
        <v>53.633806986382474</v>
      </c>
      <c r="H18" s="19">
        <f t="shared" ref="H18:H23" si="3">(C18*1000*STDEV(D18:F18))/$B$2</f>
        <v>0.19992514297276762</v>
      </c>
    </row>
    <row r="19" spans="1:8">
      <c r="A19" s="16">
        <v>11</v>
      </c>
      <c r="B19" s="72">
        <v>15.333333333333334</v>
      </c>
      <c r="C19" s="16">
        <v>2</v>
      </c>
      <c r="D19" s="16">
        <v>4.0439999999999996</v>
      </c>
      <c r="E19" s="16">
        <v>4.0439999999999996</v>
      </c>
      <c r="F19" s="16">
        <v>4.0389999999999997</v>
      </c>
      <c r="G19" s="19">
        <f t="shared" si="2"/>
        <v>44.874925991711066</v>
      </c>
      <c r="H19" s="19">
        <f t="shared" si="3"/>
        <v>3.2046529151288493E-2</v>
      </c>
    </row>
    <row r="20" spans="1:8">
      <c r="A20" s="16">
        <v>12</v>
      </c>
      <c r="B20" s="72">
        <v>16.666666666666668</v>
      </c>
      <c r="C20" s="16">
        <v>2</v>
      </c>
      <c r="D20" s="16">
        <v>2.9510000000000001</v>
      </c>
      <c r="E20" s="16">
        <v>2.927</v>
      </c>
      <c r="F20" s="16">
        <v>2.923</v>
      </c>
      <c r="G20" s="19">
        <f t="shared" si="2"/>
        <v>32.567347542924814</v>
      </c>
      <c r="H20" s="19">
        <f t="shared" si="3"/>
        <v>0.16811451586146473</v>
      </c>
    </row>
    <row r="21" spans="1:8">
      <c r="A21" s="16">
        <v>13</v>
      </c>
      <c r="B21" s="72">
        <v>18</v>
      </c>
      <c r="C21" s="16">
        <v>2</v>
      </c>
      <c r="D21" s="16">
        <v>1.867</v>
      </c>
      <c r="E21" s="16">
        <v>1.85</v>
      </c>
      <c r="F21" s="16">
        <v>1.8460000000000001</v>
      </c>
      <c r="G21" s="19">
        <f t="shared" si="2"/>
        <v>20.585405565423333</v>
      </c>
      <c r="H21" s="19">
        <f t="shared" si="3"/>
        <v>0.12378425609589737</v>
      </c>
    </row>
    <row r="22" spans="1:8">
      <c r="A22" s="16">
        <v>14</v>
      </c>
      <c r="B22" s="72">
        <v>24</v>
      </c>
      <c r="C22" s="16">
        <v>2</v>
      </c>
      <c r="D22" s="75">
        <v>0</v>
      </c>
      <c r="E22" s="69">
        <v>0</v>
      </c>
      <c r="F22" s="69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72">
        <v>30</v>
      </c>
      <c r="C23" s="16">
        <v>2</v>
      </c>
      <c r="D23" s="75">
        <v>0</v>
      </c>
      <c r="E23" s="69">
        <v>0</v>
      </c>
      <c r="F23" s="69">
        <v>0</v>
      </c>
      <c r="G23" s="19">
        <f t="shared" si="2"/>
        <v>0</v>
      </c>
      <c r="H23" s="19">
        <f t="shared" si="3"/>
        <v>0</v>
      </c>
    </row>
    <row r="24" spans="1:8">
      <c r="A24" s="74">
        <v>16</v>
      </c>
      <c r="B24" s="72">
        <v>48</v>
      </c>
      <c r="C24" s="16">
        <v>2</v>
      </c>
      <c r="D24" s="75">
        <v>0</v>
      </c>
      <c r="E24" s="69">
        <v>0</v>
      </c>
      <c r="F24" s="69">
        <v>0</v>
      </c>
      <c r="G24" s="19">
        <f>(C24*1000*AVERAGE(D24:F24))/$B$2</f>
        <v>0</v>
      </c>
      <c r="H24" s="19">
        <f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2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60</v>
      </c>
    </row>
    <row r="2" spans="1:8">
      <c r="A2" s="28" t="s">
        <v>64</v>
      </c>
      <c r="B2" s="17">
        <v>46.03</v>
      </c>
    </row>
    <row r="4" spans="1:8">
      <c r="A4" s="114" t="s">
        <v>64</v>
      </c>
      <c r="B4" s="115"/>
      <c r="C4" s="115"/>
      <c r="D4" s="115"/>
      <c r="E4" s="115"/>
      <c r="F4" s="115"/>
      <c r="G4" s="115"/>
      <c r="H4" s="116"/>
    </row>
    <row r="5" spans="1:8">
      <c r="A5" s="117" t="s">
        <v>61</v>
      </c>
      <c r="B5" s="115"/>
      <c r="C5" s="116"/>
      <c r="D5" s="118" t="s">
        <v>44</v>
      </c>
      <c r="E5" s="118" t="s">
        <v>45</v>
      </c>
      <c r="F5" s="118" t="s">
        <v>46</v>
      </c>
      <c r="G5" s="120" t="s">
        <v>62</v>
      </c>
      <c r="H5" s="120" t="s">
        <v>63</v>
      </c>
    </row>
    <row r="6" spans="1:8">
      <c r="A6" s="29" t="s">
        <v>4</v>
      </c>
      <c r="B6" s="29" t="s">
        <v>59</v>
      </c>
      <c r="C6" s="29" t="s">
        <v>19</v>
      </c>
      <c r="D6" s="119"/>
      <c r="E6" s="119"/>
      <c r="F6" s="119"/>
      <c r="G6" s="121"/>
      <c r="H6" s="121"/>
    </row>
    <row r="7" spans="1:8">
      <c r="A7" s="16">
        <v>0</v>
      </c>
      <c r="B7" s="69">
        <v>-0.16666666666666666</v>
      </c>
      <c r="C7" s="16">
        <v>2</v>
      </c>
      <c r="D7" s="43">
        <v>0</v>
      </c>
      <c r="E7" s="43">
        <v>0</v>
      </c>
      <c r="F7" s="43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16">
        <v>0</v>
      </c>
      <c r="B8" s="72">
        <v>0.16666666666666666</v>
      </c>
      <c r="C8" s="16">
        <v>2</v>
      </c>
      <c r="D8" s="43">
        <v>0</v>
      </c>
      <c r="E8" s="43">
        <v>0</v>
      </c>
      <c r="F8" s="43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16">
        <v>1</v>
      </c>
      <c r="B9" s="72">
        <v>2</v>
      </c>
      <c r="C9" s="16">
        <v>2</v>
      </c>
      <c r="D9" s="43">
        <v>0</v>
      </c>
      <c r="E9" s="43">
        <v>0</v>
      </c>
      <c r="F9" s="43">
        <v>0</v>
      </c>
      <c r="G9" s="16">
        <f t="shared" si="0"/>
        <v>0</v>
      </c>
      <c r="H9" s="19">
        <f t="shared" si="1"/>
        <v>0</v>
      </c>
    </row>
    <row r="10" spans="1:8">
      <c r="A10" s="16">
        <v>2</v>
      </c>
      <c r="B10" s="72">
        <v>3.3333333333333335</v>
      </c>
      <c r="C10" s="16">
        <v>2</v>
      </c>
      <c r="D10" s="43">
        <v>0</v>
      </c>
      <c r="E10" s="43">
        <v>0</v>
      </c>
      <c r="F10" s="43">
        <v>0</v>
      </c>
      <c r="G10" s="16">
        <f t="shared" si="0"/>
        <v>0</v>
      </c>
      <c r="H10" s="19">
        <f t="shared" si="1"/>
        <v>0</v>
      </c>
    </row>
    <row r="11" spans="1:8">
      <c r="A11" s="16">
        <v>3</v>
      </c>
      <c r="B11" s="72">
        <v>4.666666666666667</v>
      </c>
      <c r="C11" s="16">
        <v>2</v>
      </c>
      <c r="D11" s="43">
        <v>0</v>
      </c>
      <c r="E11" s="43">
        <v>0</v>
      </c>
      <c r="F11" s="43">
        <v>0</v>
      </c>
      <c r="G11" s="16">
        <f t="shared" si="0"/>
        <v>0</v>
      </c>
      <c r="H11" s="19">
        <f t="shared" si="1"/>
        <v>0</v>
      </c>
    </row>
    <row r="12" spans="1:8">
      <c r="A12" s="16">
        <v>4</v>
      </c>
      <c r="B12" s="72">
        <v>6</v>
      </c>
      <c r="C12" s="16">
        <v>2</v>
      </c>
      <c r="D12" s="43">
        <v>0</v>
      </c>
      <c r="E12" s="43">
        <v>0</v>
      </c>
      <c r="F12" s="43">
        <v>0</v>
      </c>
      <c r="G12" s="16">
        <f t="shared" si="0"/>
        <v>0</v>
      </c>
      <c r="H12" s="19">
        <f t="shared" si="1"/>
        <v>0</v>
      </c>
    </row>
    <row r="13" spans="1:8">
      <c r="A13" s="16">
        <v>5</v>
      </c>
      <c r="B13" s="72">
        <v>7.333333333333333</v>
      </c>
      <c r="C13" s="16">
        <v>2</v>
      </c>
      <c r="D13" s="43">
        <v>0</v>
      </c>
      <c r="E13" s="43">
        <v>0</v>
      </c>
      <c r="F13" s="43">
        <v>0</v>
      </c>
      <c r="G13" s="16">
        <f t="shared" si="0"/>
        <v>0</v>
      </c>
      <c r="H13" s="19">
        <f t="shared" si="1"/>
        <v>0</v>
      </c>
    </row>
    <row r="14" spans="1:8">
      <c r="A14" s="16">
        <v>6</v>
      </c>
      <c r="B14" s="72">
        <v>8.6666666666666661</v>
      </c>
      <c r="C14" s="16">
        <v>2</v>
      </c>
      <c r="D14" s="43">
        <v>0</v>
      </c>
      <c r="E14" s="43">
        <v>0</v>
      </c>
      <c r="F14" s="43">
        <v>0</v>
      </c>
      <c r="G14" s="16">
        <f t="shared" si="0"/>
        <v>0</v>
      </c>
      <c r="H14" s="19">
        <f t="shared" si="1"/>
        <v>0</v>
      </c>
    </row>
    <row r="15" spans="1:8">
      <c r="A15" s="16">
        <v>7</v>
      </c>
      <c r="B15" s="72">
        <v>10</v>
      </c>
      <c r="C15" s="16">
        <v>2</v>
      </c>
      <c r="D15" s="43">
        <v>0</v>
      </c>
      <c r="E15" s="43">
        <v>0</v>
      </c>
      <c r="F15" s="43">
        <v>0</v>
      </c>
      <c r="G15" s="16">
        <f t="shared" si="0"/>
        <v>0</v>
      </c>
      <c r="H15" s="19">
        <f t="shared" si="1"/>
        <v>0</v>
      </c>
    </row>
    <row r="16" spans="1:8">
      <c r="A16" s="16">
        <v>8</v>
      </c>
      <c r="B16" s="72">
        <v>11.333333333333334</v>
      </c>
      <c r="C16" s="16">
        <v>2</v>
      </c>
      <c r="D16" s="43">
        <v>0</v>
      </c>
      <c r="E16" s="43">
        <v>0</v>
      </c>
      <c r="F16" s="43">
        <v>0</v>
      </c>
      <c r="G16" s="16">
        <f t="shared" si="0"/>
        <v>0</v>
      </c>
      <c r="H16" s="19">
        <f t="shared" si="1"/>
        <v>0</v>
      </c>
    </row>
    <row r="17" spans="1:8">
      <c r="A17" s="16">
        <v>9</v>
      </c>
      <c r="B17" s="72">
        <v>12.666666666666666</v>
      </c>
      <c r="C17" s="16">
        <v>2</v>
      </c>
      <c r="D17" s="43">
        <v>0</v>
      </c>
      <c r="E17" s="43">
        <v>0</v>
      </c>
      <c r="F17" s="43">
        <v>0</v>
      </c>
      <c r="G17" s="16">
        <f t="shared" si="0"/>
        <v>0</v>
      </c>
      <c r="H17" s="19">
        <f t="shared" si="1"/>
        <v>0</v>
      </c>
    </row>
    <row r="18" spans="1:8">
      <c r="A18" s="16">
        <v>10</v>
      </c>
      <c r="B18" s="72">
        <v>14.116666666666667</v>
      </c>
      <c r="C18" s="16">
        <v>2</v>
      </c>
      <c r="D18" s="43">
        <v>8.0000000000000002E-3</v>
      </c>
      <c r="E18" s="43">
        <v>7.0000000000000001E-3</v>
      </c>
      <c r="F18" s="43">
        <v>8.9999999999999993E-3</v>
      </c>
      <c r="G18" s="16">
        <f t="shared" ref="G18:G23" si="2">(C18*1000*AVERAGE(D18:F18))/$B$2</f>
        <v>0.34759939170106452</v>
      </c>
      <c r="H18" s="19">
        <f t="shared" ref="H18:H23" si="3">(C18*1000*STDEV(D18:F18))/$B$2</f>
        <v>4.3449923962633044E-2</v>
      </c>
    </row>
    <row r="19" spans="1:8">
      <c r="A19" s="16">
        <v>11</v>
      </c>
      <c r="B19" s="72">
        <v>15.333333333333334</v>
      </c>
      <c r="C19" s="16">
        <v>2</v>
      </c>
      <c r="D19" s="43">
        <v>1.9E-2</v>
      </c>
      <c r="E19" s="43">
        <v>1.9E-2</v>
      </c>
      <c r="F19" s="43">
        <v>1.9E-2</v>
      </c>
      <c r="G19" s="16">
        <f t="shared" si="2"/>
        <v>0.82554855529002824</v>
      </c>
      <c r="H19" s="19">
        <f t="shared" si="3"/>
        <v>0</v>
      </c>
    </row>
    <row r="20" spans="1:8">
      <c r="A20" s="16">
        <v>12</v>
      </c>
      <c r="B20" s="72">
        <v>16.666666666666668</v>
      </c>
      <c r="C20" s="16">
        <v>2</v>
      </c>
      <c r="D20" s="43">
        <v>3.4000000000000002E-2</v>
      </c>
      <c r="E20" s="43">
        <v>3.4000000000000002E-2</v>
      </c>
      <c r="F20" s="43">
        <v>3.4000000000000002E-2</v>
      </c>
      <c r="G20" s="16">
        <f t="shared" si="2"/>
        <v>1.4772974147295241</v>
      </c>
      <c r="H20" s="19">
        <f t="shared" si="3"/>
        <v>0</v>
      </c>
    </row>
    <row r="21" spans="1:8">
      <c r="A21" s="16">
        <v>13</v>
      </c>
      <c r="B21" s="72">
        <v>18</v>
      </c>
      <c r="C21" s="16">
        <v>2</v>
      </c>
      <c r="D21" s="43">
        <v>4.3999999999999997E-2</v>
      </c>
      <c r="E21" s="43">
        <v>4.4999999999999998E-2</v>
      </c>
      <c r="F21" s="43">
        <v>4.3999999999999997E-2</v>
      </c>
      <c r="G21" s="16">
        <f t="shared" si="2"/>
        <v>1.9262799623433993</v>
      </c>
      <c r="H21" s="19">
        <f t="shared" si="3"/>
        <v>2.5085825296094995E-2</v>
      </c>
    </row>
    <row r="22" spans="1:8">
      <c r="A22" s="16">
        <v>14</v>
      </c>
      <c r="B22" s="72">
        <v>24</v>
      </c>
      <c r="C22" s="16">
        <v>2</v>
      </c>
      <c r="D22" s="43">
        <v>7.0999999999999994E-2</v>
      </c>
      <c r="E22" s="43">
        <v>6.9000000000000006E-2</v>
      </c>
      <c r="F22" s="43">
        <v>7.0999999999999994E-2</v>
      </c>
      <c r="G22" s="16">
        <f t="shared" si="2"/>
        <v>3.0559779853718592</v>
      </c>
      <c r="H22" s="19">
        <f t="shared" si="3"/>
        <v>5.0171650592189629E-2</v>
      </c>
    </row>
    <row r="23" spans="1:8">
      <c r="A23" s="16">
        <v>15</v>
      </c>
      <c r="B23" s="72">
        <v>30</v>
      </c>
      <c r="C23" s="16">
        <v>2</v>
      </c>
      <c r="D23" s="43">
        <v>7.0000000000000007E-2</v>
      </c>
      <c r="E23" s="43">
        <v>6.9000000000000006E-2</v>
      </c>
      <c r="F23" s="43">
        <v>7.0999999999999994E-2</v>
      </c>
      <c r="G23" s="16">
        <f t="shared" si="2"/>
        <v>3.0414946773843146</v>
      </c>
      <c r="H23" s="19">
        <f t="shared" si="3"/>
        <v>4.3449923962632801E-2</v>
      </c>
    </row>
    <row r="24" spans="1:8">
      <c r="A24" s="74">
        <v>16</v>
      </c>
      <c r="B24" s="72">
        <v>48</v>
      </c>
      <c r="C24" s="16">
        <v>2</v>
      </c>
      <c r="D24" s="43">
        <v>7.0999999999999994E-2</v>
      </c>
      <c r="E24" s="43">
        <v>6.8000000000000005E-2</v>
      </c>
      <c r="F24" s="43">
        <v>7.0999999999999994E-2</v>
      </c>
      <c r="G24" s="16">
        <f>(C24*1000*AVERAGE(D24:F24))/$B$2</f>
        <v>3.0414946773843146</v>
      </c>
      <c r="H24" s="19">
        <f>(C24*1000*STDEV(D24:F24))/$B$2</f>
        <v>7.5257475888284631E-2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60</v>
      </c>
    </row>
    <row r="2" spans="1:8">
      <c r="A2" s="21" t="s">
        <v>42</v>
      </c>
      <c r="B2" s="17">
        <v>60.05</v>
      </c>
    </row>
    <row r="4" spans="1:8">
      <c r="A4" s="114" t="s">
        <v>42</v>
      </c>
      <c r="B4" s="115"/>
      <c r="C4" s="115"/>
      <c r="D4" s="115"/>
      <c r="E4" s="115"/>
      <c r="F4" s="115"/>
      <c r="G4" s="115"/>
      <c r="H4" s="116"/>
    </row>
    <row r="5" spans="1:8">
      <c r="A5" s="117" t="s">
        <v>61</v>
      </c>
      <c r="B5" s="115"/>
      <c r="C5" s="116"/>
      <c r="D5" s="118" t="s">
        <v>44</v>
      </c>
      <c r="E5" s="118" t="s">
        <v>45</v>
      </c>
      <c r="F5" s="118" t="s">
        <v>46</v>
      </c>
      <c r="G5" s="120" t="s">
        <v>62</v>
      </c>
      <c r="H5" s="120" t="s">
        <v>63</v>
      </c>
    </row>
    <row r="6" spans="1:8">
      <c r="A6" s="22" t="s">
        <v>4</v>
      </c>
      <c r="B6" s="22" t="s">
        <v>59</v>
      </c>
      <c r="C6" s="22" t="s">
        <v>19</v>
      </c>
      <c r="D6" s="119"/>
      <c r="E6" s="119"/>
      <c r="F6" s="119"/>
      <c r="G6" s="121"/>
      <c r="H6" s="121"/>
    </row>
    <row r="7" spans="1:8">
      <c r="A7" s="16">
        <v>0</v>
      </c>
      <c r="B7" s="69">
        <v>-0.16666666666666666</v>
      </c>
      <c r="C7" s="16">
        <v>2</v>
      </c>
      <c r="D7" s="16">
        <v>1.5169999999999999</v>
      </c>
      <c r="E7" s="16">
        <v>1.5</v>
      </c>
      <c r="F7" s="16">
        <v>1.4950000000000001</v>
      </c>
      <c r="G7" s="16">
        <f>(C7*1000*AVERAGE(D7:F7))/$B$2</f>
        <v>50.091590341382194</v>
      </c>
      <c r="H7" s="19">
        <f>(C7*1000*STDEV(D7:F7))/$B$2</f>
        <v>0.38409867092991506</v>
      </c>
    </row>
    <row r="8" spans="1:8">
      <c r="A8" s="16">
        <v>0</v>
      </c>
      <c r="B8" s="72">
        <v>0.16666666666666666</v>
      </c>
      <c r="C8" s="16">
        <v>2</v>
      </c>
      <c r="D8" s="16">
        <v>1.4279999999999999</v>
      </c>
      <c r="E8" s="16">
        <v>1.4379999999999999</v>
      </c>
      <c r="F8" s="19">
        <v>1.42</v>
      </c>
      <c r="G8" s="16">
        <f t="shared" ref="G8:G17" si="0">(C8*1000*AVERAGE(D8:F8))/$B$2</f>
        <v>47.58257008048848</v>
      </c>
      <c r="H8" s="19">
        <f t="shared" ref="H8:H17" si="1">(C8*1000*STDEV(D8:F8))/$B$2</f>
        <v>0.30036634490077596</v>
      </c>
    </row>
    <row r="9" spans="1:8">
      <c r="A9" s="16">
        <v>1</v>
      </c>
      <c r="B9" s="72">
        <v>2</v>
      </c>
      <c r="C9" s="16">
        <v>2</v>
      </c>
      <c r="D9" s="19">
        <v>1.4590000000000001</v>
      </c>
      <c r="E9" s="16">
        <v>1.4319999999999999</v>
      </c>
      <c r="F9" s="16">
        <v>1.429</v>
      </c>
      <c r="G9" s="16">
        <f t="shared" si="0"/>
        <v>47.960033305578698</v>
      </c>
      <c r="H9" s="19">
        <f t="shared" si="1"/>
        <v>0.55029847266805487</v>
      </c>
    </row>
    <row r="10" spans="1:8">
      <c r="A10" s="16">
        <v>2</v>
      </c>
      <c r="B10" s="72">
        <v>3.3333333333333335</v>
      </c>
      <c r="C10" s="16">
        <v>2</v>
      </c>
      <c r="D10" s="16">
        <v>1.429</v>
      </c>
      <c r="E10" s="16">
        <v>1.403</v>
      </c>
      <c r="F10" s="16">
        <v>1.4059999999999999</v>
      </c>
      <c r="G10" s="16">
        <f t="shared" si="0"/>
        <v>47.049680821537606</v>
      </c>
      <c r="H10" s="19">
        <f t="shared" si="1"/>
        <v>0.47375161350767531</v>
      </c>
    </row>
    <row r="11" spans="1:8">
      <c r="A11" s="16">
        <v>3</v>
      </c>
      <c r="B11" s="72">
        <v>4.666666666666667</v>
      </c>
      <c r="C11" s="16">
        <v>2</v>
      </c>
      <c r="D11" s="16">
        <v>1.431</v>
      </c>
      <c r="E11" s="16">
        <v>1.413</v>
      </c>
      <c r="F11" s="16">
        <v>1.403</v>
      </c>
      <c r="G11" s="16">
        <f t="shared" si="0"/>
        <v>47.149597557590894</v>
      </c>
      <c r="H11" s="19">
        <f t="shared" si="1"/>
        <v>0.47257944277086389</v>
      </c>
    </row>
    <row r="12" spans="1:8">
      <c r="A12" s="16">
        <v>4</v>
      </c>
      <c r="B12" s="72">
        <v>6</v>
      </c>
      <c r="C12" s="16">
        <v>2</v>
      </c>
      <c r="D12" s="16">
        <v>1.4139999999999999</v>
      </c>
      <c r="E12" s="16">
        <v>1.397</v>
      </c>
      <c r="F12" s="16">
        <v>1.3819999999999999</v>
      </c>
      <c r="G12" s="16">
        <f t="shared" si="0"/>
        <v>46.550097141271159</v>
      </c>
      <c r="H12" s="19">
        <f t="shared" si="1"/>
        <v>0.53323607920168026</v>
      </c>
    </row>
    <row r="13" spans="1:8">
      <c r="A13" s="16">
        <v>5</v>
      </c>
      <c r="B13" s="72">
        <v>7.333333333333333</v>
      </c>
      <c r="C13" s="16">
        <v>2</v>
      </c>
      <c r="D13" s="16">
        <v>1.4039999999999999</v>
      </c>
      <c r="E13" s="16">
        <v>1.367</v>
      </c>
      <c r="F13" s="16">
        <v>1.393</v>
      </c>
      <c r="G13" s="16">
        <f t="shared" si="0"/>
        <v>46.228143213988346</v>
      </c>
      <c r="H13" s="19">
        <f t="shared" si="1"/>
        <v>0.63280599500416224</v>
      </c>
    </row>
    <row r="14" spans="1:8">
      <c r="A14" s="16">
        <v>6</v>
      </c>
      <c r="B14" s="72">
        <v>8.6666666666666661</v>
      </c>
      <c r="C14" s="16">
        <v>2</v>
      </c>
      <c r="D14" s="16">
        <v>1.371</v>
      </c>
      <c r="E14" s="16">
        <v>1.3720000000000001</v>
      </c>
      <c r="F14" s="16">
        <v>1.363</v>
      </c>
      <c r="G14" s="16">
        <f t="shared" si="0"/>
        <v>45.584235359422706</v>
      </c>
      <c r="H14" s="19">
        <f t="shared" si="1"/>
        <v>0.16429251831194969</v>
      </c>
    </row>
    <row r="15" spans="1:8">
      <c r="A15" s="16">
        <v>7</v>
      </c>
      <c r="B15" s="72">
        <v>10</v>
      </c>
      <c r="C15" s="16">
        <v>2</v>
      </c>
      <c r="D15" s="19">
        <v>1.34</v>
      </c>
      <c r="E15" s="16">
        <v>1.319</v>
      </c>
      <c r="F15" s="16">
        <v>1.321</v>
      </c>
      <c r="G15" s="16">
        <f t="shared" si="0"/>
        <v>44.185401054676653</v>
      </c>
      <c r="H15" s="19">
        <f t="shared" si="1"/>
        <v>0.38601917625787002</v>
      </c>
    </row>
    <row r="16" spans="1:8">
      <c r="A16" s="16">
        <v>8</v>
      </c>
      <c r="B16" s="72">
        <v>11.333333333333334</v>
      </c>
      <c r="C16" s="16">
        <v>2</v>
      </c>
      <c r="D16" s="16">
        <v>1.3009999999999999</v>
      </c>
      <c r="E16" s="16">
        <v>1.3149999999999999</v>
      </c>
      <c r="F16" s="16">
        <v>1.3</v>
      </c>
      <c r="G16" s="16">
        <f t="shared" si="0"/>
        <v>43.474882042742159</v>
      </c>
      <c r="H16" s="19">
        <f t="shared" si="1"/>
        <v>0.27931713850478124</v>
      </c>
    </row>
    <row r="17" spans="1:8">
      <c r="A17" s="16">
        <v>9</v>
      </c>
      <c r="B17" s="72">
        <v>12.666666666666666</v>
      </c>
      <c r="C17" s="16">
        <v>2</v>
      </c>
      <c r="D17" s="16">
        <v>1.246</v>
      </c>
      <c r="E17" s="16">
        <v>1.2470000000000001</v>
      </c>
      <c r="F17" s="16">
        <v>1.25</v>
      </c>
      <c r="G17" s="16">
        <f t="shared" si="0"/>
        <v>41.554260338606724</v>
      </c>
      <c r="H17" s="19">
        <f t="shared" si="1"/>
        <v>6.9331090739920637E-2</v>
      </c>
    </row>
    <row r="18" spans="1:8">
      <c r="A18" s="16">
        <v>10</v>
      </c>
      <c r="B18" s="72">
        <v>14.116666666666667</v>
      </c>
      <c r="C18" s="16">
        <v>2</v>
      </c>
      <c r="D18" s="16">
        <v>1.1779999999999999</v>
      </c>
      <c r="E18" s="16">
        <v>1.163</v>
      </c>
      <c r="F18" s="16">
        <v>1.161</v>
      </c>
      <c r="G18" s="16">
        <f t="shared" ref="G18:G23" si="2">(C18*1000*AVERAGE(D18:F18))/$B$2</f>
        <v>38.878712184290869</v>
      </c>
      <c r="H18" s="19">
        <f t="shared" ref="H18:H23" si="3">(C18*1000*STDEV(D18:F18))/$B$2</f>
        <v>0.30946122375278978</v>
      </c>
    </row>
    <row r="19" spans="1:8">
      <c r="A19" s="16">
        <v>11</v>
      </c>
      <c r="B19" s="72">
        <v>15.333333333333334</v>
      </c>
      <c r="C19" s="16">
        <v>2</v>
      </c>
      <c r="D19" s="16">
        <v>1.139</v>
      </c>
      <c r="E19" s="16">
        <v>1.1419999999999999</v>
      </c>
      <c r="F19" s="16" t="s">
        <v>151</v>
      </c>
      <c r="G19" s="16">
        <f t="shared" si="2"/>
        <v>37.985012489592002</v>
      </c>
      <c r="H19" s="19">
        <f t="shared" si="3"/>
        <v>7.0651801617304444E-2</v>
      </c>
    </row>
    <row r="20" spans="1:8">
      <c r="A20" s="16">
        <v>12</v>
      </c>
      <c r="B20" s="72">
        <v>16.666666666666668</v>
      </c>
      <c r="C20" s="16">
        <v>2</v>
      </c>
      <c r="D20" s="16">
        <v>1.1559999999999999</v>
      </c>
      <c r="E20" s="16">
        <v>1.147</v>
      </c>
      <c r="F20" s="16">
        <v>1.145</v>
      </c>
      <c r="G20" s="16">
        <f t="shared" si="2"/>
        <v>38.279211767971134</v>
      </c>
      <c r="H20" s="19">
        <f t="shared" si="3"/>
        <v>0.19515288183454649</v>
      </c>
    </row>
    <row r="21" spans="1:8">
      <c r="A21" s="16">
        <v>13</v>
      </c>
      <c r="B21" s="72">
        <v>18</v>
      </c>
      <c r="C21" s="16">
        <v>2</v>
      </c>
      <c r="D21" s="16">
        <v>1.2110000000000001</v>
      </c>
      <c r="E21" s="19">
        <v>1.21</v>
      </c>
      <c r="F21" s="16">
        <v>1.198</v>
      </c>
      <c r="G21" s="16">
        <f t="shared" si="2"/>
        <v>40.177629752983634</v>
      </c>
      <c r="H21" s="19">
        <f t="shared" si="3"/>
        <v>0.24093848919468033</v>
      </c>
    </row>
    <row r="22" spans="1:8">
      <c r="A22" s="16">
        <v>14</v>
      </c>
      <c r="B22" s="72">
        <v>24</v>
      </c>
      <c r="C22" s="16">
        <v>2</v>
      </c>
      <c r="D22" s="16">
        <v>1.373</v>
      </c>
      <c r="E22" s="16">
        <v>1.3640000000000001</v>
      </c>
      <c r="F22" s="16">
        <v>1.3480000000000001</v>
      </c>
      <c r="G22" s="16">
        <f t="shared" si="2"/>
        <v>45.351096308631696</v>
      </c>
      <c r="H22" s="19">
        <f t="shared" si="3"/>
        <v>0.421724560937497</v>
      </c>
    </row>
    <row r="23" spans="1:8">
      <c r="A23" s="16">
        <v>15</v>
      </c>
      <c r="B23" s="72">
        <v>30</v>
      </c>
      <c r="C23" s="16">
        <v>2</v>
      </c>
      <c r="D23" s="16">
        <v>1.3420000000000001</v>
      </c>
      <c r="E23" s="16">
        <v>1.361</v>
      </c>
      <c r="F23" s="16">
        <v>1.3640000000000001</v>
      </c>
      <c r="G23" s="16">
        <f t="shared" si="2"/>
        <v>45.15126283652512</v>
      </c>
      <c r="H23" s="19">
        <f t="shared" si="3"/>
        <v>0.39734732541045259</v>
      </c>
    </row>
    <row r="24" spans="1:8">
      <c r="A24" s="74">
        <v>16</v>
      </c>
      <c r="B24" s="72">
        <v>48</v>
      </c>
      <c r="C24" s="16">
        <v>2</v>
      </c>
      <c r="D24" s="76">
        <v>1.3460000000000001</v>
      </c>
      <c r="E24" s="77">
        <v>1.3540000000000001</v>
      </c>
      <c r="F24" s="77">
        <v>1.3620000000000001</v>
      </c>
      <c r="G24" s="16">
        <f>(C24*1000*AVERAGE(D24:F24))/$B$2</f>
        <v>45.095753538717737</v>
      </c>
      <c r="H24" s="19">
        <f>(C24*1000*STDEV(D24:F24))/$B$2</f>
        <v>0.2664446294754374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D7" sqref="D7:F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60</v>
      </c>
    </row>
    <row r="2" spans="1:8">
      <c r="A2" s="28" t="s">
        <v>66</v>
      </c>
      <c r="B2" s="17">
        <v>74.08</v>
      </c>
    </row>
    <row r="4" spans="1:8">
      <c r="A4" s="114" t="s">
        <v>66</v>
      </c>
      <c r="B4" s="115"/>
      <c r="C4" s="115"/>
      <c r="D4" s="115"/>
      <c r="E4" s="115"/>
      <c r="F4" s="115"/>
      <c r="G4" s="115"/>
      <c r="H4" s="116"/>
    </row>
    <row r="5" spans="1:8">
      <c r="A5" s="117" t="s">
        <v>61</v>
      </c>
      <c r="B5" s="115"/>
      <c r="C5" s="116"/>
      <c r="D5" s="118" t="s">
        <v>44</v>
      </c>
      <c r="E5" s="118" t="s">
        <v>45</v>
      </c>
      <c r="F5" s="118" t="s">
        <v>46</v>
      </c>
      <c r="G5" s="120" t="s">
        <v>62</v>
      </c>
      <c r="H5" s="120" t="s">
        <v>63</v>
      </c>
    </row>
    <row r="6" spans="1:8">
      <c r="A6" s="29" t="s">
        <v>4</v>
      </c>
      <c r="B6" s="29" t="s">
        <v>59</v>
      </c>
      <c r="C6" s="29" t="s">
        <v>19</v>
      </c>
      <c r="D6" s="119"/>
      <c r="E6" s="119"/>
      <c r="F6" s="119"/>
      <c r="G6" s="121"/>
      <c r="H6" s="121"/>
    </row>
    <row r="7" spans="1:8">
      <c r="A7" s="16">
        <v>0</v>
      </c>
      <c r="B7" s="69">
        <v>-0.16666666666666666</v>
      </c>
      <c r="C7" s="16">
        <v>2</v>
      </c>
      <c r="D7" s="43">
        <v>0.11</v>
      </c>
      <c r="E7" s="43">
        <v>0.123</v>
      </c>
      <c r="F7" s="43">
        <v>0.113</v>
      </c>
      <c r="G7" s="16">
        <f>(C7*1000*AVERAGE(D7:F7))/$B$2</f>
        <v>3.1137508999280059</v>
      </c>
      <c r="H7" s="19">
        <f>(C7*1000*STDEV(D7:F7))/$B$2</f>
        <v>0.18377049907003357</v>
      </c>
    </row>
    <row r="8" spans="1:8">
      <c r="A8" s="16">
        <v>0</v>
      </c>
      <c r="B8" s="72">
        <v>0.16666666666666666</v>
      </c>
      <c r="C8" s="16">
        <v>2</v>
      </c>
      <c r="D8" s="43">
        <v>0.113</v>
      </c>
      <c r="E8" s="43">
        <v>0.112</v>
      </c>
      <c r="F8" s="43">
        <v>0.111</v>
      </c>
      <c r="G8" s="16">
        <f t="shared" ref="G8:G17" si="0">(C8*1000*AVERAGE(D8:F8))/$B$2</f>
        <v>3.0237580993520519</v>
      </c>
      <c r="H8" s="19">
        <f t="shared" ref="H8:H17" si="1">(C8*1000*STDEV(D8:F8))/$B$2</f>
        <v>2.6997840172786201E-2</v>
      </c>
    </row>
    <row r="9" spans="1:8">
      <c r="A9" s="16">
        <v>1</v>
      </c>
      <c r="B9" s="72">
        <v>2</v>
      </c>
      <c r="C9" s="16">
        <v>2</v>
      </c>
      <c r="D9" s="43"/>
      <c r="E9" s="43"/>
      <c r="F9" s="43"/>
      <c r="G9" s="16" t="e">
        <f t="shared" si="0"/>
        <v>#DIV/0!</v>
      </c>
      <c r="H9" s="19" t="e">
        <f t="shared" si="1"/>
        <v>#DIV/0!</v>
      </c>
    </row>
    <row r="10" spans="1:8">
      <c r="A10" s="16">
        <v>2</v>
      </c>
      <c r="B10" s="72">
        <v>3.3333333333333335</v>
      </c>
      <c r="C10" s="16">
        <v>2</v>
      </c>
      <c r="D10" s="43"/>
      <c r="E10" s="43"/>
      <c r="F10" s="43"/>
      <c r="G10" s="16" t="e">
        <f t="shared" si="0"/>
        <v>#DIV/0!</v>
      </c>
      <c r="H10" s="19" t="e">
        <f t="shared" si="1"/>
        <v>#DIV/0!</v>
      </c>
    </row>
    <row r="11" spans="1:8">
      <c r="A11" s="16">
        <v>3</v>
      </c>
      <c r="B11" s="72">
        <v>4.666666666666667</v>
      </c>
      <c r="C11" s="16">
        <v>2</v>
      </c>
      <c r="D11" s="43"/>
      <c r="E11" s="43"/>
      <c r="F11" s="43"/>
      <c r="G11" s="16" t="e">
        <f t="shared" si="0"/>
        <v>#DIV/0!</v>
      </c>
      <c r="H11" s="19" t="e">
        <f t="shared" si="1"/>
        <v>#DIV/0!</v>
      </c>
    </row>
    <row r="12" spans="1:8">
      <c r="A12" s="16">
        <v>4</v>
      </c>
      <c r="B12" s="72">
        <v>6</v>
      </c>
      <c r="C12" s="16">
        <v>2</v>
      </c>
      <c r="D12" s="43"/>
      <c r="E12" s="43"/>
      <c r="F12" s="43"/>
      <c r="G12" s="16" t="e">
        <f t="shared" si="0"/>
        <v>#DIV/0!</v>
      </c>
      <c r="H12" s="19" t="e">
        <f t="shared" si="1"/>
        <v>#DIV/0!</v>
      </c>
    </row>
    <row r="13" spans="1:8">
      <c r="A13" s="16">
        <v>5</v>
      </c>
      <c r="B13" s="72">
        <v>7.333333333333333</v>
      </c>
      <c r="C13" s="16">
        <v>2</v>
      </c>
      <c r="D13" s="43"/>
      <c r="E13" s="43"/>
      <c r="F13" s="43"/>
      <c r="G13" s="16" t="e">
        <f t="shared" si="0"/>
        <v>#DIV/0!</v>
      </c>
      <c r="H13" s="19" t="e">
        <f t="shared" si="1"/>
        <v>#DIV/0!</v>
      </c>
    </row>
    <row r="14" spans="1:8">
      <c r="A14" s="16">
        <v>6</v>
      </c>
      <c r="B14" s="72">
        <v>8.6666666666666661</v>
      </c>
      <c r="C14" s="16">
        <v>2</v>
      </c>
      <c r="D14" s="43"/>
      <c r="E14" s="43"/>
      <c r="F14" s="43"/>
      <c r="G14" s="16" t="e">
        <f t="shared" si="0"/>
        <v>#DIV/0!</v>
      </c>
      <c r="H14" s="19" t="e">
        <f t="shared" si="1"/>
        <v>#DIV/0!</v>
      </c>
    </row>
    <row r="15" spans="1:8">
      <c r="A15" s="16">
        <v>7</v>
      </c>
      <c r="B15" s="72">
        <v>10</v>
      </c>
      <c r="C15" s="16">
        <v>2</v>
      </c>
      <c r="D15" s="43"/>
      <c r="E15" s="43"/>
      <c r="F15" s="43"/>
      <c r="G15" s="16" t="e">
        <f t="shared" si="0"/>
        <v>#DIV/0!</v>
      </c>
      <c r="H15" s="19" t="e">
        <f t="shared" si="1"/>
        <v>#DIV/0!</v>
      </c>
    </row>
    <row r="16" spans="1:8">
      <c r="A16" s="16">
        <v>8</v>
      </c>
      <c r="B16" s="72">
        <v>11.333333333333334</v>
      </c>
      <c r="C16" s="16">
        <v>2</v>
      </c>
      <c r="D16" s="43"/>
      <c r="E16" s="43"/>
      <c r="F16" s="43"/>
      <c r="G16" s="16" t="e">
        <f t="shared" si="0"/>
        <v>#DIV/0!</v>
      </c>
      <c r="H16" s="19" t="e">
        <f t="shared" si="1"/>
        <v>#DIV/0!</v>
      </c>
    </row>
    <row r="17" spans="1:8">
      <c r="A17" s="16">
        <v>9</v>
      </c>
      <c r="B17" s="72">
        <v>12.666666666666666</v>
      </c>
      <c r="C17" s="16">
        <v>2</v>
      </c>
      <c r="D17" s="43"/>
      <c r="E17" s="43"/>
      <c r="F17" s="43"/>
      <c r="G17" s="16" t="e">
        <f t="shared" si="0"/>
        <v>#DIV/0!</v>
      </c>
      <c r="H17" s="19" t="e">
        <f t="shared" si="1"/>
        <v>#DIV/0!</v>
      </c>
    </row>
    <row r="18" spans="1:8">
      <c r="A18" s="16">
        <v>10</v>
      </c>
      <c r="B18" s="72">
        <v>14.116666666666667</v>
      </c>
      <c r="C18" s="16">
        <v>2</v>
      </c>
      <c r="D18" s="43"/>
      <c r="E18" s="43"/>
      <c r="F18" s="43"/>
      <c r="G18" s="16" t="e">
        <f t="shared" ref="G18:G23" si="2">(C18*1000*AVERAGE(D18:F18))/$B$2</f>
        <v>#DIV/0!</v>
      </c>
      <c r="H18" s="19" t="e">
        <f t="shared" ref="H18:H23" si="3">(C18*1000*STDEV(D18:F18))/$B$2</f>
        <v>#DIV/0!</v>
      </c>
    </row>
    <row r="19" spans="1:8">
      <c r="A19" s="16">
        <v>11</v>
      </c>
      <c r="B19" s="72">
        <v>15.333333333333334</v>
      </c>
      <c r="C19" s="16">
        <v>2</v>
      </c>
      <c r="D19" s="43"/>
      <c r="E19" s="43"/>
      <c r="F19" s="43"/>
      <c r="G19" s="16" t="e">
        <f t="shared" si="2"/>
        <v>#DIV/0!</v>
      </c>
      <c r="H19" s="19" t="e">
        <f t="shared" si="3"/>
        <v>#DIV/0!</v>
      </c>
    </row>
    <row r="20" spans="1:8">
      <c r="A20" s="16">
        <v>12</v>
      </c>
      <c r="B20" s="72">
        <v>16.666666666666668</v>
      </c>
      <c r="C20" s="16">
        <v>2</v>
      </c>
      <c r="D20" s="43"/>
      <c r="E20" s="43"/>
      <c r="F20" s="43"/>
      <c r="G20" s="16" t="e">
        <f t="shared" si="2"/>
        <v>#DIV/0!</v>
      </c>
      <c r="H20" s="19" t="e">
        <f t="shared" si="3"/>
        <v>#DIV/0!</v>
      </c>
    </row>
    <row r="21" spans="1:8">
      <c r="A21" s="16">
        <v>13</v>
      </c>
      <c r="B21" s="72">
        <v>18</v>
      </c>
      <c r="C21" s="16">
        <v>2</v>
      </c>
      <c r="D21" s="43"/>
      <c r="E21" s="43"/>
      <c r="F21" s="43"/>
      <c r="G21" s="16" t="e">
        <f t="shared" si="2"/>
        <v>#DIV/0!</v>
      </c>
      <c r="H21" s="19" t="e">
        <f t="shared" si="3"/>
        <v>#DIV/0!</v>
      </c>
    </row>
    <row r="22" spans="1:8">
      <c r="A22" s="16">
        <v>14</v>
      </c>
      <c r="B22" s="72">
        <v>24</v>
      </c>
      <c r="C22" s="16">
        <v>2</v>
      </c>
      <c r="D22" s="43"/>
      <c r="E22" s="43"/>
      <c r="F22" s="43"/>
      <c r="G22" s="16" t="e">
        <f t="shared" si="2"/>
        <v>#DIV/0!</v>
      </c>
      <c r="H22" s="19" t="e">
        <f t="shared" si="3"/>
        <v>#DIV/0!</v>
      </c>
    </row>
    <row r="23" spans="1:8">
      <c r="A23" s="16">
        <v>15</v>
      </c>
      <c r="B23" s="72">
        <v>30</v>
      </c>
      <c r="C23" s="16">
        <v>2</v>
      </c>
      <c r="D23" s="43"/>
      <c r="E23" s="43"/>
      <c r="F23" s="43"/>
      <c r="G23" s="16" t="e">
        <f t="shared" si="2"/>
        <v>#DIV/0!</v>
      </c>
      <c r="H23" s="19" t="e">
        <f t="shared" si="3"/>
        <v>#DIV/0!</v>
      </c>
    </row>
    <row r="24" spans="1:8">
      <c r="A24" s="74">
        <v>16</v>
      </c>
      <c r="B24" s="72">
        <v>48</v>
      </c>
      <c r="C24" s="16">
        <v>2</v>
      </c>
      <c r="D24" s="78">
        <v>0.13300000000000001</v>
      </c>
      <c r="E24" s="79">
        <v>0.14899999999999999</v>
      </c>
      <c r="F24" s="79">
        <v>0.16</v>
      </c>
      <c r="G24" s="16">
        <f>(C24*1000*AVERAGE(D24:F24))/$B$2</f>
        <v>3.9776817854571638</v>
      </c>
      <c r="H24" s="19">
        <f>(C24*1000*STDEV(D24:F24))/$B$2</f>
        <v>0.36654808953233081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60</v>
      </c>
    </row>
    <row r="2" spans="1:8">
      <c r="A2" s="28" t="s">
        <v>65</v>
      </c>
      <c r="B2" s="17">
        <v>88.11</v>
      </c>
    </row>
    <row r="4" spans="1:8">
      <c r="A4" s="114" t="s">
        <v>65</v>
      </c>
      <c r="B4" s="115"/>
      <c r="C4" s="115"/>
      <c r="D4" s="115"/>
      <c r="E4" s="115"/>
      <c r="F4" s="115"/>
      <c r="G4" s="115"/>
      <c r="H4" s="116"/>
    </row>
    <row r="5" spans="1:8">
      <c r="A5" s="117" t="s">
        <v>61</v>
      </c>
      <c r="B5" s="115"/>
      <c r="C5" s="116"/>
      <c r="D5" s="118" t="s">
        <v>44</v>
      </c>
      <c r="E5" s="118" t="s">
        <v>45</v>
      </c>
      <c r="F5" s="118" t="s">
        <v>46</v>
      </c>
      <c r="G5" s="120" t="s">
        <v>62</v>
      </c>
      <c r="H5" s="120" t="s">
        <v>63</v>
      </c>
    </row>
    <row r="6" spans="1:8">
      <c r="A6" s="29" t="s">
        <v>4</v>
      </c>
      <c r="B6" s="29" t="s">
        <v>59</v>
      </c>
      <c r="C6" s="29" t="s">
        <v>19</v>
      </c>
      <c r="D6" s="119"/>
      <c r="E6" s="119"/>
      <c r="F6" s="119"/>
      <c r="G6" s="121"/>
      <c r="H6" s="121"/>
    </row>
    <row r="7" spans="1:8">
      <c r="A7" s="16">
        <v>0</v>
      </c>
      <c r="B7" s="69">
        <v>-0.16666666666666666</v>
      </c>
      <c r="C7" s="16">
        <v>2</v>
      </c>
      <c r="D7">
        <v>0</v>
      </c>
      <c r="E7">
        <v>0</v>
      </c>
      <c r="F7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16">
        <v>0</v>
      </c>
      <c r="B8" s="72">
        <v>0.16666666666666666</v>
      </c>
      <c r="C8" s="16">
        <v>2</v>
      </c>
      <c r="D8" s="43">
        <v>9.8000000000000004E-2</v>
      </c>
      <c r="E8" s="43">
        <v>0.113</v>
      </c>
      <c r="F8" s="43">
        <v>0.12</v>
      </c>
      <c r="G8" s="16">
        <f>(C8*1000*AVERAGE(D8:F8))/$B$2</f>
        <v>2.5044452010744149</v>
      </c>
      <c r="H8" s="19">
        <f t="shared" ref="H8:H17" si="0">(C8*1000*STDEV(D8:F8))/$B$2</f>
        <v>0.25513131767241498</v>
      </c>
    </row>
    <row r="9" spans="1:8">
      <c r="A9" s="16">
        <v>1</v>
      </c>
      <c r="B9" s="72">
        <v>2</v>
      </c>
      <c r="C9" s="16">
        <v>2</v>
      </c>
      <c r="D9" s="43">
        <v>0.151</v>
      </c>
      <c r="E9" s="43">
        <v>0.16</v>
      </c>
      <c r="F9" s="43">
        <v>0.155</v>
      </c>
      <c r="G9" s="16">
        <f t="shared" ref="G9:G17" si="1">(C9*1000*AVERAGE(D9:F9))/$B$2</f>
        <v>3.5258956607271208</v>
      </c>
      <c r="H9" s="19">
        <f t="shared" si="0"/>
        <v>0.10235500517132899</v>
      </c>
    </row>
    <row r="10" spans="1:8">
      <c r="A10" s="16">
        <v>2</v>
      </c>
      <c r="B10" s="72">
        <v>3.3333333333333335</v>
      </c>
      <c r="C10" s="16">
        <v>2</v>
      </c>
      <c r="D10" s="44">
        <v>0.185</v>
      </c>
      <c r="E10" s="44">
        <v>0.186</v>
      </c>
      <c r="F10" s="44">
        <v>0.189</v>
      </c>
      <c r="G10" s="16">
        <f t="shared" si="1"/>
        <v>4.2371278326334512</v>
      </c>
      <c r="H10" s="19">
        <f t="shared" si="0"/>
        <v>4.7251526488846542E-2</v>
      </c>
    </row>
    <row r="11" spans="1:8">
      <c r="A11" s="16">
        <v>3</v>
      </c>
      <c r="B11" s="72">
        <v>4.666666666666667</v>
      </c>
      <c r="C11" s="16">
        <v>2</v>
      </c>
      <c r="D11" s="44">
        <v>0.22600000000000001</v>
      </c>
      <c r="E11" s="44">
        <v>0.222</v>
      </c>
      <c r="F11" s="44">
        <v>0.22700000000000001</v>
      </c>
      <c r="G11" s="16">
        <f t="shared" si="1"/>
        <v>5.1072522982635347</v>
      </c>
      <c r="H11" s="19">
        <f t="shared" si="0"/>
        <v>6.0055642062526227E-2</v>
      </c>
    </row>
    <row r="12" spans="1:8">
      <c r="A12" s="16">
        <v>4</v>
      </c>
      <c r="B12" s="72">
        <v>6</v>
      </c>
      <c r="C12" s="16">
        <v>2</v>
      </c>
      <c r="D12" s="44">
        <v>0.255</v>
      </c>
      <c r="E12" s="44">
        <v>0.26</v>
      </c>
      <c r="F12" s="44">
        <v>0.25600000000000001</v>
      </c>
      <c r="G12" s="16">
        <f t="shared" si="1"/>
        <v>5.8336170695721261</v>
      </c>
      <c r="H12" s="19">
        <f t="shared" si="0"/>
        <v>6.0055642062526227E-2</v>
      </c>
    </row>
    <row r="13" spans="1:8">
      <c r="A13" s="16">
        <v>5</v>
      </c>
      <c r="B13" s="72">
        <v>7.333333333333333</v>
      </c>
      <c r="C13" s="16">
        <v>2</v>
      </c>
      <c r="D13" s="44">
        <v>0.28699999999999998</v>
      </c>
      <c r="E13" s="44">
        <v>0.29599999999999999</v>
      </c>
      <c r="F13" s="44">
        <v>0.28699999999999998</v>
      </c>
      <c r="G13" s="16">
        <f t="shared" si="1"/>
        <v>6.5826807399841112</v>
      </c>
      <c r="H13" s="19">
        <f t="shared" si="0"/>
        <v>0.11794693956887156</v>
      </c>
    </row>
    <row r="14" spans="1:8">
      <c r="A14" s="16">
        <v>6</v>
      </c>
      <c r="B14" s="72">
        <v>8.6666666666666661</v>
      </c>
      <c r="C14" s="16">
        <v>2</v>
      </c>
      <c r="D14" s="44">
        <v>0.35099999999999998</v>
      </c>
      <c r="E14" s="44">
        <v>0.34499999999999997</v>
      </c>
      <c r="F14" s="44">
        <v>0.35199999999999998</v>
      </c>
      <c r="G14" s="16">
        <f t="shared" si="1"/>
        <v>7.9294820867854572</v>
      </c>
      <c r="H14" s="19">
        <f t="shared" si="0"/>
        <v>8.5936645039159806E-2</v>
      </c>
    </row>
    <row r="15" spans="1:8">
      <c r="A15" s="16">
        <v>7</v>
      </c>
      <c r="B15" s="72">
        <v>10</v>
      </c>
      <c r="C15" s="16">
        <v>2</v>
      </c>
      <c r="D15" s="44">
        <v>0.44700000000000001</v>
      </c>
      <c r="E15" s="44">
        <v>0.442</v>
      </c>
      <c r="F15" s="44">
        <v>0.42899999999999999</v>
      </c>
      <c r="G15" s="16">
        <f t="shared" si="1"/>
        <v>9.9723830060908725</v>
      </c>
      <c r="H15" s="19">
        <f t="shared" si="0"/>
        <v>0.21090848355867842</v>
      </c>
    </row>
    <row r="16" spans="1:8">
      <c r="A16" s="16">
        <v>8</v>
      </c>
      <c r="B16" s="72">
        <v>11.333333333333334</v>
      </c>
      <c r="C16" s="16">
        <v>2</v>
      </c>
      <c r="D16" s="35">
        <v>0.58599999999999997</v>
      </c>
      <c r="E16" s="35">
        <v>0.61799999999999999</v>
      </c>
      <c r="F16" s="35">
        <v>0.58499999999999996</v>
      </c>
      <c r="G16" s="16">
        <f t="shared" si="1"/>
        <v>13.536110165323647</v>
      </c>
      <c r="H16" s="19">
        <f t="shared" si="0"/>
        <v>0.42607069119059049</v>
      </c>
    </row>
    <row r="17" spans="1:8">
      <c r="A17" s="16">
        <v>9</v>
      </c>
      <c r="B17" s="72">
        <v>12.666666666666666</v>
      </c>
      <c r="C17" s="16">
        <v>2</v>
      </c>
      <c r="D17" s="35">
        <v>0.88600000000000001</v>
      </c>
      <c r="E17" s="35">
        <v>0.85699999999999998</v>
      </c>
      <c r="F17" s="35">
        <v>0.85399999999999998</v>
      </c>
      <c r="G17" s="16">
        <f t="shared" si="1"/>
        <v>19.649680323837629</v>
      </c>
      <c r="H17" s="19">
        <f t="shared" si="0"/>
        <v>0.40115661912946915</v>
      </c>
    </row>
    <row r="18" spans="1:8">
      <c r="A18" s="16">
        <v>10</v>
      </c>
      <c r="B18" s="72">
        <v>14.116666666666667</v>
      </c>
      <c r="C18" s="16">
        <v>2</v>
      </c>
      <c r="D18" s="35">
        <v>1.2450000000000001</v>
      </c>
      <c r="E18" s="35">
        <v>1.234</v>
      </c>
      <c r="F18" s="35">
        <v>1.222</v>
      </c>
      <c r="G18" s="16">
        <f t="shared" ref="G18:G23" si="2">(C18*1000*AVERAGE(D18:F18))/$B$2</f>
        <v>28.002875193886432</v>
      </c>
      <c r="H18" s="19">
        <f t="shared" ref="H18:H23" si="3">(C18*1000*STDEV(D18:F18))/$B$2</f>
        <v>0.26111956912552486</v>
      </c>
    </row>
    <row r="19" spans="1:8">
      <c r="A19" s="16">
        <v>11</v>
      </c>
      <c r="B19" s="72">
        <v>15.333333333333334</v>
      </c>
      <c r="C19" s="16">
        <v>2</v>
      </c>
      <c r="D19" s="35">
        <v>1.5660000000000001</v>
      </c>
      <c r="E19" s="35">
        <v>1.5669999999999999</v>
      </c>
      <c r="F19" s="35">
        <v>1.5649999999999999</v>
      </c>
      <c r="G19" s="16">
        <f t="shared" si="2"/>
        <v>35.5464759959142</v>
      </c>
      <c r="H19" s="19">
        <f t="shared" si="3"/>
        <v>2.2698899103393507E-2</v>
      </c>
    </row>
    <row r="20" spans="1:8">
      <c r="A20" s="16">
        <v>12</v>
      </c>
      <c r="B20" s="72">
        <v>16.666666666666668</v>
      </c>
      <c r="C20" s="16">
        <v>2</v>
      </c>
      <c r="D20" s="35">
        <v>1.966</v>
      </c>
      <c r="E20" s="35">
        <v>1.948</v>
      </c>
      <c r="F20" s="35">
        <v>1.944</v>
      </c>
      <c r="G20" s="16">
        <f t="shared" si="2"/>
        <v>44.323383649226344</v>
      </c>
      <c r="H20" s="19">
        <f t="shared" si="3"/>
        <v>0.26600682224865829</v>
      </c>
    </row>
    <row r="21" spans="1:8">
      <c r="A21" s="16">
        <v>13</v>
      </c>
      <c r="B21" s="72">
        <v>18</v>
      </c>
      <c r="C21" s="16">
        <v>2</v>
      </c>
      <c r="D21" s="35">
        <v>2.298</v>
      </c>
      <c r="E21" s="35">
        <v>2.2829999999999999</v>
      </c>
      <c r="F21" s="35">
        <v>2.274</v>
      </c>
      <c r="G21" s="16">
        <f t="shared" si="2"/>
        <v>51.866984451254105</v>
      </c>
      <c r="H21" s="19">
        <f t="shared" si="3"/>
        <v>0.27520952566070056</v>
      </c>
    </row>
    <row r="22" spans="1:8">
      <c r="A22" s="16">
        <v>14</v>
      </c>
      <c r="B22" s="72">
        <v>24</v>
      </c>
      <c r="C22" s="16">
        <v>2</v>
      </c>
      <c r="D22" s="35">
        <v>2.8239999999999998</v>
      </c>
      <c r="E22" s="35">
        <v>2.7959999999999998</v>
      </c>
      <c r="F22" s="35">
        <v>2.7610000000000001</v>
      </c>
      <c r="G22" s="16">
        <f t="shared" si="2"/>
        <v>63.413157795180275</v>
      </c>
      <c r="H22" s="19">
        <f t="shared" si="3"/>
        <v>0.71648503619929893</v>
      </c>
    </row>
    <row r="23" spans="1:8">
      <c r="A23" s="16">
        <v>15</v>
      </c>
      <c r="B23" s="72">
        <v>30</v>
      </c>
      <c r="C23" s="16">
        <v>2</v>
      </c>
      <c r="D23" s="35">
        <v>2.8159999999999998</v>
      </c>
      <c r="E23" s="35">
        <v>2.8479999999999999</v>
      </c>
      <c r="F23" s="35">
        <v>2.86</v>
      </c>
      <c r="G23" s="16">
        <f t="shared" si="2"/>
        <v>64.495138652442023</v>
      </c>
      <c r="H23" s="19">
        <f t="shared" si="3"/>
        <v>0.51628561598704636</v>
      </c>
    </row>
    <row r="24" spans="1:8">
      <c r="A24" s="74">
        <v>16</v>
      </c>
      <c r="B24" s="72">
        <v>48</v>
      </c>
      <c r="C24" s="16">
        <v>2</v>
      </c>
      <c r="D24" s="76">
        <v>2.93</v>
      </c>
      <c r="E24" s="77">
        <v>2.9350000000000001</v>
      </c>
      <c r="F24" s="77">
        <v>2.9649999999999999</v>
      </c>
      <c r="G24" s="16">
        <f>(C24*1000*AVERAGE(D24:F24))/$B$2</f>
        <v>66.81042636098816</v>
      </c>
      <c r="H24" s="19">
        <f>(C24*1000*STDEV(D24:F24))/$B$2</f>
        <v>0.42968322519579533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60</v>
      </c>
    </row>
    <row r="2" spans="1:8">
      <c r="A2" s="21" t="s">
        <v>41</v>
      </c>
      <c r="B2" s="17">
        <v>90.08</v>
      </c>
    </row>
    <row r="4" spans="1:8">
      <c r="A4" s="114" t="s">
        <v>41</v>
      </c>
      <c r="B4" s="115"/>
      <c r="C4" s="115"/>
      <c r="D4" s="115"/>
      <c r="E4" s="115"/>
      <c r="F4" s="115"/>
      <c r="G4" s="115"/>
      <c r="H4" s="116"/>
    </row>
    <row r="5" spans="1:8">
      <c r="A5" s="117" t="s">
        <v>61</v>
      </c>
      <c r="B5" s="115"/>
      <c r="C5" s="116"/>
      <c r="D5" s="118" t="s">
        <v>44</v>
      </c>
      <c r="E5" s="118" t="s">
        <v>45</v>
      </c>
      <c r="F5" s="118" t="s">
        <v>46</v>
      </c>
      <c r="G5" s="120" t="s">
        <v>62</v>
      </c>
      <c r="H5" s="120" t="s">
        <v>63</v>
      </c>
    </row>
    <row r="6" spans="1:8">
      <c r="A6" s="22" t="s">
        <v>4</v>
      </c>
      <c r="B6" s="22" t="s">
        <v>59</v>
      </c>
      <c r="C6" s="22" t="s">
        <v>19</v>
      </c>
      <c r="D6" s="119"/>
      <c r="E6" s="119"/>
      <c r="F6" s="119"/>
      <c r="G6" s="121"/>
      <c r="H6" s="121"/>
    </row>
    <row r="7" spans="1:8">
      <c r="A7" s="16">
        <v>0</v>
      </c>
      <c r="B7" s="69">
        <v>-0.16666666666666666</v>
      </c>
      <c r="C7" s="16">
        <v>2</v>
      </c>
      <c r="D7" s="43">
        <v>9.6000000000000002E-2</v>
      </c>
      <c r="E7" s="43">
        <v>9.6000000000000002E-2</v>
      </c>
      <c r="F7" s="43">
        <v>9.5000000000000001E-2</v>
      </c>
      <c r="G7" s="16">
        <f>(C7*1000*AVERAGE(D7:F7))/$B$2</f>
        <v>2.1240378922439316</v>
      </c>
      <c r="H7" s="19">
        <f>(C7*1000*STDEV(D7:F7))/$B$2</f>
        <v>1.2818611660515681E-2</v>
      </c>
    </row>
    <row r="8" spans="1:8">
      <c r="A8" s="16">
        <v>0</v>
      </c>
      <c r="B8" s="72">
        <v>0.16666666666666666</v>
      </c>
      <c r="C8" s="16">
        <v>2</v>
      </c>
      <c r="D8" s="43">
        <v>0.105</v>
      </c>
      <c r="E8" s="43">
        <v>0.105</v>
      </c>
      <c r="F8" s="43">
        <v>0.104</v>
      </c>
      <c r="G8" s="16">
        <f t="shared" ref="G8:G17" si="0">(C8*1000*AVERAGE(D8:F8))/$B$2</f>
        <v>2.3238602723505033</v>
      </c>
      <c r="H8" s="19">
        <f t="shared" ref="H8:H17" si="1">(C8*1000*STDEV(D8:F8))/$B$2</f>
        <v>1.2818611660515681E-2</v>
      </c>
    </row>
    <row r="9" spans="1:8">
      <c r="A9" s="16">
        <v>1</v>
      </c>
      <c r="B9" s="72">
        <v>2</v>
      </c>
      <c r="C9" s="16">
        <v>2</v>
      </c>
      <c r="D9" s="43">
        <v>0.105</v>
      </c>
      <c r="E9" s="43">
        <v>0.104</v>
      </c>
      <c r="F9" s="43">
        <v>0.104</v>
      </c>
      <c r="G9" s="16">
        <f t="shared" si="0"/>
        <v>2.3164594434576671</v>
      </c>
      <c r="H9" s="19">
        <f t="shared" si="1"/>
        <v>1.2818611660515681E-2</v>
      </c>
    </row>
    <row r="10" spans="1:8">
      <c r="A10" s="16">
        <v>2</v>
      </c>
      <c r="B10" s="72">
        <v>3.3333333333333335</v>
      </c>
      <c r="C10" s="16">
        <v>2</v>
      </c>
      <c r="D10" s="43">
        <v>0.105</v>
      </c>
      <c r="E10" s="43">
        <v>0.104</v>
      </c>
      <c r="F10" s="43">
        <v>0.104</v>
      </c>
      <c r="G10" s="16">
        <f t="shared" si="0"/>
        <v>2.3164594434576671</v>
      </c>
      <c r="H10" s="19">
        <f t="shared" si="1"/>
        <v>1.2818611660515681E-2</v>
      </c>
    </row>
    <row r="11" spans="1:8">
      <c r="A11" s="16">
        <v>3</v>
      </c>
      <c r="B11" s="72">
        <v>4.666666666666667</v>
      </c>
      <c r="C11" s="16">
        <v>2</v>
      </c>
      <c r="D11" s="43">
        <v>0.106</v>
      </c>
      <c r="E11" s="43">
        <v>0.105</v>
      </c>
      <c r="F11" s="43">
        <v>0.105</v>
      </c>
      <c r="G11" s="16">
        <f t="shared" si="0"/>
        <v>2.3386619301361753</v>
      </c>
      <c r="H11" s="19">
        <f t="shared" si="1"/>
        <v>1.2818611660515681E-2</v>
      </c>
    </row>
    <row r="12" spans="1:8">
      <c r="A12" s="16">
        <v>4</v>
      </c>
      <c r="B12" s="72">
        <v>6</v>
      </c>
      <c r="C12" s="16">
        <v>2</v>
      </c>
      <c r="D12" s="44">
        <v>0.104</v>
      </c>
      <c r="E12" s="44">
        <v>0.104</v>
      </c>
      <c r="F12" s="44">
        <v>0.10299999999999999</v>
      </c>
      <c r="G12" s="16">
        <f t="shared" si="0"/>
        <v>2.3016577856719955</v>
      </c>
      <c r="H12" s="19">
        <f t="shared" si="1"/>
        <v>1.2818611660515681E-2</v>
      </c>
    </row>
    <row r="13" spans="1:8">
      <c r="A13" s="16">
        <v>5</v>
      </c>
      <c r="B13" s="72">
        <v>7.333333333333333</v>
      </c>
      <c r="C13" s="16">
        <v>2</v>
      </c>
      <c r="D13" s="44">
        <v>0.105</v>
      </c>
      <c r="E13" s="44">
        <v>0.10299999999999999</v>
      </c>
      <c r="F13" s="44">
        <v>0.105</v>
      </c>
      <c r="G13" s="16">
        <f t="shared" si="0"/>
        <v>2.3164594434576671</v>
      </c>
      <c r="H13" s="19">
        <f t="shared" si="1"/>
        <v>2.5637223321031362E-2</v>
      </c>
    </row>
    <row r="14" spans="1:8">
      <c r="A14" s="16">
        <v>6</v>
      </c>
      <c r="B14" s="72">
        <v>8.6666666666666661</v>
      </c>
      <c r="C14" s="16">
        <v>2</v>
      </c>
      <c r="D14" s="44">
        <v>0.10299999999999999</v>
      </c>
      <c r="E14" s="44">
        <v>0.10299999999999999</v>
      </c>
      <c r="F14" s="44">
        <v>0.10299999999999999</v>
      </c>
      <c r="G14" s="16">
        <f t="shared" si="0"/>
        <v>2.2868561278863235</v>
      </c>
      <c r="H14" s="19">
        <f t="shared" si="1"/>
        <v>0</v>
      </c>
    </row>
    <row r="15" spans="1:8">
      <c r="A15" s="16">
        <v>7</v>
      </c>
      <c r="B15" s="72">
        <v>10</v>
      </c>
      <c r="C15" s="16">
        <v>2</v>
      </c>
      <c r="D15" s="64">
        <v>0.1</v>
      </c>
      <c r="E15" s="64">
        <v>9.9000000000000005E-2</v>
      </c>
      <c r="F15" s="64">
        <v>9.9000000000000005E-2</v>
      </c>
      <c r="G15" s="16">
        <f t="shared" si="0"/>
        <v>2.2054470100651273</v>
      </c>
      <c r="H15" s="19">
        <f t="shared" si="1"/>
        <v>1.2818611660515681E-2</v>
      </c>
    </row>
    <row r="16" spans="1:8">
      <c r="A16" s="16">
        <v>8</v>
      </c>
      <c r="B16" s="72">
        <v>11.333333333333334</v>
      </c>
      <c r="C16" s="16">
        <v>2</v>
      </c>
      <c r="D16" s="64">
        <v>9.6000000000000002E-2</v>
      </c>
      <c r="E16" s="64">
        <v>9.8000000000000004E-2</v>
      </c>
      <c r="F16" s="64">
        <v>9.6000000000000002E-2</v>
      </c>
      <c r="G16" s="16">
        <f t="shared" si="0"/>
        <v>2.1462403789224398</v>
      </c>
      <c r="H16" s="19">
        <f t="shared" si="1"/>
        <v>2.5637223321031362E-2</v>
      </c>
    </row>
    <row r="17" spans="1:8">
      <c r="A17" s="16">
        <v>9</v>
      </c>
      <c r="B17" s="72">
        <v>12.666666666666666</v>
      </c>
      <c r="C17" s="16">
        <v>2</v>
      </c>
      <c r="D17" s="64">
        <v>9.7000000000000003E-2</v>
      </c>
      <c r="E17" s="64">
        <v>9.5000000000000001E-2</v>
      </c>
      <c r="F17" s="64">
        <v>9.7000000000000003E-2</v>
      </c>
      <c r="G17" s="16">
        <f t="shared" si="0"/>
        <v>2.1388395500296036</v>
      </c>
      <c r="H17" s="19">
        <f t="shared" si="1"/>
        <v>2.5637223321031362E-2</v>
      </c>
    </row>
    <row r="18" spans="1:8">
      <c r="A18" s="16">
        <v>10</v>
      </c>
      <c r="B18" s="72">
        <v>14.116666666666667</v>
      </c>
      <c r="C18" s="16">
        <v>2</v>
      </c>
      <c r="D18" s="43">
        <v>9.9000000000000005E-2</v>
      </c>
      <c r="E18" s="43">
        <v>9.8000000000000004E-2</v>
      </c>
      <c r="F18" s="43">
        <v>9.8000000000000004E-2</v>
      </c>
      <c r="G18" s="16">
        <f t="shared" ref="G18:G23" si="2">(C18*1000*AVERAGE(D18:F18))/$B$2</f>
        <v>2.1832445233866196</v>
      </c>
      <c r="H18" s="19">
        <f t="shared" ref="H18:H23" si="3">(C18*1000*STDEV(D18:F18))/$B$2</f>
        <v>1.2818611660515681E-2</v>
      </c>
    </row>
    <row r="19" spans="1:8">
      <c r="A19" s="16">
        <v>11</v>
      </c>
      <c r="B19" s="72">
        <v>15.333333333333334</v>
      </c>
      <c r="C19" s="16">
        <v>2</v>
      </c>
      <c r="D19" s="64">
        <v>0.107</v>
      </c>
      <c r="E19" s="64">
        <v>0.106</v>
      </c>
      <c r="F19" s="64">
        <v>0.107</v>
      </c>
      <c r="G19" s="16">
        <f t="shared" si="2"/>
        <v>2.3682652457075193</v>
      </c>
      <c r="H19" s="19">
        <f t="shared" si="3"/>
        <v>1.2818611660515681E-2</v>
      </c>
    </row>
    <row r="20" spans="1:8">
      <c r="A20" s="16">
        <v>12</v>
      </c>
      <c r="B20" s="72">
        <v>16.666666666666668</v>
      </c>
      <c r="C20" s="16">
        <v>2</v>
      </c>
      <c r="D20" s="64">
        <v>0.183</v>
      </c>
      <c r="E20" s="64">
        <v>0.182</v>
      </c>
      <c r="F20" s="64">
        <v>0.182</v>
      </c>
      <c r="G20" s="16">
        <f t="shared" si="2"/>
        <v>4.0482534043812901</v>
      </c>
      <c r="H20" s="19">
        <f t="shared" si="3"/>
        <v>1.2818611660515681E-2</v>
      </c>
    </row>
    <row r="21" spans="1:8">
      <c r="A21" s="16">
        <v>13</v>
      </c>
      <c r="B21" s="72">
        <v>18</v>
      </c>
      <c r="C21" s="16">
        <v>2</v>
      </c>
      <c r="D21" s="64">
        <v>0.36499999999999999</v>
      </c>
      <c r="E21" s="64">
        <v>0.36299999999999999</v>
      </c>
      <c r="F21" s="64">
        <v>0.36099999999999999</v>
      </c>
      <c r="G21" s="16">
        <f t="shared" si="2"/>
        <v>8.0595026642984013</v>
      </c>
      <c r="H21" s="19">
        <f t="shared" si="3"/>
        <v>4.4404973357016028E-2</v>
      </c>
    </row>
    <row r="22" spans="1:8">
      <c r="A22" s="16">
        <v>14</v>
      </c>
      <c r="B22" s="72">
        <v>24</v>
      </c>
      <c r="C22" s="16">
        <v>2</v>
      </c>
      <c r="D22" s="54">
        <v>0.747</v>
      </c>
      <c r="E22" s="54">
        <v>0.745</v>
      </c>
      <c r="F22" s="54">
        <v>0.73599999999999999</v>
      </c>
      <c r="G22" s="16">
        <f t="shared" si="2"/>
        <v>16.489046773238602</v>
      </c>
      <c r="H22" s="19">
        <f t="shared" si="3"/>
        <v>0.13009469975760035</v>
      </c>
    </row>
    <row r="23" spans="1:8">
      <c r="A23" s="16">
        <v>15</v>
      </c>
      <c r="B23" s="72">
        <v>30</v>
      </c>
      <c r="C23" s="16">
        <v>2</v>
      </c>
      <c r="D23" s="54">
        <v>0.78400000000000003</v>
      </c>
      <c r="E23" s="54">
        <v>0.76700000000000002</v>
      </c>
      <c r="F23" s="54">
        <v>0.79200000000000004</v>
      </c>
      <c r="G23" s="16">
        <f t="shared" si="2"/>
        <v>17.340142095914743</v>
      </c>
      <c r="H23" s="19">
        <f t="shared" si="3"/>
        <v>0.28346237421855497</v>
      </c>
    </row>
    <row r="24" spans="1:8">
      <c r="A24" s="74">
        <v>16</v>
      </c>
      <c r="B24" s="72">
        <v>48</v>
      </c>
      <c r="C24" s="16">
        <v>2</v>
      </c>
      <c r="D24" s="76">
        <v>0.82299999999999995</v>
      </c>
      <c r="E24" s="77">
        <v>0.81499999999999995</v>
      </c>
      <c r="F24" s="77">
        <v>0.82499999999999996</v>
      </c>
      <c r="G24" s="16">
        <f>(C24*1000*AVERAGE(D24:F24))/$B$2</f>
        <v>18.228241563055064</v>
      </c>
      <c r="H24" s="19">
        <f>(C24*1000*STDEV(D24:F24))/$B$2</f>
        <v>0.11748451647711336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7" sqref="A7:B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60</v>
      </c>
    </row>
    <row r="2" spans="1:8">
      <c r="A2" s="21" t="s">
        <v>43</v>
      </c>
      <c r="B2" s="17">
        <v>46.07</v>
      </c>
    </row>
    <row r="4" spans="1:8">
      <c r="A4" s="114" t="s">
        <v>43</v>
      </c>
      <c r="B4" s="115"/>
      <c r="C4" s="115"/>
      <c r="D4" s="115"/>
      <c r="E4" s="115"/>
      <c r="F4" s="115"/>
      <c r="G4" s="115"/>
      <c r="H4" s="116"/>
    </row>
    <row r="5" spans="1:8">
      <c r="A5" s="117" t="s">
        <v>61</v>
      </c>
      <c r="B5" s="115"/>
      <c r="C5" s="116"/>
      <c r="D5" s="118" t="s">
        <v>44</v>
      </c>
      <c r="E5" s="118" t="s">
        <v>45</v>
      </c>
      <c r="F5" s="118" t="s">
        <v>46</v>
      </c>
      <c r="G5" s="120" t="s">
        <v>62</v>
      </c>
      <c r="H5" s="120" t="s">
        <v>63</v>
      </c>
    </row>
    <row r="6" spans="1:8">
      <c r="A6" s="22" t="s">
        <v>4</v>
      </c>
      <c r="B6" s="22" t="s">
        <v>59</v>
      </c>
      <c r="C6" s="22" t="s">
        <v>19</v>
      </c>
      <c r="D6" s="119"/>
      <c r="E6" s="119"/>
      <c r="F6" s="119"/>
      <c r="G6" s="121"/>
      <c r="H6" s="121"/>
    </row>
    <row r="7" spans="1:8">
      <c r="A7" s="16">
        <v>0</v>
      </c>
      <c r="B7" s="69">
        <v>-0.16666666666666666</v>
      </c>
      <c r="C7" s="16">
        <v>2</v>
      </c>
      <c r="D7" s="18"/>
      <c r="E7" s="18"/>
      <c r="F7" s="18"/>
      <c r="G7" s="16" t="e">
        <f>(C7*1000*AVERAGE(D7:F7))/$B$2</f>
        <v>#DIV/0!</v>
      </c>
      <c r="H7" s="19" t="e">
        <f>(C7*1000*STDEV(D7:F7))/$B$2</f>
        <v>#DIV/0!</v>
      </c>
    </row>
    <row r="8" spans="1:8">
      <c r="A8" s="16">
        <v>0</v>
      </c>
      <c r="B8" s="72">
        <v>0.16666666666666666</v>
      </c>
      <c r="C8" s="16">
        <v>2</v>
      </c>
      <c r="D8" s="18"/>
      <c r="E8" s="18"/>
      <c r="F8" s="18"/>
      <c r="G8" s="16" t="e">
        <f t="shared" ref="G8:G17" si="0">(C8*1000*AVERAGE(D8:F8))/$B$2</f>
        <v>#DIV/0!</v>
      </c>
      <c r="H8" s="19" t="e">
        <f t="shared" ref="H8:H17" si="1">(C8*1000*STDEV(D8:F8))/$B$2</f>
        <v>#DIV/0!</v>
      </c>
    </row>
    <row r="9" spans="1:8">
      <c r="A9" s="16">
        <v>1</v>
      </c>
      <c r="B9" s="72">
        <v>2</v>
      </c>
      <c r="C9" s="16">
        <v>2</v>
      </c>
      <c r="D9" s="18"/>
      <c r="E9" s="18"/>
      <c r="F9" s="18"/>
      <c r="G9" s="16" t="e">
        <f t="shared" si="0"/>
        <v>#DIV/0!</v>
      </c>
      <c r="H9" s="19" t="e">
        <f t="shared" si="1"/>
        <v>#DIV/0!</v>
      </c>
    </row>
    <row r="10" spans="1:8">
      <c r="A10" s="16">
        <v>2</v>
      </c>
      <c r="B10" s="72">
        <v>3.3333333333333335</v>
      </c>
      <c r="C10" s="16">
        <v>2</v>
      </c>
      <c r="D10" s="18"/>
      <c r="E10" s="18"/>
      <c r="F10" s="18"/>
      <c r="G10" s="16" t="e">
        <f t="shared" si="0"/>
        <v>#DIV/0!</v>
      </c>
      <c r="H10" s="19" t="e">
        <f t="shared" si="1"/>
        <v>#DIV/0!</v>
      </c>
    </row>
    <row r="11" spans="1:8">
      <c r="A11" s="16">
        <v>3</v>
      </c>
      <c r="B11" s="72">
        <v>4.666666666666667</v>
      </c>
      <c r="C11" s="16">
        <v>2</v>
      </c>
      <c r="D11" s="18"/>
      <c r="E11" s="18"/>
      <c r="F11" s="18"/>
      <c r="G11" s="16" t="e">
        <f t="shared" si="0"/>
        <v>#DIV/0!</v>
      </c>
      <c r="H11" s="19" t="e">
        <f t="shared" si="1"/>
        <v>#DIV/0!</v>
      </c>
    </row>
    <row r="12" spans="1:8">
      <c r="A12" s="16">
        <v>4</v>
      </c>
      <c r="B12" s="72">
        <v>6</v>
      </c>
      <c r="C12" s="16">
        <v>2</v>
      </c>
      <c r="D12" s="18"/>
      <c r="E12" s="18"/>
      <c r="F12" s="18"/>
      <c r="G12" s="16" t="e">
        <f t="shared" si="0"/>
        <v>#DIV/0!</v>
      </c>
      <c r="H12" s="19" t="e">
        <f t="shared" si="1"/>
        <v>#DIV/0!</v>
      </c>
    </row>
    <row r="13" spans="1:8">
      <c r="A13" s="16">
        <v>5</v>
      </c>
      <c r="B13" s="72">
        <v>7.333333333333333</v>
      </c>
      <c r="C13" s="16">
        <v>2</v>
      </c>
      <c r="D13" s="18"/>
      <c r="E13" s="18"/>
      <c r="F13" s="18"/>
      <c r="G13" s="16" t="e">
        <f t="shared" si="0"/>
        <v>#DIV/0!</v>
      </c>
      <c r="H13" s="19" t="e">
        <f t="shared" si="1"/>
        <v>#DIV/0!</v>
      </c>
    </row>
    <row r="14" spans="1:8">
      <c r="A14" s="16">
        <v>6</v>
      </c>
      <c r="B14" s="72">
        <v>8.6666666666666661</v>
      </c>
      <c r="C14" s="16">
        <v>2</v>
      </c>
      <c r="D14" s="18"/>
      <c r="E14" s="18"/>
      <c r="F14" s="18"/>
      <c r="G14" s="16" t="e">
        <f t="shared" si="0"/>
        <v>#DIV/0!</v>
      </c>
      <c r="H14" s="19" t="e">
        <f t="shared" si="1"/>
        <v>#DIV/0!</v>
      </c>
    </row>
    <row r="15" spans="1:8">
      <c r="A15" s="16">
        <v>7</v>
      </c>
      <c r="B15" s="72">
        <v>10</v>
      </c>
      <c r="C15" s="16">
        <v>2</v>
      </c>
      <c r="D15" s="18"/>
      <c r="E15" s="18"/>
      <c r="F15" s="18"/>
      <c r="G15" s="16" t="e">
        <f t="shared" si="0"/>
        <v>#DIV/0!</v>
      </c>
      <c r="H15" s="19" t="e">
        <f t="shared" si="1"/>
        <v>#DIV/0!</v>
      </c>
    </row>
    <row r="16" spans="1:8">
      <c r="A16" s="16">
        <v>8</v>
      </c>
      <c r="B16" s="72">
        <v>11.333333333333334</v>
      </c>
      <c r="C16" s="16">
        <v>2</v>
      </c>
      <c r="D16" s="18"/>
      <c r="E16" s="18"/>
      <c r="F16" s="18"/>
      <c r="G16" s="16" t="e">
        <f t="shared" si="0"/>
        <v>#DIV/0!</v>
      </c>
      <c r="H16" s="19" t="e">
        <f t="shared" si="1"/>
        <v>#DIV/0!</v>
      </c>
    </row>
    <row r="17" spans="1:8">
      <c r="A17" s="16">
        <v>9</v>
      </c>
      <c r="B17" s="72">
        <v>12.666666666666666</v>
      </c>
      <c r="C17" s="16">
        <v>2</v>
      </c>
      <c r="D17" s="18"/>
      <c r="E17" s="18"/>
      <c r="F17" s="18"/>
      <c r="G17" s="16" t="e">
        <f t="shared" si="0"/>
        <v>#DIV/0!</v>
      </c>
      <c r="H17" s="19" t="e">
        <f t="shared" si="1"/>
        <v>#DIV/0!</v>
      </c>
    </row>
    <row r="18" spans="1:8">
      <c r="A18" s="16">
        <v>10</v>
      </c>
      <c r="B18" s="72">
        <v>14.116666666666667</v>
      </c>
      <c r="C18" s="16">
        <v>2</v>
      </c>
      <c r="D18" s="18"/>
      <c r="E18" s="18"/>
      <c r="F18" s="18"/>
      <c r="G18" s="16" t="e">
        <f t="shared" ref="G18:G23" si="2">(C18*1000*AVERAGE(D18:F18))/$B$2</f>
        <v>#DIV/0!</v>
      </c>
      <c r="H18" s="19" t="e">
        <f t="shared" ref="H18:H23" si="3">(C18*1000*STDEV(D18:F18))/$B$2</f>
        <v>#DIV/0!</v>
      </c>
    </row>
    <row r="19" spans="1:8">
      <c r="A19" s="16">
        <v>11</v>
      </c>
      <c r="B19" s="72">
        <v>15.333333333333334</v>
      </c>
      <c r="C19" s="16">
        <v>2</v>
      </c>
      <c r="D19" s="18"/>
      <c r="E19" s="18"/>
      <c r="F19" s="18"/>
      <c r="G19" s="16" t="e">
        <f t="shared" si="2"/>
        <v>#DIV/0!</v>
      </c>
      <c r="H19" s="19" t="e">
        <f t="shared" si="3"/>
        <v>#DIV/0!</v>
      </c>
    </row>
    <row r="20" spans="1:8">
      <c r="A20" s="16">
        <v>12</v>
      </c>
      <c r="B20" s="72">
        <v>16.666666666666668</v>
      </c>
      <c r="C20" s="16">
        <v>2</v>
      </c>
      <c r="D20" s="18"/>
      <c r="E20" s="18"/>
      <c r="F20" s="18"/>
      <c r="G20" s="16" t="e">
        <f t="shared" si="2"/>
        <v>#DIV/0!</v>
      </c>
      <c r="H20" s="19" t="e">
        <f t="shared" si="3"/>
        <v>#DIV/0!</v>
      </c>
    </row>
    <row r="21" spans="1:8">
      <c r="A21" s="16">
        <v>13</v>
      </c>
      <c r="B21" s="72">
        <v>18</v>
      </c>
      <c r="C21" s="16">
        <v>2</v>
      </c>
      <c r="D21" s="18"/>
      <c r="E21" s="18"/>
      <c r="F21" s="18"/>
      <c r="G21" s="16" t="e">
        <f t="shared" si="2"/>
        <v>#DIV/0!</v>
      </c>
      <c r="H21" s="19" t="e">
        <f t="shared" si="3"/>
        <v>#DIV/0!</v>
      </c>
    </row>
    <row r="22" spans="1:8">
      <c r="A22" s="16">
        <v>14</v>
      </c>
      <c r="B22" s="72">
        <v>24</v>
      </c>
      <c r="C22" s="16">
        <v>2</v>
      </c>
      <c r="D22" s="18"/>
      <c r="E22" s="18"/>
      <c r="F22" s="18"/>
      <c r="G22" s="16" t="e">
        <f t="shared" si="2"/>
        <v>#DIV/0!</v>
      </c>
      <c r="H22" s="19" t="e">
        <f t="shared" si="3"/>
        <v>#DIV/0!</v>
      </c>
    </row>
    <row r="23" spans="1:8">
      <c r="A23" s="16">
        <v>15</v>
      </c>
      <c r="B23" s="72">
        <v>30</v>
      </c>
      <c r="C23" s="16">
        <v>2</v>
      </c>
      <c r="D23" s="18"/>
      <c r="E23" s="18"/>
      <c r="F23" s="18"/>
      <c r="G23" s="16" t="e">
        <f t="shared" si="2"/>
        <v>#DIV/0!</v>
      </c>
      <c r="H23" s="19" t="e">
        <f t="shared" si="3"/>
        <v>#DIV/0!</v>
      </c>
    </row>
    <row r="24" spans="1:8">
      <c r="A24" s="74">
        <v>16</v>
      </c>
      <c r="B24" s="72">
        <v>48</v>
      </c>
      <c r="C24" s="16">
        <v>2</v>
      </c>
      <c r="D24" s="18"/>
      <c r="E24" s="18"/>
      <c r="F24" s="18"/>
      <c r="G24" s="16" t="e">
        <f>(C24*1000*AVERAGE(D24:F24))/$B$2</f>
        <v>#DIV/0!</v>
      </c>
      <c r="H24" s="19" t="e">
        <f>(C24*1000*STDEV(D24:F24))/$B$2</f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29"/>
  <sheetViews>
    <sheetView workbookViewId="0">
      <selection activeCell="B13" sqref="B13"/>
    </sheetView>
  </sheetViews>
  <sheetFormatPr baseColWidth="10" defaultColWidth="8.83203125" defaultRowHeight="14" x14ac:dyDescent="0"/>
  <cols>
    <col min="1" max="1" width="23.6640625" bestFit="1" customWidth="1"/>
    <col min="3" max="3" width="9.1640625" bestFit="1" customWidth="1"/>
    <col min="4" max="4" width="10.1640625" bestFit="1" customWidth="1"/>
  </cols>
  <sheetData>
    <row r="1" spans="1:4">
      <c r="B1" s="31" t="s">
        <v>77</v>
      </c>
      <c r="C1" s="31" t="s">
        <v>78</v>
      </c>
    </row>
    <row r="2" spans="1:4">
      <c r="A2" s="31" t="s">
        <v>146</v>
      </c>
      <c r="B2" s="89">
        <f>Metabolites!H4-Metabolites!H20</f>
        <v>78.270786840946684</v>
      </c>
      <c r="C2" s="89">
        <f>Metabolites!I4+Metabolites!I20</f>
        <v>0.46350715910538715</v>
      </c>
      <c r="D2" s="89"/>
    </row>
    <row r="3" spans="1:4">
      <c r="A3" s="31" t="s">
        <v>110</v>
      </c>
      <c r="B3" s="89">
        <f>Metabolites!P4-Metabolites!P20</f>
        <v>-0.62099062361759394</v>
      </c>
      <c r="C3" s="89">
        <f>Metabolites!Q4+Metabolites!Q20</f>
        <v>0.5855555198096114</v>
      </c>
      <c r="D3" s="89"/>
    </row>
    <row r="4" spans="1:4">
      <c r="A4" s="31" t="s">
        <v>111</v>
      </c>
      <c r="B4" s="89">
        <f>Metabolites!T20-Metabolites!T4</f>
        <v>3.2532114696416472</v>
      </c>
      <c r="C4" s="89">
        <f>Metabolites!U4+Metabolites!U20</f>
        <v>8.0496107902644679E-2</v>
      </c>
      <c r="D4" s="89"/>
    </row>
    <row r="5" spans="1:4">
      <c r="A5" s="31" t="s">
        <v>112</v>
      </c>
      <c r="B5" s="89">
        <f>Metabolites!L20-Metabolites!L4</f>
        <v>17.171711433478091</v>
      </c>
      <c r="C5" s="89">
        <f>Metabolites!M20+Metabolites!M4</f>
        <v>0.13848958926089439</v>
      </c>
      <c r="D5" s="89"/>
    </row>
    <row r="6" spans="1:4">
      <c r="A6" s="31" t="s">
        <v>113</v>
      </c>
      <c r="B6" s="89">
        <f>Metabolites!L41-Metabolites!L25</f>
        <v>68.954972067339696</v>
      </c>
      <c r="C6" s="89">
        <f>Metabolites!M41+Metabolites!M25</f>
        <v>0.71489229795303855</v>
      </c>
      <c r="D6" s="89"/>
    </row>
    <row r="7" spans="1:4">
      <c r="A7" s="31" t="s">
        <v>79</v>
      </c>
      <c r="B7" s="89">
        <f>'H2'!G203</f>
        <v>224.6497150953372</v>
      </c>
      <c r="C7" s="89"/>
      <c r="D7" s="89"/>
    </row>
    <row r="8" spans="1:4">
      <c r="A8" s="31" t="s">
        <v>80</v>
      </c>
      <c r="B8" s="89">
        <f>'CO2'!G202</f>
        <v>125.05625442390919</v>
      </c>
      <c r="C8" s="89"/>
      <c r="D8" s="89"/>
    </row>
    <row r="9" spans="1:4">
      <c r="A9" s="31" t="s">
        <v>114</v>
      </c>
      <c r="B9" s="89">
        <f xml:space="preserve"> Calculation!G19*1.5/1000</f>
        <v>9.1499999999999998E-2</v>
      </c>
      <c r="C9" s="89"/>
      <c r="D9" s="89"/>
    </row>
    <row r="10" spans="1:4" ht="16">
      <c r="A10" s="31" t="s">
        <v>115</v>
      </c>
      <c r="B10" s="89">
        <f>Calculation!H19*1.5/1000</f>
        <v>6.0000000000000001E-3</v>
      </c>
      <c r="C10" s="89"/>
      <c r="D10" s="89"/>
    </row>
    <row r="12" spans="1:4">
      <c r="A12" s="31" t="s">
        <v>81</v>
      </c>
      <c r="B12" s="91">
        <f>((4*$B$6)+(3*$B$5)+($B$4)+(B8))/((6*$B$2)+(2*$B$3))</f>
        <v>0.97280375587584089</v>
      </c>
    </row>
    <row r="15" spans="1:4">
      <c r="C15" t="s">
        <v>125</v>
      </c>
      <c r="D15" t="s">
        <v>126</v>
      </c>
    </row>
    <row r="16" spans="1:4">
      <c r="A16" t="s">
        <v>158</v>
      </c>
      <c r="B16" t="s">
        <v>117</v>
      </c>
      <c r="C16" s="89">
        <f>B2</f>
        <v>78.270786840946684</v>
      </c>
      <c r="D16" s="89">
        <f>B2</f>
        <v>78.270786840946684</v>
      </c>
    </row>
    <row r="17" spans="1:4">
      <c r="A17" t="s">
        <v>159</v>
      </c>
      <c r="B17" t="s">
        <v>118</v>
      </c>
      <c r="C17" s="89">
        <f>2*C16</f>
        <v>156.54157368189337</v>
      </c>
      <c r="D17" s="89">
        <f>2*B2</f>
        <v>156.54157368189337</v>
      </c>
    </row>
    <row r="18" spans="1:4">
      <c r="A18" t="s">
        <v>160</v>
      </c>
      <c r="B18" t="s">
        <v>119</v>
      </c>
      <c r="C18" s="89">
        <f>B5</f>
        <v>17.171711433478091</v>
      </c>
      <c r="D18" s="89">
        <f>B5</f>
        <v>17.171711433478091</v>
      </c>
    </row>
    <row r="19" spans="1:4">
      <c r="A19" t="s">
        <v>161</v>
      </c>
      <c r="B19" t="s">
        <v>128</v>
      </c>
      <c r="C19" s="89">
        <f>B4</f>
        <v>3.2532114696416472</v>
      </c>
      <c r="D19" s="89">
        <f>B4</f>
        <v>3.2532114696416472</v>
      </c>
    </row>
    <row r="20" spans="1:4">
      <c r="A20" t="s">
        <v>162</v>
      </c>
      <c r="B20" t="s">
        <v>120</v>
      </c>
      <c r="C20" s="89">
        <f>C17-C18</f>
        <v>139.36986224841527</v>
      </c>
      <c r="D20" s="89">
        <f>B8</f>
        <v>125.05625442390919</v>
      </c>
    </row>
    <row r="21" spans="1:4">
      <c r="A21" t="s">
        <v>163</v>
      </c>
      <c r="B21" t="s">
        <v>129</v>
      </c>
      <c r="C21" s="92">
        <f>C20-C19</f>
        <v>136.11665077877362</v>
      </c>
      <c r="D21" s="92">
        <f>B8</f>
        <v>125.05625442390919</v>
      </c>
    </row>
    <row r="22" spans="1:4">
      <c r="A22" t="s">
        <v>164</v>
      </c>
      <c r="B22" t="s">
        <v>121</v>
      </c>
      <c r="C22" s="89">
        <f>B3</f>
        <v>-0.62099062361759394</v>
      </c>
      <c r="D22" s="89">
        <f>B3</f>
        <v>-0.62099062361759394</v>
      </c>
    </row>
    <row r="23" spans="1:4">
      <c r="A23" t="s">
        <v>165</v>
      </c>
      <c r="B23" t="s">
        <v>150</v>
      </c>
      <c r="C23" s="89">
        <f>C20+C22</f>
        <v>138.74887162479769</v>
      </c>
      <c r="D23" s="89"/>
    </row>
    <row r="24" spans="1:4">
      <c r="A24" t="s">
        <v>166</v>
      </c>
      <c r="B24" t="s">
        <v>122</v>
      </c>
      <c r="C24" s="89">
        <f>C23/2</f>
        <v>69.374435812398843</v>
      </c>
      <c r="D24" s="89">
        <f>B6</f>
        <v>68.954972067339696</v>
      </c>
    </row>
    <row r="25" spans="1:4">
      <c r="A25" t="s">
        <v>167</v>
      </c>
      <c r="B25" t="s">
        <v>127</v>
      </c>
      <c r="C25" s="89">
        <f>C20-C22</f>
        <v>139.99085287203286</v>
      </c>
      <c r="D25" s="89">
        <f>B7</f>
        <v>224.6497150953372</v>
      </c>
    </row>
    <row r="26" spans="1:4">
      <c r="A26" t="s">
        <v>168</v>
      </c>
      <c r="B26" t="s">
        <v>149</v>
      </c>
      <c r="C26" s="90">
        <f>C25-C19</f>
        <v>136.7376414023912</v>
      </c>
      <c r="D26" s="90">
        <f>D25-D19</f>
        <v>221.39650362569554</v>
      </c>
    </row>
    <row r="27" spans="1:4">
      <c r="D27" s="89"/>
    </row>
    <row r="28" spans="1:4">
      <c r="A28" t="s">
        <v>123</v>
      </c>
    </row>
    <row r="29" spans="1:4">
      <c r="A29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3" sqref="D3:D21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15.83203125" style="2" customWidth="1"/>
    <col min="12" max="16384" width="8.83203125" style="2"/>
  </cols>
  <sheetData>
    <row r="1" spans="1:11">
      <c r="A1" s="100" t="s">
        <v>4</v>
      </c>
      <c r="B1" s="100" t="s">
        <v>104</v>
      </c>
      <c r="C1" s="100" t="s">
        <v>104</v>
      </c>
      <c r="D1" s="100" t="s">
        <v>5</v>
      </c>
      <c r="E1" s="4" t="s">
        <v>7</v>
      </c>
      <c r="F1" s="4" t="s">
        <v>9</v>
      </c>
      <c r="G1" s="96" t="s">
        <v>11</v>
      </c>
      <c r="H1" s="96" t="s">
        <v>12</v>
      </c>
      <c r="I1" s="4" t="s">
        <v>13</v>
      </c>
      <c r="J1" s="4" t="s">
        <v>16</v>
      </c>
      <c r="K1" s="4" t="s">
        <v>16</v>
      </c>
    </row>
    <row r="2" spans="1:11">
      <c r="A2" s="101"/>
      <c r="B2" s="101"/>
      <c r="C2" s="101"/>
      <c r="D2" s="101"/>
      <c r="E2" s="5" t="s">
        <v>8</v>
      </c>
      <c r="F2" s="5" t="s">
        <v>10</v>
      </c>
      <c r="G2" s="96"/>
      <c r="H2" s="96"/>
      <c r="I2" s="5" t="s">
        <v>14</v>
      </c>
      <c r="J2" s="5" t="s">
        <v>17</v>
      </c>
      <c r="K2" s="5" t="s">
        <v>152</v>
      </c>
    </row>
    <row r="3" spans="1:11">
      <c r="A3" s="33" t="s">
        <v>6</v>
      </c>
      <c r="B3" s="55">
        <v>-10</v>
      </c>
      <c r="C3" s="56">
        <v>-10</v>
      </c>
      <c r="D3" s="69">
        <f>C3/60</f>
        <v>-0.16666666666666666</v>
      </c>
      <c r="E3" s="3">
        <v>54</v>
      </c>
      <c r="F3" s="1">
        <f>E3</f>
        <v>54</v>
      </c>
      <c r="G3" s="1">
        <v>0</v>
      </c>
      <c r="H3" s="1">
        <v>0</v>
      </c>
      <c r="I3" s="1">
        <f>F22+G3+H3</f>
        <v>1500</v>
      </c>
      <c r="J3" s="13">
        <f>F3*1500/I3</f>
        <v>54</v>
      </c>
      <c r="K3" s="13">
        <f>F23-J3</f>
        <v>1521</v>
      </c>
    </row>
    <row r="4" spans="1:11">
      <c r="A4" s="1">
        <v>0</v>
      </c>
      <c r="B4" s="57">
        <v>10</v>
      </c>
      <c r="C4" s="58">
        <v>10</v>
      </c>
      <c r="D4" s="69">
        <f t="shared" ref="D4:D19" si="0">C4/60</f>
        <v>0.16666666666666666</v>
      </c>
      <c r="E4" s="1">
        <v>61</v>
      </c>
      <c r="F4" s="1">
        <f>E4+F3</f>
        <v>115</v>
      </c>
      <c r="G4" s="1">
        <v>1</v>
      </c>
      <c r="H4" s="1">
        <v>0</v>
      </c>
      <c r="I4" s="1">
        <f>$F$23-F3+G4+H4</f>
        <v>1522</v>
      </c>
      <c r="J4" s="13">
        <f>E4*K3/I4</f>
        <v>60.959921156373191</v>
      </c>
      <c r="K4" s="13">
        <f>K3-J4</f>
        <v>1460.0400788436268</v>
      </c>
    </row>
    <row r="5" spans="1:11">
      <c r="A5" s="1">
        <v>1</v>
      </c>
      <c r="B5" s="57">
        <v>110</v>
      </c>
      <c r="C5" s="58">
        <f>C4+B5</f>
        <v>120</v>
      </c>
      <c r="D5" s="69">
        <f t="shared" si="0"/>
        <v>2</v>
      </c>
      <c r="E5" s="1">
        <v>48</v>
      </c>
      <c r="F5" s="41">
        <f t="shared" ref="F5:F20" si="1">E5+F4</f>
        <v>163</v>
      </c>
      <c r="G5" s="41">
        <v>1</v>
      </c>
      <c r="H5" s="1">
        <v>0</v>
      </c>
      <c r="I5" s="41">
        <f t="shared" ref="I5:I20" si="2">$F$23-F4+G5+H5</f>
        <v>1461</v>
      </c>
      <c r="J5" s="13">
        <f t="shared" ref="J5:J20" si="3">E5*K4/I5</f>
        <v>47.968462549277262</v>
      </c>
      <c r="K5" s="13">
        <f t="shared" ref="K5:K19" si="4">K4-J5</f>
        <v>1412.0716162943495</v>
      </c>
    </row>
    <row r="6" spans="1:11">
      <c r="A6" s="1">
        <v>2</v>
      </c>
      <c r="B6" s="57">
        <v>80</v>
      </c>
      <c r="C6" s="58">
        <f t="shared" ref="C6:C20" si="5">C5+B6</f>
        <v>200</v>
      </c>
      <c r="D6" s="69">
        <f t="shared" si="0"/>
        <v>3.3333333333333335</v>
      </c>
      <c r="E6" s="1">
        <v>46</v>
      </c>
      <c r="F6" s="41">
        <f t="shared" si="1"/>
        <v>209</v>
      </c>
      <c r="G6" s="41">
        <v>1</v>
      </c>
      <c r="H6" s="23">
        <v>0</v>
      </c>
      <c r="I6" s="41">
        <f t="shared" si="2"/>
        <v>1413</v>
      </c>
      <c r="J6" s="13">
        <f t="shared" si="3"/>
        <v>45.969776609724043</v>
      </c>
      <c r="K6" s="13">
        <f t="shared" si="4"/>
        <v>1366.1018396846255</v>
      </c>
    </row>
    <row r="7" spans="1:11">
      <c r="A7" s="1">
        <v>3</v>
      </c>
      <c r="B7" s="57">
        <v>80</v>
      </c>
      <c r="C7" s="58">
        <f>C6+B7</f>
        <v>280</v>
      </c>
      <c r="D7" s="69">
        <f t="shared" si="0"/>
        <v>4.666666666666667</v>
      </c>
      <c r="E7" s="1">
        <v>50</v>
      </c>
      <c r="F7" s="41">
        <f t="shared" si="1"/>
        <v>259</v>
      </c>
      <c r="G7" s="41">
        <v>2</v>
      </c>
      <c r="H7" s="23">
        <v>0</v>
      </c>
      <c r="I7" s="41">
        <f t="shared" si="2"/>
        <v>1368</v>
      </c>
      <c r="J7" s="13">
        <f t="shared" si="3"/>
        <v>49.930622795490699</v>
      </c>
      <c r="K7" s="13">
        <f t="shared" si="4"/>
        <v>1316.1712168891347</v>
      </c>
    </row>
    <row r="8" spans="1:11">
      <c r="A8" s="1">
        <v>4</v>
      </c>
      <c r="B8" s="57">
        <v>80</v>
      </c>
      <c r="C8" s="58">
        <f t="shared" si="5"/>
        <v>360</v>
      </c>
      <c r="D8" s="69">
        <f t="shared" si="0"/>
        <v>6</v>
      </c>
      <c r="E8" s="1">
        <v>58</v>
      </c>
      <c r="F8" s="41">
        <f t="shared" si="1"/>
        <v>317</v>
      </c>
      <c r="G8" s="41">
        <v>2</v>
      </c>
      <c r="H8" s="23">
        <v>0</v>
      </c>
      <c r="I8" s="41">
        <f t="shared" si="2"/>
        <v>1318</v>
      </c>
      <c r="J8" s="13">
        <f t="shared" si="3"/>
        <v>57.919522442769207</v>
      </c>
      <c r="K8" s="13">
        <f t="shared" si="4"/>
        <v>1258.2516944463655</v>
      </c>
    </row>
    <row r="9" spans="1:11">
      <c r="A9" s="1">
        <v>5</v>
      </c>
      <c r="B9" s="57">
        <v>80</v>
      </c>
      <c r="C9" s="58">
        <f t="shared" si="5"/>
        <v>440</v>
      </c>
      <c r="D9" s="69">
        <f t="shared" si="0"/>
        <v>7.333333333333333</v>
      </c>
      <c r="E9" s="1">
        <v>48</v>
      </c>
      <c r="F9" s="41">
        <f t="shared" si="1"/>
        <v>365</v>
      </c>
      <c r="G9" s="41">
        <v>4</v>
      </c>
      <c r="H9" s="23">
        <v>0</v>
      </c>
      <c r="I9" s="41">
        <f t="shared" si="2"/>
        <v>1262</v>
      </c>
      <c r="J9" s="13">
        <f t="shared" si="3"/>
        <v>47.857433703189812</v>
      </c>
      <c r="K9" s="13">
        <f t="shared" si="4"/>
        <v>1210.3942607431757</v>
      </c>
    </row>
    <row r="10" spans="1:11">
      <c r="A10" s="1">
        <v>6</v>
      </c>
      <c r="B10" s="57">
        <v>80</v>
      </c>
      <c r="C10" s="58">
        <f t="shared" si="5"/>
        <v>520</v>
      </c>
      <c r="D10" s="69">
        <f t="shared" si="0"/>
        <v>8.6666666666666661</v>
      </c>
      <c r="E10" s="1">
        <v>53</v>
      </c>
      <c r="F10" s="41">
        <f t="shared" si="1"/>
        <v>418</v>
      </c>
      <c r="G10" s="41">
        <v>5</v>
      </c>
      <c r="H10" s="23">
        <v>0</v>
      </c>
      <c r="I10" s="41">
        <f t="shared" si="2"/>
        <v>1215</v>
      </c>
      <c r="J10" s="13">
        <f t="shared" si="3"/>
        <v>52.799091209373096</v>
      </c>
      <c r="K10" s="13">
        <f t="shared" si="4"/>
        <v>1157.5951695338026</v>
      </c>
    </row>
    <row r="11" spans="1:11">
      <c r="A11" s="1">
        <v>7</v>
      </c>
      <c r="B11" s="57">
        <v>80</v>
      </c>
      <c r="C11" s="58">
        <f t="shared" si="5"/>
        <v>600</v>
      </c>
      <c r="D11" s="69">
        <f t="shared" si="0"/>
        <v>10</v>
      </c>
      <c r="E11" s="1">
        <v>53</v>
      </c>
      <c r="F11" s="41">
        <f t="shared" si="1"/>
        <v>471</v>
      </c>
      <c r="G11" s="41">
        <v>5</v>
      </c>
      <c r="H11" s="23">
        <v>0</v>
      </c>
      <c r="I11" s="41">
        <f t="shared" si="2"/>
        <v>1162</v>
      </c>
      <c r="J11" s="13">
        <f t="shared" si="3"/>
        <v>52.799091209373096</v>
      </c>
      <c r="K11" s="13">
        <f t="shared" si="4"/>
        <v>1104.7960783244296</v>
      </c>
    </row>
    <row r="12" spans="1:11">
      <c r="A12" s="1">
        <v>8</v>
      </c>
      <c r="B12" s="57">
        <v>80</v>
      </c>
      <c r="C12" s="58">
        <f t="shared" si="5"/>
        <v>680</v>
      </c>
      <c r="D12" s="69">
        <f t="shared" si="0"/>
        <v>11.333333333333334</v>
      </c>
      <c r="E12" s="1">
        <v>47</v>
      </c>
      <c r="F12" s="41">
        <f t="shared" si="1"/>
        <v>518</v>
      </c>
      <c r="G12" s="41">
        <v>9</v>
      </c>
      <c r="H12" s="23">
        <v>0</v>
      </c>
      <c r="I12" s="41">
        <f t="shared" si="2"/>
        <v>1113</v>
      </c>
      <c r="J12" s="13">
        <f t="shared" si="3"/>
        <v>46.653563055928295</v>
      </c>
      <c r="K12" s="13">
        <f t="shared" si="4"/>
        <v>1058.1425152685013</v>
      </c>
    </row>
    <row r="13" spans="1:11">
      <c r="A13" s="1">
        <v>9</v>
      </c>
      <c r="B13" s="57">
        <v>80</v>
      </c>
      <c r="C13" s="58">
        <f t="shared" si="5"/>
        <v>760</v>
      </c>
      <c r="D13" s="69">
        <f t="shared" si="0"/>
        <v>12.666666666666666</v>
      </c>
      <c r="E13" s="3">
        <v>47</v>
      </c>
      <c r="F13" s="41">
        <f t="shared" si="1"/>
        <v>565</v>
      </c>
      <c r="G13" s="41">
        <v>15</v>
      </c>
      <c r="H13" s="23">
        <v>0</v>
      </c>
      <c r="I13" s="41">
        <f t="shared" si="2"/>
        <v>1072</v>
      </c>
      <c r="J13" s="13">
        <f t="shared" si="3"/>
        <v>46.392442367182426</v>
      </c>
      <c r="K13" s="13">
        <f t="shared" si="4"/>
        <v>1011.7500729013188</v>
      </c>
    </row>
    <row r="14" spans="1:11">
      <c r="A14" s="38">
        <v>10</v>
      </c>
      <c r="B14" s="57">
        <v>87</v>
      </c>
      <c r="C14" s="58">
        <f t="shared" si="5"/>
        <v>847</v>
      </c>
      <c r="D14" s="69">
        <f t="shared" si="0"/>
        <v>14.116666666666667</v>
      </c>
      <c r="E14" s="38">
        <v>45</v>
      </c>
      <c r="F14" s="41">
        <f t="shared" si="1"/>
        <v>610</v>
      </c>
      <c r="G14" s="41">
        <v>21</v>
      </c>
      <c r="H14" s="38">
        <v>0</v>
      </c>
      <c r="I14" s="41">
        <f t="shared" si="2"/>
        <v>1031</v>
      </c>
      <c r="J14" s="13">
        <f t="shared" si="3"/>
        <v>44.15979949617784</v>
      </c>
      <c r="K14" s="13">
        <f t="shared" si="4"/>
        <v>967.59027340514103</v>
      </c>
    </row>
    <row r="15" spans="1:11">
      <c r="A15" s="38">
        <v>11</v>
      </c>
      <c r="B15" s="57">
        <v>73</v>
      </c>
      <c r="C15" s="58">
        <f t="shared" si="5"/>
        <v>920</v>
      </c>
      <c r="D15" s="69">
        <f t="shared" si="0"/>
        <v>15.333333333333334</v>
      </c>
      <c r="E15" s="38">
        <v>45</v>
      </c>
      <c r="F15" s="41">
        <f t="shared" si="1"/>
        <v>655</v>
      </c>
      <c r="G15" s="41">
        <v>27</v>
      </c>
      <c r="H15" s="41">
        <v>0</v>
      </c>
      <c r="I15" s="41">
        <f t="shared" si="2"/>
        <v>992</v>
      </c>
      <c r="J15" s="13">
        <f t="shared" si="3"/>
        <v>43.892703934709019</v>
      </c>
      <c r="K15" s="13">
        <f t="shared" si="4"/>
        <v>923.69756947043197</v>
      </c>
    </row>
    <row r="16" spans="1:11">
      <c r="A16" s="38">
        <v>12</v>
      </c>
      <c r="B16" s="57">
        <v>80</v>
      </c>
      <c r="C16" s="58">
        <f t="shared" si="5"/>
        <v>1000</v>
      </c>
      <c r="D16" s="69">
        <f t="shared" si="0"/>
        <v>16.666666666666668</v>
      </c>
      <c r="E16" s="38">
        <v>49</v>
      </c>
      <c r="F16" s="41">
        <f t="shared" si="1"/>
        <v>704</v>
      </c>
      <c r="G16" s="41">
        <v>36</v>
      </c>
      <c r="H16" s="41">
        <v>0</v>
      </c>
      <c r="I16" s="41">
        <f t="shared" si="2"/>
        <v>956</v>
      </c>
      <c r="J16" s="13">
        <f t="shared" si="3"/>
        <v>47.344331489593266</v>
      </c>
      <c r="K16" s="13">
        <f t="shared" si="4"/>
        <v>876.35323798083868</v>
      </c>
    </row>
    <row r="17" spans="1:11">
      <c r="A17" s="38">
        <v>13</v>
      </c>
      <c r="B17" s="57">
        <v>80</v>
      </c>
      <c r="C17" s="58">
        <f t="shared" si="5"/>
        <v>1080</v>
      </c>
      <c r="D17" s="69">
        <f t="shared" si="0"/>
        <v>18</v>
      </c>
      <c r="E17" s="38">
        <v>52</v>
      </c>
      <c r="F17" s="41">
        <f t="shared" si="1"/>
        <v>756</v>
      </c>
      <c r="G17" s="41">
        <v>45</v>
      </c>
      <c r="H17" s="41">
        <v>0</v>
      </c>
      <c r="I17" s="41">
        <f t="shared" si="2"/>
        <v>916</v>
      </c>
      <c r="J17" s="13">
        <f t="shared" si="3"/>
        <v>49.749310453060716</v>
      </c>
      <c r="K17" s="13">
        <f t="shared" si="4"/>
        <v>826.60392752777796</v>
      </c>
    </row>
    <row r="18" spans="1:11">
      <c r="A18" s="38">
        <v>14</v>
      </c>
      <c r="B18" s="57">
        <v>360</v>
      </c>
      <c r="C18" s="58">
        <f t="shared" si="5"/>
        <v>1440</v>
      </c>
      <c r="D18" s="69">
        <f t="shared" si="0"/>
        <v>24</v>
      </c>
      <c r="E18" s="2">
        <v>59</v>
      </c>
      <c r="F18" s="41">
        <f t="shared" si="1"/>
        <v>815</v>
      </c>
      <c r="G18" s="41">
        <v>61</v>
      </c>
      <c r="H18" s="38">
        <v>2</v>
      </c>
      <c r="I18" s="41">
        <f t="shared" si="2"/>
        <v>882</v>
      </c>
      <c r="J18" s="13">
        <f t="shared" si="3"/>
        <v>55.294367034171088</v>
      </c>
      <c r="K18" s="13">
        <f t="shared" si="4"/>
        <v>771.30956049360691</v>
      </c>
    </row>
    <row r="19" spans="1:11">
      <c r="A19" s="38">
        <v>15</v>
      </c>
      <c r="B19" s="57">
        <v>360</v>
      </c>
      <c r="C19" s="58">
        <f t="shared" si="5"/>
        <v>1800</v>
      </c>
      <c r="D19" s="69">
        <f t="shared" si="0"/>
        <v>30</v>
      </c>
      <c r="E19" s="38">
        <v>49</v>
      </c>
      <c r="F19" s="41">
        <f t="shared" si="1"/>
        <v>864</v>
      </c>
      <c r="G19" s="41">
        <v>61</v>
      </c>
      <c r="H19" s="38">
        <v>4</v>
      </c>
      <c r="I19" s="41">
        <f t="shared" si="2"/>
        <v>825</v>
      </c>
      <c r="J19" s="13">
        <f t="shared" si="3"/>
        <v>45.81111328992332</v>
      </c>
      <c r="K19" s="13">
        <f t="shared" si="4"/>
        <v>725.49844720368355</v>
      </c>
    </row>
    <row r="20" spans="1:11">
      <c r="A20" s="41">
        <v>16</v>
      </c>
      <c r="B20" s="57">
        <v>1080</v>
      </c>
      <c r="C20" s="58">
        <f t="shared" si="5"/>
        <v>2880</v>
      </c>
      <c r="D20" s="69">
        <f>C20/60</f>
        <v>48</v>
      </c>
      <c r="E20" s="41">
        <v>57</v>
      </c>
      <c r="F20" s="41">
        <f t="shared" si="1"/>
        <v>921</v>
      </c>
      <c r="G20" s="41">
        <v>61</v>
      </c>
      <c r="H20" s="41">
        <v>4</v>
      </c>
      <c r="I20" s="41">
        <f t="shared" si="2"/>
        <v>776</v>
      </c>
      <c r="J20" s="13">
        <f t="shared" si="3"/>
        <v>53.290478725012839</v>
      </c>
      <c r="K20" s="13">
        <f>K19-J20</f>
        <v>672.20796847867075</v>
      </c>
    </row>
    <row r="22" spans="1:11">
      <c r="A22" s="93" t="s">
        <v>15</v>
      </c>
      <c r="B22" s="94"/>
      <c r="C22" s="94"/>
      <c r="D22" s="94"/>
      <c r="E22" s="95"/>
      <c r="F22" s="1">
        <v>1500</v>
      </c>
    </row>
    <row r="23" spans="1:11">
      <c r="A23" s="97" t="s">
        <v>153</v>
      </c>
      <c r="B23" s="98"/>
      <c r="C23" s="98"/>
      <c r="D23" s="98"/>
      <c r="E23" s="99"/>
      <c r="F23" s="56">
        <v>1575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3" sqref="A3:D20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00" t="s">
        <v>4</v>
      </c>
      <c r="B1" s="100" t="s">
        <v>104</v>
      </c>
      <c r="C1" s="100" t="s">
        <v>104</v>
      </c>
      <c r="D1" s="100" t="s">
        <v>5</v>
      </c>
      <c r="E1" s="105" t="s">
        <v>18</v>
      </c>
      <c r="F1" s="105"/>
      <c r="G1" s="105"/>
      <c r="H1" s="105"/>
      <c r="I1" s="105" t="s">
        <v>20</v>
      </c>
      <c r="J1" s="105"/>
      <c r="K1" s="105"/>
      <c r="L1" s="105"/>
      <c r="M1" s="105" t="s">
        <v>21</v>
      </c>
      <c r="N1" s="105"/>
      <c r="O1" s="105"/>
      <c r="P1" s="105"/>
      <c r="Q1" s="39" t="s">
        <v>22</v>
      </c>
      <c r="R1" s="39" t="s">
        <v>22</v>
      </c>
      <c r="S1" s="39" t="s">
        <v>22</v>
      </c>
    </row>
    <row r="2" spans="1:19">
      <c r="A2" s="101"/>
      <c r="B2" s="101"/>
      <c r="C2" s="101"/>
      <c r="D2" s="101"/>
      <c r="E2" s="42" t="s">
        <v>19</v>
      </c>
      <c r="F2" s="42" t="s">
        <v>67</v>
      </c>
      <c r="G2" s="42" t="s">
        <v>105</v>
      </c>
      <c r="H2" s="42" t="s">
        <v>69</v>
      </c>
      <c r="I2" s="42" t="s">
        <v>19</v>
      </c>
      <c r="J2" s="42" t="s">
        <v>67</v>
      </c>
      <c r="K2" s="42" t="s">
        <v>68</v>
      </c>
      <c r="L2" s="42" t="s">
        <v>69</v>
      </c>
      <c r="M2" s="42" t="s">
        <v>19</v>
      </c>
      <c r="N2" s="42" t="s">
        <v>67</v>
      </c>
      <c r="O2" s="42" t="s">
        <v>68</v>
      </c>
      <c r="P2" s="42" t="s">
        <v>70</v>
      </c>
      <c r="Q2" s="40" t="s">
        <v>69</v>
      </c>
      <c r="R2" s="40" t="s">
        <v>23</v>
      </c>
      <c r="S2" s="40" t="s">
        <v>71</v>
      </c>
    </row>
    <row r="3" spans="1:19" s="6" customFormat="1">
      <c r="A3" s="41" t="s">
        <v>6</v>
      </c>
      <c r="B3" s="55">
        <v>-10</v>
      </c>
      <c r="C3" s="56">
        <v>-10</v>
      </c>
      <c r="D3" s="69">
        <f>C3/60</f>
        <v>-0.16666666666666666</v>
      </c>
      <c r="Q3" s="102"/>
      <c r="R3" s="103"/>
      <c r="S3" s="104"/>
    </row>
    <row r="4" spans="1:19">
      <c r="A4" s="41">
        <v>0</v>
      </c>
      <c r="B4" s="57">
        <v>10</v>
      </c>
      <c r="C4" s="58">
        <v>10</v>
      </c>
      <c r="D4" s="69">
        <f t="shared" ref="D4:D19" si="0">C4/60</f>
        <v>0.16666666666666666</v>
      </c>
      <c r="Q4" s="47" t="e">
        <f>AVERAGE('Flow cytometer'!P4,'Flow cytometer'!L4,'Flow cytometer'!H4)*Calculation!K4/Calculation!M3</f>
        <v>#DIV/0!</v>
      </c>
      <c r="R4" s="47" t="e">
        <f>STDEV('Flow cytometer'!P4,'Flow cytometer'!L4,'Flow cytometer'!H4)*Calculation!K4/Calculation!M3</f>
        <v>#DIV/0!</v>
      </c>
      <c r="S4" s="48" t="e">
        <f t="shared" ref="S4:S19" si="1">LOG(Q4)</f>
        <v>#DIV/0!</v>
      </c>
    </row>
    <row r="5" spans="1:19">
      <c r="A5" s="41">
        <v>1</v>
      </c>
      <c r="B5" s="57">
        <v>110</v>
      </c>
      <c r="C5" s="58">
        <f>C4+B5</f>
        <v>120</v>
      </c>
      <c r="D5" s="69">
        <f t="shared" si="0"/>
        <v>2</v>
      </c>
      <c r="Q5" s="47" t="e">
        <f>AVERAGE('Flow cytometer'!P5,'Flow cytometer'!L5,'Flow cytometer'!H5)*Calculation!K5/Calculation!M4</f>
        <v>#DIV/0!</v>
      </c>
      <c r="R5" s="47" t="e">
        <f>STDEV('Flow cytometer'!P5,'Flow cytometer'!L5,'Flow cytometer'!H5)*Calculation!K5/Calculation!M4</f>
        <v>#DIV/0!</v>
      </c>
      <c r="S5" s="48" t="e">
        <f t="shared" si="1"/>
        <v>#DIV/0!</v>
      </c>
    </row>
    <row r="6" spans="1:19">
      <c r="A6" s="41">
        <v>2</v>
      </c>
      <c r="B6" s="57">
        <v>80</v>
      </c>
      <c r="C6" s="58">
        <f t="shared" ref="C6:C20" si="2">C5+B6</f>
        <v>200</v>
      </c>
      <c r="D6" s="69">
        <f t="shared" si="0"/>
        <v>3.3333333333333335</v>
      </c>
      <c r="Q6" s="47" t="e">
        <f>AVERAGE('Flow cytometer'!P6,'Flow cytometer'!L6,'Flow cytometer'!H6)*Calculation!K6/Calculation!M5</f>
        <v>#DIV/0!</v>
      </c>
      <c r="R6" s="47" t="e">
        <f>STDEV('Flow cytometer'!P6,'Flow cytometer'!L6,'Flow cytometer'!H6)*Calculation!K6/Calculation!M5</f>
        <v>#DIV/0!</v>
      </c>
      <c r="S6" s="48" t="e">
        <f t="shared" si="1"/>
        <v>#DIV/0!</v>
      </c>
    </row>
    <row r="7" spans="1:19">
      <c r="A7" s="41">
        <v>3</v>
      </c>
      <c r="B7" s="57">
        <v>80</v>
      </c>
      <c r="C7" s="58">
        <f>C6+B7</f>
        <v>280</v>
      </c>
      <c r="D7" s="69">
        <f t="shared" si="0"/>
        <v>4.666666666666667</v>
      </c>
      <c r="Q7" s="47" t="e">
        <f>AVERAGE('Flow cytometer'!P7,'Flow cytometer'!L7,'Flow cytometer'!H7)*Calculation!K7/Calculation!M6</f>
        <v>#DIV/0!</v>
      </c>
      <c r="R7" s="47" t="e">
        <f>STDEV('Flow cytometer'!P7,'Flow cytometer'!L7,'Flow cytometer'!H7)*Calculation!K7/Calculation!M6</f>
        <v>#DIV/0!</v>
      </c>
      <c r="S7" s="48" t="e">
        <f t="shared" si="1"/>
        <v>#DIV/0!</v>
      </c>
    </row>
    <row r="8" spans="1:19">
      <c r="A8" s="41">
        <v>4</v>
      </c>
      <c r="B8" s="57">
        <v>80</v>
      </c>
      <c r="C8" s="58">
        <f t="shared" si="2"/>
        <v>360</v>
      </c>
      <c r="D8" s="69">
        <f t="shared" si="0"/>
        <v>6</v>
      </c>
      <c r="Q8" s="47" t="e">
        <f>AVERAGE('Flow cytometer'!P8,'Flow cytometer'!L8,'Flow cytometer'!H8)*Calculation!K8/Calculation!M7</f>
        <v>#DIV/0!</v>
      </c>
      <c r="R8" s="47" t="e">
        <f>STDEV('Flow cytometer'!P8,'Flow cytometer'!L8,'Flow cytometer'!H8)*Calculation!K8/Calculation!M7</f>
        <v>#DIV/0!</v>
      </c>
      <c r="S8" s="48" t="e">
        <f t="shared" si="1"/>
        <v>#DIV/0!</v>
      </c>
    </row>
    <row r="9" spans="1:19">
      <c r="A9" s="41">
        <v>5</v>
      </c>
      <c r="B9" s="57">
        <v>80</v>
      </c>
      <c r="C9" s="58">
        <f t="shared" si="2"/>
        <v>440</v>
      </c>
      <c r="D9" s="69">
        <f t="shared" si="0"/>
        <v>7.333333333333333</v>
      </c>
      <c r="Q9" s="47" t="e">
        <f>AVERAGE('Flow cytometer'!P9,'Flow cytometer'!L9,'Flow cytometer'!H9)*Calculation!K9/Calculation!M8</f>
        <v>#DIV/0!</v>
      </c>
      <c r="R9" s="47" t="e">
        <f>STDEV('Flow cytometer'!P9,'Flow cytometer'!L9,'Flow cytometer'!H9)*Calculation!K9/Calculation!M8</f>
        <v>#DIV/0!</v>
      </c>
      <c r="S9" s="48" t="e">
        <f t="shared" si="1"/>
        <v>#DIV/0!</v>
      </c>
    </row>
    <row r="10" spans="1:19">
      <c r="A10" s="41">
        <v>6</v>
      </c>
      <c r="B10" s="57">
        <v>80</v>
      </c>
      <c r="C10" s="58">
        <f t="shared" si="2"/>
        <v>520</v>
      </c>
      <c r="D10" s="69">
        <f t="shared" si="0"/>
        <v>8.6666666666666661</v>
      </c>
      <c r="Q10" s="47" t="e">
        <f>AVERAGE('Flow cytometer'!P10,'Flow cytometer'!L10,'Flow cytometer'!H10)*Calculation!K10/Calculation!M9</f>
        <v>#DIV/0!</v>
      </c>
      <c r="R10" s="47" t="e">
        <f>STDEV('Flow cytometer'!P10,'Flow cytometer'!L10,'Flow cytometer'!H10)*Calculation!K10/Calculation!M9</f>
        <v>#DIV/0!</v>
      </c>
      <c r="S10" s="48" t="e">
        <f t="shared" si="1"/>
        <v>#DIV/0!</v>
      </c>
    </row>
    <row r="11" spans="1:19">
      <c r="A11" s="41">
        <v>7</v>
      </c>
      <c r="B11" s="57">
        <v>80</v>
      </c>
      <c r="C11" s="58">
        <f t="shared" si="2"/>
        <v>600</v>
      </c>
      <c r="D11" s="69">
        <f t="shared" si="0"/>
        <v>10</v>
      </c>
      <c r="Q11" s="47" t="e">
        <f>AVERAGE('Flow cytometer'!P11,'Flow cytometer'!L11,'Flow cytometer'!H11)*Calculation!K11/Calculation!M10</f>
        <v>#DIV/0!</v>
      </c>
      <c r="R11" s="47" t="e">
        <f>STDEV('Flow cytometer'!P11,'Flow cytometer'!L11,'Flow cytometer'!H11)*Calculation!K11/Calculation!M10</f>
        <v>#DIV/0!</v>
      </c>
      <c r="S11" s="48" t="e">
        <f t="shared" si="1"/>
        <v>#DIV/0!</v>
      </c>
    </row>
    <row r="12" spans="1:19">
      <c r="A12" s="41">
        <v>8</v>
      </c>
      <c r="B12" s="57">
        <v>80</v>
      </c>
      <c r="C12" s="58">
        <f t="shared" si="2"/>
        <v>680</v>
      </c>
      <c r="D12" s="69">
        <f t="shared" si="0"/>
        <v>11.333333333333334</v>
      </c>
      <c r="Q12" s="47" t="e">
        <f>AVERAGE('Flow cytometer'!P12,'Flow cytometer'!L12,'Flow cytometer'!H12)*Calculation!K12/Calculation!M11</f>
        <v>#DIV/0!</v>
      </c>
      <c r="R12" s="47" t="e">
        <f>STDEV('Flow cytometer'!P12,'Flow cytometer'!L12,'Flow cytometer'!H12)*Calculation!K12/Calculation!M11</f>
        <v>#DIV/0!</v>
      </c>
      <c r="S12" s="48" t="e">
        <f t="shared" si="1"/>
        <v>#DIV/0!</v>
      </c>
    </row>
    <row r="13" spans="1:19">
      <c r="A13" s="41">
        <v>9</v>
      </c>
      <c r="B13" s="57">
        <v>80</v>
      </c>
      <c r="C13" s="58">
        <f t="shared" si="2"/>
        <v>760</v>
      </c>
      <c r="D13" s="69">
        <f t="shared" si="0"/>
        <v>12.666666666666666</v>
      </c>
      <c r="Q13" s="47" t="e">
        <f>AVERAGE('Flow cytometer'!P13,'Flow cytometer'!L13,'Flow cytometer'!H13)*Calculation!K13/Calculation!M12</f>
        <v>#DIV/0!</v>
      </c>
      <c r="R13" s="47" t="e">
        <f>STDEV('Flow cytometer'!P13,'Flow cytometer'!L13,'Flow cytometer'!H13)*Calculation!K13/Calculation!M12</f>
        <v>#DIV/0!</v>
      </c>
      <c r="S13" s="48" t="e">
        <f t="shared" si="1"/>
        <v>#DIV/0!</v>
      </c>
    </row>
    <row r="14" spans="1:19">
      <c r="A14" s="41">
        <v>10</v>
      </c>
      <c r="B14" s="57">
        <v>87</v>
      </c>
      <c r="C14" s="58">
        <f t="shared" si="2"/>
        <v>847</v>
      </c>
      <c r="D14" s="69">
        <f t="shared" si="0"/>
        <v>14.116666666666667</v>
      </c>
      <c r="Q14" s="47" t="e">
        <f>AVERAGE('Flow cytometer'!P14,'Flow cytometer'!L14,'Flow cytometer'!H14)*Calculation!K14/Calculation!M13</f>
        <v>#DIV/0!</v>
      </c>
      <c r="R14" s="47" t="e">
        <f>STDEV('Flow cytometer'!P14,'Flow cytometer'!L14,'Flow cytometer'!H14)*Calculation!K14/Calculation!M13</f>
        <v>#DIV/0!</v>
      </c>
      <c r="S14" s="48" t="e">
        <f t="shared" si="1"/>
        <v>#DIV/0!</v>
      </c>
    </row>
    <row r="15" spans="1:19">
      <c r="A15" s="41">
        <v>11</v>
      </c>
      <c r="B15" s="57">
        <v>73</v>
      </c>
      <c r="C15" s="58">
        <f t="shared" si="2"/>
        <v>920</v>
      </c>
      <c r="D15" s="69">
        <f t="shared" si="0"/>
        <v>15.333333333333334</v>
      </c>
      <c r="Q15" s="47" t="e">
        <f>AVERAGE('Flow cytometer'!P15,'Flow cytometer'!L15,'Flow cytometer'!H15)*Calculation!K15/Calculation!M14</f>
        <v>#DIV/0!</v>
      </c>
      <c r="R15" s="47" t="e">
        <f>STDEV('Flow cytometer'!P15,'Flow cytometer'!L15,'Flow cytometer'!H15)*Calculation!K15/Calculation!M14</f>
        <v>#DIV/0!</v>
      </c>
      <c r="S15" s="48" t="e">
        <f t="shared" si="1"/>
        <v>#DIV/0!</v>
      </c>
    </row>
    <row r="16" spans="1:19">
      <c r="A16" s="41">
        <v>12</v>
      </c>
      <c r="B16" s="57">
        <v>80</v>
      </c>
      <c r="C16" s="58">
        <f t="shared" si="2"/>
        <v>1000</v>
      </c>
      <c r="D16" s="69">
        <f t="shared" si="0"/>
        <v>16.666666666666668</v>
      </c>
      <c r="Q16" s="47" t="e">
        <f>AVERAGE('Flow cytometer'!P16,'Flow cytometer'!L16,'Flow cytometer'!H16)*Calculation!K16/Calculation!M15</f>
        <v>#DIV/0!</v>
      </c>
      <c r="R16" s="47" t="e">
        <f>STDEV('Flow cytometer'!P16,'Flow cytometer'!L16,'Flow cytometer'!H16)*Calculation!K16/Calculation!M15</f>
        <v>#DIV/0!</v>
      </c>
      <c r="S16" s="48" t="e">
        <f t="shared" si="1"/>
        <v>#DIV/0!</v>
      </c>
    </row>
    <row r="17" spans="1:19">
      <c r="A17" s="41">
        <v>13</v>
      </c>
      <c r="B17" s="57">
        <v>80</v>
      </c>
      <c r="C17" s="58">
        <f t="shared" si="2"/>
        <v>1080</v>
      </c>
      <c r="D17" s="69">
        <f t="shared" si="0"/>
        <v>18</v>
      </c>
      <c r="Q17" s="47" t="e">
        <f>AVERAGE('Flow cytometer'!P17,'Flow cytometer'!L17,'Flow cytometer'!H17)*Calculation!K17/Calculation!M16</f>
        <v>#DIV/0!</v>
      </c>
      <c r="R17" s="47" t="e">
        <f>STDEV('Flow cytometer'!P17,'Flow cytometer'!L17,'Flow cytometer'!H17)*Calculation!K17/Calculation!M16</f>
        <v>#DIV/0!</v>
      </c>
      <c r="S17" s="48" t="e">
        <f t="shared" si="1"/>
        <v>#DIV/0!</v>
      </c>
    </row>
    <row r="18" spans="1:19">
      <c r="A18" s="41">
        <v>14</v>
      </c>
      <c r="B18" s="57">
        <v>360</v>
      </c>
      <c r="C18" s="58">
        <f t="shared" si="2"/>
        <v>1440</v>
      </c>
      <c r="D18" s="69">
        <f t="shared" si="0"/>
        <v>24</v>
      </c>
      <c r="Q18" s="47" t="e">
        <f>AVERAGE('Flow cytometer'!P18,'Flow cytometer'!L18,'Flow cytometer'!H18)*Calculation!K18/Calculation!M17</f>
        <v>#DIV/0!</v>
      </c>
      <c r="R18" s="47" t="e">
        <f>STDEV('Flow cytometer'!P18,'Flow cytometer'!L18,'Flow cytometer'!H18)*Calculation!K18/Calculation!M17</f>
        <v>#DIV/0!</v>
      </c>
      <c r="S18" s="48" t="e">
        <f t="shared" si="1"/>
        <v>#DIV/0!</v>
      </c>
    </row>
    <row r="19" spans="1:19">
      <c r="A19" s="41">
        <v>15</v>
      </c>
      <c r="B19" s="57">
        <v>360</v>
      </c>
      <c r="C19" s="58">
        <f t="shared" si="2"/>
        <v>1800</v>
      </c>
      <c r="D19" s="69">
        <f t="shared" si="0"/>
        <v>30</v>
      </c>
      <c r="Q19" s="47" t="e">
        <f>AVERAGE('Flow cytometer'!P19,'Flow cytometer'!L19,'Flow cytometer'!H19)*Calculation!K19/Calculation!M18</f>
        <v>#DIV/0!</v>
      </c>
      <c r="R19" s="47" t="e">
        <f>STDEV('Flow cytometer'!P19,'Flow cytometer'!L19,'Flow cytometer'!H19)*Calculation!K19/Calculation!M18</f>
        <v>#DIV/0!</v>
      </c>
      <c r="S19" s="48" t="e">
        <f t="shared" si="1"/>
        <v>#DIV/0!</v>
      </c>
    </row>
    <row r="20" spans="1:19">
      <c r="A20" s="41">
        <v>16</v>
      </c>
      <c r="B20" s="57">
        <v>1080</v>
      </c>
      <c r="C20" s="58">
        <f t="shared" si="2"/>
        <v>2880</v>
      </c>
      <c r="D20" s="69">
        <f>C20/60</f>
        <v>48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79"/>
  <sheetViews>
    <sheetView topLeftCell="G1" workbookViewId="0">
      <selection activeCell="X20" sqref="X20"/>
    </sheetView>
  </sheetViews>
  <sheetFormatPr baseColWidth="10" defaultColWidth="8.83203125" defaultRowHeight="14" x14ac:dyDescent="0"/>
  <cols>
    <col min="19" max="20" width="14.83203125" bestFit="1" customWidth="1"/>
  </cols>
  <sheetData>
    <row r="1" spans="1:24">
      <c r="A1" s="100" t="s">
        <v>4</v>
      </c>
      <c r="B1" s="100" t="s">
        <v>104</v>
      </c>
      <c r="C1" s="100" t="s">
        <v>104</v>
      </c>
      <c r="D1" s="100" t="s">
        <v>5</v>
      </c>
      <c r="E1" s="96" t="s">
        <v>106</v>
      </c>
      <c r="F1" s="96"/>
      <c r="G1" s="96"/>
      <c r="H1" s="96"/>
      <c r="I1" s="96" t="s">
        <v>107</v>
      </c>
      <c r="J1" s="96"/>
      <c r="K1" s="96"/>
      <c r="L1" s="96"/>
      <c r="M1" s="96" t="s">
        <v>108</v>
      </c>
      <c r="N1" s="96"/>
      <c r="O1" s="96"/>
      <c r="P1" s="96"/>
      <c r="Q1" s="25" t="s">
        <v>109</v>
      </c>
      <c r="R1" s="25" t="s">
        <v>109</v>
      </c>
      <c r="S1" s="25" t="s">
        <v>109</v>
      </c>
      <c r="T1" s="62" t="s">
        <v>109</v>
      </c>
      <c r="U1" s="81" t="s">
        <v>106</v>
      </c>
      <c r="V1" s="81" t="s">
        <v>107</v>
      </c>
      <c r="W1" s="81" t="s">
        <v>108</v>
      </c>
      <c r="X1" s="81" t="s">
        <v>109</v>
      </c>
    </row>
    <row r="2" spans="1:24">
      <c r="A2" s="101"/>
      <c r="B2" s="101"/>
      <c r="C2" s="101"/>
      <c r="D2" s="101"/>
      <c r="E2" s="24" t="s">
        <v>19</v>
      </c>
      <c r="F2" s="24" t="s">
        <v>67</v>
      </c>
      <c r="G2" s="24" t="s">
        <v>68</v>
      </c>
      <c r="H2" s="24" t="s">
        <v>69</v>
      </c>
      <c r="I2" s="24" t="s">
        <v>19</v>
      </c>
      <c r="J2" s="24" t="s">
        <v>67</v>
      </c>
      <c r="K2" s="24" t="s">
        <v>68</v>
      </c>
      <c r="L2" s="24" t="s">
        <v>69</v>
      </c>
      <c r="M2" s="24" t="s">
        <v>19</v>
      </c>
      <c r="N2" s="24" t="s">
        <v>67</v>
      </c>
      <c r="O2" s="24" t="s">
        <v>68</v>
      </c>
      <c r="P2" s="24" t="s">
        <v>70</v>
      </c>
      <c r="Q2" s="26" t="s">
        <v>69</v>
      </c>
      <c r="R2" s="26" t="s">
        <v>23</v>
      </c>
      <c r="S2" s="26" t="s">
        <v>71</v>
      </c>
      <c r="T2" s="63" t="s">
        <v>130</v>
      </c>
      <c r="U2" s="82" t="s">
        <v>154</v>
      </c>
      <c r="V2" s="82" t="s">
        <v>154</v>
      </c>
      <c r="W2" s="82" t="s">
        <v>154</v>
      </c>
      <c r="X2" s="82" t="s">
        <v>155</v>
      </c>
    </row>
    <row r="3" spans="1:24">
      <c r="A3" s="41" t="s">
        <v>6</v>
      </c>
      <c r="B3" s="55">
        <v>-10</v>
      </c>
      <c r="C3" s="56">
        <v>-10</v>
      </c>
      <c r="D3" s="69">
        <f>C3/60</f>
        <v>-0.16666666666666666</v>
      </c>
      <c r="E3" s="45" t="s">
        <v>91</v>
      </c>
      <c r="F3" s="45" t="s">
        <v>91</v>
      </c>
      <c r="G3" s="45" t="s">
        <v>91</v>
      </c>
      <c r="H3" s="46" t="s">
        <v>91</v>
      </c>
      <c r="I3" s="45" t="s">
        <v>91</v>
      </c>
      <c r="J3" s="45" t="s">
        <v>91</v>
      </c>
      <c r="K3" s="45" t="s">
        <v>91</v>
      </c>
      <c r="L3" s="46" t="s">
        <v>91</v>
      </c>
      <c r="M3" s="45" t="s">
        <v>91</v>
      </c>
      <c r="N3" s="45" t="s">
        <v>91</v>
      </c>
      <c r="O3" s="45" t="s">
        <v>91</v>
      </c>
      <c r="P3" s="46" t="s">
        <v>91</v>
      </c>
      <c r="Q3" s="106" t="s">
        <v>91</v>
      </c>
      <c r="R3" s="107"/>
      <c r="S3" s="108"/>
      <c r="T3" s="46" t="s">
        <v>91</v>
      </c>
      <c r="U3" s="46" t="s">
        <v>91</v>
      </c>
      <c r="V3" s="46" t="s">
        <v>91</v>
      </c>
      <c r="W3" s="46" t="s">
        <v>91</v>
      </c>
      <c r="X3" s="46" t="s">
        <v>91</v>
      </c>
    </row>
    <row r="4" spans="1:24">
      <c r="A4" s="41">
        <v>0</v>
      </c>
      <c r="B4" s="57">
        <v>10</v>
      </c>
      <c r="C4" s="58">
        <v>10</v>
      </c>
      <c r="D4" s="69">
        <f t="shared" ref="D4:D19" si="0">C4/60</f>
        <v>0.16666666666666666</v>
      </c>
      <c r="E4" s="32">
        <v>2</v>
      </c>
      <c r="F4" s="32">
        <v>9785</v>
      </c>
      <c r="G4" s="32">
        <v>7</v>
      </c>
      <c r="H4" s="46">
        <f>('Flow cytometer'!F4/'Flow cytometer'!G4)*POWER(10,'Flow cytometer'!E4+2)*10.2</f>
        <v>142581428.57142857</v>
      </c>
      <c r="I4" s="32">
        <v>2</v>
      </c>
      <c r="J4" s="32">
        <v>9595</v>
      </c>
      <c r="K4" s="32">
        <v>7</v>
      </c>
      <c r="L4" s="46">
        <f>('Flow cytometer'!J4/'Flow cytometer'!K4)*POWER(10,'Flow cytometer'!I4+2)*10.2</f>
        <v>139812857.14285713</v>
      </c>
      <c r="M4" s="32">
        <v>2</v>
      </c>
      <c r="N4" s="32">
        <v>10754</v>
      </c>
      <c r="O4" s="32">
        <v>7</v>
      </c>
      <c r="P4" s="46">
        <f>('Flow cytometer'!N4/'Flow cytometer'!O4)*POWER(10,'Flow cytometer'!M4+2)*10.2</f>
        <v>156701142.85714284</v>
      </c>
      <c r="Q4" s="49">
        <f>AVERAGE(H4,L4,P4)*Calculation!I4/Calculation!K3</f>
        <v>146461372.40537238</v>
      </c>
      <c r="R4" s="50">
        <f>STDEV(H4,L4,P4)*Calculation!I4/Calculation!K3</f>
        <v>9063599.2854351848</v>
      </c>
      <c r="S4" s="51">
        <f>LOG(Q4)</f>
        <v>8.1657230993439676</v>
      </c>
      <c r="T4" s="51">
        <f>LN(Q4)</f>
        <v>18.802272282066557</v>
      </c>
      <c r="U4" s="51">
        <f>LOG(H4)</f>
        <v>8.1540629617416815</v>
      </c>
      <c r="V4" s="51">
        <f>LOG(L4)</f>
        <v>8.1455471108191517</v>
      </c>
      <c r="W4" s="51">
        <f>LOG(P4)</f>
        <v>8.1950721638887618</v>
      </c>
      <c r="X4" s="51">
        <f xml:space="preserve"> STDEV(U4:W4)*Calculation!I4/Calculation!K3</f>
        <v>2.6496977725645288E-2</v>
      </c>
    </row>
    <row r="5" spans="1:24">
      <c r="A5" s="41">
        <v>1</v>
      </c>
      <c r="B5" s="57">
        <v>110</v>
      </c>
      <c r="C5" s="58">
        <f>C4+B5</f>
        <v>120</v>
      </c>
      <c r="D5" s="69">
        <f t="shared" si="0"/>
        <v>2</v>
      </c>
      <c r="E5" s="32">
        <v>2</v>
      </c>
      <c r="F5" s="32">
        <v>9723</v>
      </c>
      <c r="G5" s="32">
        <v>7</v>
      </c>
      <c r="H5" s="46">
        <f>('Flow cytometer'!F5/'Flow cytometer'!G5)*POWER(10,'Flow cytometer'!E5+2)*10.2</f>
        <v>141678000</v>
      </c>
      <c r="I5" s="32">
        <v>2</v>
      </c>
      <c r="J5" s="32">
        <v>10531</v>
      </c>
      <c r="K5" s="32">
        <v>7</v>
      </c>
      <c r="L5" s="46">
        <f>('Flow cytometer'!J5/'Flow cytometer'!K5)*POWER(10,'Flow cytometer'!I5+2)*10.2</f>
        <v>153451714.28571427</v>
      </c>
      <c r="M5" s="32">
        <v>2</v>
      </c>
      <c r="N5" s="32">
        <v>9861</v>
      </c>
      <c r="O5" s="32">
        <v>7</v>
      </c>
      <c r="P5" s="46">
        <f>('Flow cytometer'!N5/'Flow cytometer'!O5)*POWER(10,'Flow cytometer'!M5+2)*10.2</f>
        <v>143688857.14285713</v>
      </c>
      <c r="Q5" s="49">
        <f>AVERAGE(H5,L5,P5)*Calculation!I5/Calculation!K4</f>
        <v>146369026.0167183</v>
      </c>
      <c r="R5" s="50">
        <f>STDEV(H5,L5,P5)*Calculation!I5/Calculation!K4</f>
        <v>6301987.7699041683</v>
      </c>
      <c r="S5" s="51">
        <f t="shared" ref="S5:S19" si="1">LOG(Q5)</f>
        <v>8.165449182916154</v>
      </c>
      <c r="T5" s="51">
        <f t="shared" ref="T5:T19" si="2">LN(Q5)</f>
        <v>18.801641566183143</v>
      </c>
      <c r="U5" s="51">
        <f t="shared" ref="U5:U19" si="3">LOG(H5)</f>
        <v>8.151302417499533</v>
      </c>
      <c r="V5" s="51">
        <f t="shared" ref="V5:V19" si="4">LOG(L5)</f>
        <v>8.1859717445154292</v>
      </c>
      <c r="W5" s="51">
        <f t="shared" ref="W5:W19" si="5">LOG(P5)</f>
        <v>8.1574230905489475</v>
      </c>
      <c r="X5" s="51">
        <f xml:space="preserve"> STDEV(U5:W5)*Calculation!I5/Calculation!K4</f>
        <v>1.851644698080605E-2</v>
      </c>
    </row>
    <row r="6" spans="1:24">
      <c r="A6" s="41">
        <v>2</v>
      </c>
      <c r="B6" s="57">
        <v>80</v>
      </c>
      <c r="C6" s="58">
        <f t="shared" ref="C6:C20" si="6">C5+B6</f>
        <v>200</v>
      </c>
      <c r="D6" s="69">
        <f t="shared" si="0"/>
        <v>3.3333333333333335</v>
      </c>
      <c r="E6" s="32">
        <v>2</v>
      </c>
      <c r="F6" s="32">
        <v>12432</v>
      </c>
      <c r="G6" s="32">
        <v>7</v>
      </c>
      <c r="H6" s="46">
        <f>('Flow cytometer'!F6/'Flow cytometer'!G6)*POWER(10,'Flow cytometer'!E6+2)*10.2</f>
        <v>181152000</v>
      </c>
      <c r="I6" s="32">
        <v>2</v>
      </c>
      <c r="J6" s="32">
        <v>12630</v>
      </c>
      <c r="K6" s="32">
        <v>7</v>
      </c>
      <c r="L6" s="46">
        <f>('Flow cytometer'!J6/'Flow cytometer'!K6)*POWER(10,'Flow cytometer'!I6+2)*10.2</f>
        <v>184037142.85714284</v>
      </c>
      <c r="M6" s="32">
        <v>2</v>
      </c>
      <c r="N6" s="32">
        <v>12099</v>
      </c>
      <c r="O6" s="32">
        <v>7</v>
      </c>
      <c r="P6" s="46">
        <f>('Flow cytometer'!N6/'Flow cytometer'!O6)*POWER(10,'Flow cytometer'!M6+2)*10.2</f>
        <v>176299714.28571427</v>
      </c>
      <c r="Q6" s="49">
        <f>AVERAGE(H6,L6,P6)*Calculation!I6/Calculation!K5</f>
        <v>180614955.1986475</v>
      </c>
      <c r="R6" s="50">
        <f>STDEV(H6,L6,P6)*Calculation!I6/Calculation!K5</f>
        <v>3912739.7287076716</v>
      </c>
      <c r="S6" s="51">
        <f t="shared" si="1"/>
        <v>8.2567537077235809</v>
      </c>
      <c r="T6" s="51">
        <f t="shared" si="2"/>
        <v>19.011878003927634</v>
      </c>
      <c r="U6" s="51">
        <f t="shared" si="3"/>
        <v>8.2580431332045006</v>
      </c>
      <c r="V6" s="51">
        <f t="shared" si="4"/>
        <v>8.264905482302991</v>
      </c>
      <c r="W6" s="51">
        <f t="shared" si="5"/>
        <v>8.2462516084749424</v>
      </c>
      <c r="X6" s="51">
        <f xml:space="preserve"> STDEV(U6:W6)*Calculation!I6/Calculation!K5</f>
        <v>9.4410577614331258E-3</v>
      </c>
    </row>
    <row r="7" spans="1:24">
      <c r="A7" s="41">
        <v>3</v>
      </c>
      <c r="B7" s="57">
        <v>80</v>
      </c>
      <c r="C7" s="58">
        <f>C6+B7</f>
        <v>280</v>
      </c>
      <c r="D7" s="69">
        <f t="shared" si="0"/>
        <v>4.666666666666667</v>
      </c>
      <c r="E7" s="32">
        <v>2</v>
      </c>
      <c r="F7" s="32">
        <v>11843</v>
      </c>
      <c r="G7" s="32">
        <v>7</v>
      </c>
      <c r="H7" s="46">
        <f>('Flow cytometer'!F7/'Flow cytometer'!G7)*POWER(10,'Flow cytometer'!E7+2)*10.2</f>
        <v>172569428.57142857</v>
      </c>
      <c r="I7" s="32">
        <v>2</v>
      </c>
      <c r="J7" s="32">
        <v>10610</v>
      </c>
      <c r="K7" s="32">
        <v>7</v>
      </c>
      <c r="L7" s="46">
        <f>('Flow cytometer'!J7/'Flow cytometer'!K7)*POWER(10,'Flow cytometer'!I7+2)*10.2</f>
        <v>154602857.14285713</v>
      </c>
      <c r="M7" s="32">
        <v>2</v>
      </c>
      <c r="N7" s="32">
        <v>14362</v>
      </c>
      <c r="O7" s="32">
        <v>7</v>
      </c>
      <c r="P7" s="46">
        <f>('Flow cytometer'!N7/'Flow cytometer'!O7)*POWER(10,'Flow cytometer'!M7+2)*10.2</f>
        <v>209274857.14285713</v>
      </c>
      <c r="Q7" s="49">
        <f>AVERAGE(H7,L7,P7)*Calculation!I7/Calculation!K6</f>
        <v>179064173.72172591</v>
      </c>
      <c r="R7" s="50">
        <f>STDEV(H7,L7,P7)*Calculation!I7/Calculation!K6</f>
        <v>27904808.937957268</v>
      </c>
      <c r="S7" s="51">
        <f t="shared" si="1"/>
        <v>8.2530087030385495</v>
      </c>
      <c r="T7" s="51">
        <f t="shared" si="2"/>
        <v>19.003254811966688</v>
      </c>
      <c r="U7" s="51">
        <f t="shared" si="3"/>
        <v>8.2369638610274958</v>
      </c>
      <c r="V7" s="51">
        <f t="shared" si="4"/>
        <v>8.1892175156490019</v>
      </c>
      <c r="W7" s="51">
        <f t="shared" si="5"/>
        <v>8.3207170541388109</v>
      </c>
      <c r="X7" s="51">
        <f xml:space="preserve"> STDEV(U7:W7)*Calculation!I7/Calculation!K6</f>
        <v>6.6658799161377499E-2</v>
      </c>
    </row>
    <row r="8" spans="1:24">
      <c r="A8" s="41">
        <v>4</v>
      </c>
      <c r="B8" s="57">
        <v>80</v>
      </c>
      <c r="C8" s="58">
        <f t="shared" si="6"/>
        <v>360</v>
      </c>
      <c r="D8" s="69">
        <f t="shared" si="0"/>
        <v>6</v>
      </c>
      <c r="E8" s="32">
        <v>2</v>
      </c>
      <c r="F8" s="32">
        <v>11361</v>
      </c>
      <c r="G8" s="32">
        <v>7</v>
      </c>
      <c r="H8" s="46">
        <f>('Flow cytometer'!F8/'Flow cytometer'!G8)*POWER(10,'Flow cytometer'!E8+2)*10.2</f>
        <v>165546000</v>
      </c>
      <c r="I8" s="32">
        <v>2</v>
      </c>
      <c r="J8" s="32">
        <v>11688</v>
      </c>
      <c r="K8" s="32">
        <v>7</v>
      </c>
      <c r="L8" s="46">
        <f>('Flow cytometer'!J8/'Flow cytometer'!K8)*POWER(10,'Flow cytometer'!I8+2)*10.2</f>
        <v>170310857.14285713</v>
      </c>
      <c r="M8" s="32">
        <v>2</v>
      </c>
      <c r="N8" s="32">
        <v>11486</v>
      </c>
      <c r="O8" s="32">
        <v>7</v>
      </c>
      <c r="P8" s="46">
        <f>('Flow cytometer'!N8/'Flow cytometer'!O8)*POWER(10,'Flow cytometer'!M8+2)*10.2</f>
        <v>167367428.57142857</v>
      </c>
      <c r="Q8" s="49">
        <f>AVERAGE(H8,L8,P8)*Calculation!I8/Calculation!K7</f>
        <v>167974500.59703395</v>
      </c>
      <c r="R8" s="50">
        <f>STDEV(H8,L8,P8)*Calculation!I8/Calculation!K7</f>
        <v>2407685.3576127472</v>
      </c>
      <c r="S8" s="51">
        <f t="shared" si="1"/>
        <v>8.2252433585679956</v>
      </c>
      <c r="T8" s="51">
        <f t="shared" si="2"/>
        <v>18.939322743686944</v>
      </c>
      <c r="U8" s="51">
        <f t="shared" si="3"/>
        <v>8.2189186915881489</v>
      </c>
      <c r="V8" s="51">
        <f t="shared" si="4"/>
        <v>8.231242334673901</v>
      </c>
      <c r="W8" s="51">
        <f t="shared" si="5"/>
        <v>8.2236709436928077</v>
      </c>
      <c r="X8" s="51">
        <f xml:space="preserve"> STDEV(U8:W8)*Calculation!I8/Calculation!K7</f>
        <v>6.2239670786470502E-3</v>
      </c>
    </row>
    <row r="9" spans="1:24">
      <c r="A9" s="41">
        <v>5</v>
      </c>
      <c r="B9" s="57">
        <v>80</v>
      </c>
      <c r="C9" s="58">
        <f t="shared" si="6"/>
        <v>440</v>
      </c>
      <c r="D9" s="69">
        <f t="shared" si="0"/>
        <v>7.333333333333333</v>
      </c>
      <c r="E9" s="32">
        <v>2</v>
      </c>
      <c r="F9" s="32">
        <v>12946</v>
      </c>
      <c r="G9" s="32">
        <v>7</v>
      </c>
      <c r="H9" s="46">
        <f>('Flow cytometer'!F9/'Flow cytometer'!G9)*POWER(10,'Flow cytometer'!E9+2)*10.2</f>
        <v>188641714.28571427</v>
      </c>
      <c r="I9" s="32">
        <v>2</v>
      </c>
      <c r="J9" s="32">
        <v>14141</v>
      </c>
      <c r="K9" s="32">
        <v>7</v>
      </c>
      <c r="L9" s="46">
        <f>('Flow cytometer'!J9/'Flow cytometer'!K9)*POWER(10,'Flow cytometer'!I9+2)*10.2</f>
        <v>206054571.4285714</v>
      </c>
      <c r="M9" s="32">
        <v>2</v>
      </c>
      <c r="N9" s="32">
        <v>14582</v>
      </c>
      <c r="O9" s="32">
        <v>7</v>
      </c>
      <c r="P9" s="46">
        <f>('Flow cytometer'!N9/'Flow cytometer'!O9)*POWER(10,'Flow cytometer'!M9+2)*10.2</f>
        <v>212480571.42857143</v>
      </c>
      <c r="Q9" s="49">
        <f>AVERAGE(H9,L9,P9)*Calculation!I9/Calculation!K8</f>
        <v>202995208.1120095</v>
      </c>
      <c r="R9" s="50">
        <f>STDEV(H9,L9,P9)*Calculation!I9/Calculation!K8</f>
        <v>12370924.63461316</v>
      </c>
      <c r="S9" s="51">
        <f t="shared" si="1"/>
        <v>8.3074857861148139</v>
      </c>
      <c r="T9" s="51">
        <f t="shared" si="2"/>
        <v>19.12869293136789</v>
      </c>
      <c r="U9" s="51">
        <f t="shared" si="3"/>
        <v>8.2756377344295728</v>
      </c>
      <c r="V9" s="51">
        <f t="shared" si="4"/>
        <v>8.3139822540179953</v>
      </c>
      <c r="W9" s="51">
        <f t="shared" si="5"/>
        <v>8.3273192256469866</v>
      </c>
      <c r="X9" s="51">
        <f xml:space="preserve"> STDEV(U9:W9)*Calculation!I9/Calculation!K8</f>
        <v>2.6910113325798006E-2</v>
      </c>
    </row>
    <row r="10" spans="1:24">
      <c r="A10" s="41">
        <v>6</v>
      </c>
      <c r="B10" s="57">
        <v>80</v>
      </c>
      <c r="C10" s="58">
        <f t="shared" si="6"/>
        <v>520</v>
      </c>
      <c r="D10" s="69">
        <f t="shared" si="0"/>
        <v>8.6666666666666661</v>
      </c>
      <c r="E10" s="32">
        <v>2</v>
      </c>
      <c r="F10" s="32">
        <v>18483</v>
      </c>
      <c r="G10" s="32">
        <v>7</v>
      </c>
      <c r="H10" s="46">
        <f>('Flow cytometer'!F10/'Flow cytometer'!G10)*POWER(10,'Flow cytometer'!E10+2)*10.2</f>
        <v>269323714.28571427</v>
      </c>
      <c r="I10" s="32">
        <v>2</v>
      </c>
      <c r="J10" s="32">
        <v>20287</v>
      </c>
      <c r="K10" s="32">
        <v>7</v>
      </c>
      <c r="L10" s="46">
        <f>('Flow cytometer'!J10/'Flow cytometer'!K10)*POWER(10,'Flow cytometer'!I10+2)*10.2</f>
        <v>295610571.42857146</v>
      </c>
      <c r="M10" s="32">
        <v>2</v>
      </c>
      <c r="N10" s="32">
        <v>17732</v>
      </c>
      <c r="O10" s="32">
        <v>7</v>
      </c>
      <c r="P10" s="46">
        <f>('Flow cytometer'!N10/'Flow cytometer'!O10)*POWER(10,'Flow cytometer'!M10+2)*10.2</f>
        <v>258380571.42857143</v>
      </c>
      <c r="Q10" s="49">
        <f>AVERAGE(H10,L10,P10)*Calculation!I10/Calculation!K9</f>
        <v>275482566.26574326</v>
      </c>
      <c r="R10" s="50">
        <f>STDEV(H10,L10,P10)*Calculation!I10/Calculation!K9</f>
        <v>19207526.564640447</v>
      </c>
      <c r="S10" s="51">
        <f t="shared" si="1"/>
        <v>8.4400941200148232</v>
      </c>
      <c r="T10" s="51">
        <f t="shared" si="2"/>
        <v>19.43403490421283</v>
      </c>
      <c r="U10" s="51">
        <f t="shared" si="3"/>
        <v>8.4302745952607321</v>
      </c>
      <c r="V10" s="51">
        <f t="shared" si="4"/>
        <v>8.4707199609508042</v>
      </c>
      <c r="W10" s="51">
        <f t="shared" si="5"/>
        <v>8.4122598543749572</v>
      </c>
      <c r="X10" s="51">
        <f xml:space="preserve"> STDEV(U10:W10)*Calculation!I10/Calculation!K9</f>
        <v>3.0052587929109056E-2</v>
      </c>
    </row>
    <row r="11" spans="1:24">
      <c r="A11" s="41">
        <v>7</v>
      </c>
      <c r="B11" s="57">
        <v>80</v>
      </c>
      <c r="C11" s="58">
        <f t="shared" si="6"/>
        <v>600</v>
      </c>
      <c r="D11" s="69">
        <f t="shared" si="0"/>
        <v>10</v>
      </c>
      <c r="E11" s="32">
        <v>2</v>
      </c>
      <c r="F11" s="32">
        <v>33060</v>
      </c>
      <c r="G11" s="32">
        <v>7</v>
      </c>
      <c r="H11" s="46">
        <f>('Flow cytometer'!F11/'Flow cytometer'!G11)*POWER(10,'Flow cytometer'!E11+2)*10.2</f>
        <v>481731428.5714286</v>
      </c>
      <c r="I11" s="32">
        <v>2</v>
      </c>
      <c r="J11" s="32">
        <v>35787</v>
      </c>
      <c r="K11" s="32">
        <v>7</v>
      </c>
      <c r="L11" s="46">
        <f>('Flow cytometer'!J11/'Flow cytometer'!K11)*POWER(10,'Flow cytometer'!I11+2)*10.2</f>
        <v>521467714.28571427</v>
      </c>
      <c r="M11" s="32">
        <v>2</v>
      </c>
      <c r="N11" s="32">
        <v>39363</v>
      </c>
      <c r="O11" s="32">
        <v>7</v>
      </c>
      <c r="P11" s="46">
        <f>('Flow cytometer'!N11/'Flow cytometer'!O11)*POWER(10,'Flow cytometer'!M11+2)*10.2</f>
        <v>573575142.85714293</v>
      </c>
      <c r="Q11" s="49">
        <f>AVERAGE(H11,L11,P11)*Calculation!I11/Calculation!K10</f>
        <v>527591386.06803423</v>
      </c>
      <c r="R11" s="50">
        <f>STDEV(H11,L11,P11)*Calculation!I11/Calculation!K10</f>
        <v>46235779.034060635</v>
      </c>
      <c r="S11" s="51">
        <f t="shared" si="1"/>
        <v>8.7222976962495</v>
      </c>
      <c r="T11" s="51">
        <f t="shared" si="2"/>
        <v>20.083832652040403</v>
      </c>
      <c r="U11" s="51">
        <f t="shared" si="3"/>
        <v>8.6828049809830894</v>
      </c>
      <c r="V11" s="51">
        <f t="shared" si="4"/>
        <v>8.7172274250509343</v>
      </c>
      <c r="W11" s="51">
        <f t="shared" si="5"/>
        <v>8.7585903219590904</v>
      </c>
      <c r="X11" s="51">
        <f xml:space="preserve"> STDEV(U11:W11)*Calculation!I11/Calculation!K10</f>
        <v>3.8089989921321926E-2</v>
      </c>
    </row>
    <row r="12" spans="1:24">
      <c r="A12" s="41">
        <v>8</v>
      </c>
      <c r="B12" s="57">
        <v>80</v>
      </c>
      <c r="C12" s="58">
        <f t="shared" si="6"/>
        <v>680</v>
      </c>
      <c r="D12" s="69">
        <f t="shared" si="0"/>
        <v>11.333333333333334</v>
      </c>
      <c r="E12" s="32">
        <v>2</v>
      </c>
      <c r="F12" s="32">
        <v>75975</v>
      </c>
      <c r="G12" s="32">
        <v>7</v>
      </c>
      <c r="H12" s="46">
        <f>('Flow cytometer'!F12/'Flow cytometer'!G12)*POWER(10,'Flow cytometer'!E12+2)*10.2</f>
        <v>1107064285.7142859</v>
      </c>
      <c r="I12" s="32">
        <v>2</v>
      </c>
      <c r="J12" s="32">
        <v>84009</v>
      </c>
      <c r="K12" s="32">
        <v>7</v>
      </c>
      <c r="L12" s="46">
        <f>('Flow cytometer'!J12/'Flow cytometer'!K12)*POWER(10,'Flow cytometer'!I12+2)*10.2</f>
        <v>1224131142.8571427</v>
      </c>
      <c r="M12" s="32">
        <v>2</v>
      </c>
      <c r="N12" s="32">
        <v>93203</v>
      </c>
      <c r="O12" s="32">
        <v>7</v>
      </c>
      <c r="P12" s="46">
        <f>('Flow cytometer'!N12/'Flow cytometer'!O12)*POWER(10,'Flow cytometer'!M12+2)*10.2</f>
        <v>1358100857.1428571</v>
      </c>
      <c r="Q12" s="49">
        <f>AVERAGE(H12,L12,P12)*Calculation!I12/Calculation!K11</f>
        <v>1238897339.3857985</v>
      </c>
      <c r="R12" s="50">
        <f>STDEV(H12,L12,P12)*Calculation!I12/Calculation!K11</f>
        <v>126545861.58817577</v>
      </c>
      <c r="S12" s="51">
        <f t="shared" si="1"/>
        <v>9.0930353202699621</v>
      </c>
      <c r="T12" s="51">
        <f t="shared" si="2"/>
        <v>20.937487578521953</v>
      </c>
      <c r="U12" s="51">
        <f t="shared" si="3"/>
        <v>9.0441728404996411</v>
      </c>
      <c r="V12" s="51">
        <f t="shared" si="4"/>
        <v>9.0878279468685914</v>
      </c>
      <c r="W12" s="51">
        <f t="shared" si="5"/>
        <v>9.1329320233127689</v>
      </c>
      <c r="X12" s="51">
        <f xml:space="preserve"> STDEV(U12:W12)*Calculation!I12/Calculation!K11</f>
        <v>4.4711128206551813E-2</v>
      </c>
    </row>
    <row r="13" spans="1:24">
      <c r="A13" s="41">
        <v>9</v>
      </c>
      <c r="B13" s="57">
        <v>80</v>
      </c>
      <c r="C13" s="58">
        <f t="shared" si="6"/>
        <v>760</v>
      </c>
      <c r="D13" s="69">
        <f t="shared" si="0"/>
        <v>12.666666666666666</v>
      </c>
      <c r="E13" s="32">
        <v>3</v>
      </c>
      <c r="F13" s="32">
        <v>14946</v>
      </c>
      <c r="G13" s="32">
        <v>7</v>
      </c>
      <c r="H13" s="46">
        <f>('Flow cytometer'!F13/'Flow cytometer'!G13)*POWER(10,'Flow cytometer'!E13+2)*10.2</f>
        <v>2177845714.2857141</v>
      </c>
      <c r="I13" s="32">
        <v>3</v>
      </c>
      <c r="J13" s="32">
        <v>15146</v>
      </c>
      <c r="K13" s="32">
        <v>7</v>
      </c>
      <c r="L13" s="46">
        <f>('Flow cytometer'!J13/'Flow cytometer'!K13)*POWER(10,'Flow cytometer'!I13+2)*10.2</f>
        <v>2206988571.4285712</v>
      </c>
      <c r="M13" s="32">
        <v>3</v>
      </c>
      <c r="N13" s="32">
        <v>15325</v>
      </c>
      <c r="O13" s="32">
        <v>7</v>
      </c>
      <c r="P13" s="46">
        <f>('Flow cytometer'!N13/'Flow cytometer'!O13)*POWER(10,'Flow cytometer'!M13+2)*10.2</f>
        <v>2233071428.5714283</v>
      </c>
      <c r="Q13" s="49">
        <f>AVERAGE(H13,L13,P13)*Calculation!I13/Calculation!K12</f>
        <v>2234858040.8106613</v>
      </c>
      <c r="R13" s="50">
        <f>STDEV(H13,L13,P13)*Calculation!I13/Calculation!K12</f>
        <v>27988787.098982397</v>
      </c>
      <c r="S13" s="51">
        <f t="shared" si="1"/>
        <v>9.3492499417629755</v>
      </c>
      <c r="T13" s="51">
        <f t="shared" si="2"/>
        <v>21.52744354657888</v>
      </c>
      <c r="U13" s="51">
        <f t="shared" si="3"/>
        <v>9.3380271096678111</v>
      </c>
      <c r="V13" s="51">
        <f t="shared" si="4"/>
        <v>9.3438000842362552</v>
      </c>
      <c r="W13" s="51">
        <f t="shared" si="5"/>
        <v>9.3489026149381136</v>
      </c>
      <c r="X13" s="51">
        <f xml:space="preserve"> STDEV(U13:W13)*Calculation!I13/Calculation!K12</f>
        <v>5.5124539499928557E-3</v>
      </c>
    </row>
    <row r="14" spans="1:24">
      <c r="A14" s="41">
        <v>10</v>
      </c>
      <c r="B14" s="57">
        <v>87</v>
      </c>
      <c r="C14" s="58">
        <f t="shared" si="6"/>
        <v>847</v>
      </c>
      <c r="D14" s="69">
        <f t="shared" si="0"/>
        <v>14.116666666666667</v>
      </c>
      <c r="E14" s="32">
        <v>3</v>
      </c>
      <c r="F14" s="32">
        <v>24194</v>
      </c>
      <c r="G14" s="32">
        <v>7</v>
      </c>
      <c r="H14" s="46">
        <f>('Flow cytometer'!F14/'Flow cytometer'!G14)*POWER(10,'Flow cytometer'!E14+2)*10.2</f>
        <v>3525411428.5714283</v>
      </c>
      <c r="I14" s="32">
        <v>3</v>
      </c>
      <c r="J14" s="32">
        <v>21902</v>
      </c>
      <c r="K14" s="32">
        <v>7</v>
      </c>
      <c r="L14" s="46">
        <f>('Flow cytometer'!J14/'Flow cytometer'!K14)*POWER(10,'Flow cytometer'!I14+2)*10.2</f>
        <v>3191434285.7142854</v>
      </c>
      <c r="M14" s="32">
        <v>3</v>
      </c>
      <c r="N14" s="32">
        <v>23698</v>
      </c>
      <c r="O14" s="32">
        <v>7</v>
      </c>
      <c r="P14" s="46">
        <f>('Flow cytometer'!N14/'Flow cytometer'!O14)*POWER(10,'Flow cytometer'!M14+2)*10.2</f>
        <v>3453137142.8571424</v>
      </c>
      <c r="Q14" s="49">
        <f>AVERAGE(H14,L14,P14)*Calculation!I14/Calculation!K13</f>
        <v>3454493557.4344373</v>
      </c>
      <c r="R14" s="50">
        <f>STDEV(H14,L14,P14)*Calculation!I14/Calculation!K13</f>
        <v>179057310.49112073</v>
      </c>
      <c r="S14" s="51">
        <f t="shared" si="1"/>
        <v>9.5383843870696214</v>
      </c>
      <c r="T14" s="51">
        <f t="shared" si="2"/>
        <v>21.962941700913657</v>
      </c>
      <c r="U14" s="51">
        <f t="shared" si="3"/>
        <v>9.5472098080597547</v>
      </c>
      <c r="V14" s="51">
        <f t="shared" si="4"/>
        <v>9.5039859063733783</v>
      </c>
      <c r="W14" s="51">
        <f t="shared" si="5"/>
        <v>9.538213826887926</v>
      </c>
      <c r="X14" s="51">
        <f xml:space="preserve"> STDEV(U14:W14)*Calculation!I14/Calculation!K13</f>
        <v>2.3240295399677379E-2</v>
      </c>
    </row>
    <row r="15" spans="1:24">
      <c r="A15" s="41">
        <v>11</v>
      </c>
      <c r="B15" s="57">
        <v>73</v>
      </c>
      <c r="C15" s="58">
        <f t="shared" si="6"/>
        <v>920</v>
      </c>
      <c r="D15" s="69">
        <f t="shared" si="0"/>
        <v>15.333333333333334</v>
      </c>
      <c r="E15" s="32">
        <v>3</v>
      </c>
      <c r="F15" s="32">
        <v>34836</v>
      </c>
      <c r="G15" s="32">
        <v>7</v>
      </c>
      <c r="H15" s="46">
        <f>('Flow cytometer'!F15/'Flow cytometer'!G15)*POWER(10,'Flow cytometer'!E15+2)*10.2</f>
        <v>5076102857.1428566</v>
      </c>
      <c r="I15" s="32">
        <v>3</v>
      </c>
      <c r="J15" s="32">
        <v>36118</v>
      </c>
      <c r="K15" s="32">
        <v>7</v>
      </c>
      <c r="L15" s="46">
        <f>('Flow cytometer'!J15/'Flow cytometer'!K15)*POWER(10,'Flow cytometer'!I15+2)*10.2</f>
        <v>5262908571.4285707</v>
      </c>
      <c r="M15" s="32">
        <v>3</v>
      </c>
      <c r="N15" s="32">
        <v>32926</v>
      </c>
      <c r="O15" s="32">
        <v>7</v>
      </c>
      <c r="P15" s="46">
        <f>('Flow cytometer'!N15/'Flow cytometer'!O15)*POWER(10,'Flow cytometer'!M15+2)*10.2</f>
        <v>4797788571.4285707</v>
      </c>
      <c r="Q15" s="49">
        <f>AVERAGE(H15,L15,P15)*Calculation!I15/Calculation!K14</f>
        <v>5172887055.1639481</v>
      </c>
      <c r="R15" s="50">
        <f>STDEV(H15,L15,P15)*Calculation!I15/Calculation!K14</f>
        <v>239960085.62227383</v>
      </c>
      <c r="S15" s="51">
        <f t="shared" si="1"/>
        <v>9.713732996125195</v>
      </c>
      <c r="T15" s="51">
        <f t="shared" si="2"/>
        <v>22.366696794202262</v>
      </c>
      <c r="U15" s="51">
        <f t="shared" si="3"/>
        <v>9.7055304136269598</v>
      </c>
      <c r="V15" s="51">
        <f t="shared" si="4"/>
        <v>9.7212258254098369</v>
      </c>
      <c r="W15" s="51">
        <f t="shared" si="5"/>
        <v>9.6810411055982417</v>
      </c>
      <c r="X15" s="51">
        <f xml:space="preserve"> STDEV(U15:W15)*Calculation!I15/Calculation!K14</f>
        <v>2.07630004011756E-2</v>
      </c>
    </row>
    <row r="16" spans="1:24">
      <c r="A16" s="41">
        <v>12</v>
      </c>
      <c r="B16" s="57">
        <v>80</v>
      </c>
      <c r="C16" s="58">
        <f t="shared" si="6"/>
        <v>1000</v>
      </c>
      <c r="D16" s="69">
        <f t="shared" si="0"/>
        <v>16.666666666666668</v>
      </c>
      <c r="E16" s="32">
        <v>3</v>
      </c>
      <c r="F16" s="32">
        <v>36979</v>
      </c>
      <c r="G16" s="32">
        <v>7</v>
      </c>
      <c r="H16" s="46">
        <f>('Flow cytometer'!F16/'Flow cytometer'!G16)*POWER(10,'Flow cytometer'!E16+2)*10.2</f>
        <v>5388368571.4285707</v>
      </c>
      <c r="I16" s="32">
        <v>3</v>
      </c>
      <c r="J16" s="32">
        <v>34102</v>
      </c>
      <c r="K16" s="32">
        <v>7</v>
      </c>
      <c r="L16" s="46">
        <f>('Flow cytometer'!J16/'Flow cytometer'!K16)*POWER(10,'Flow cytometer'!I16+2)*10.2</f>
        <v>4969148571.4285707</v>
      </c>
      <c r="M16" s="32">
        <v>3</v>
      </c>
      <c r="N16" s="32">
        <v>38029</v>
      </c>
      <c r="O16" s="32">
        <v>7</v>
      </c>
      <c r="P16" s="46">
        <f>('Flow cytometer'!N16/'Flow cytometer'!O16)*POWER(10,'Flow cytometer'!M16+2)*10.2</f>
        <v>5541368571.4285707</v>
      </c>
      <c r="Q16" s="49">
        <f>AVERAGE(H16,L16,P16)*Calculation!I16/Calculation!K15</f>
        <v>5484960750.9418631</v>
      </c>
      <c r="R16" s="50">
        <f>STDEV(H16,L16,P16)*Calculation!I16/Calculation!K15</f>
        <v>306611772.94664675</v>
      </c>
      <c r="S16" s="51">
        <f t="shared" si="1"/>
        <v>9.7391735242151309</v>
      </c>
      <c r="T16" s="51">
        <f t="shared" si="2"/>
        <v>22.425275774940047</v>
      </c>
      <c r="U16" s="51">
        <f t="shared" si="3"/>
        <v>9.7314572943751951</v>
      </c>
      <c r="V16" s="51">
        <f t="shared" si="4"/>
        <v>9.6962819818103334</v>
      </c>
      <c r="W16" s="51">
        <f t="shared" si="5"/>
        <v>9.743617037222565</v>
      </c>
      <c r="X16" s="51">
        <f xml:space="preserve"> STDEV(U16:W16)*Calculation!I16/Calculation!K15</f>
        <v>2.5442076712995525E-2</v>
      </c>
    </row>
    <row r="17" spans="1:24">
      <c r="A17" s="41">
        <v>13</v>
      </c>
      <c r="B17" s="57">
        <v>80</v>
      </c>
      <c r="C17" s="58">
        <f t="shared" si="6"/>
        <v>1080</v>
      </c>
      <c r="D17" s="69">
        <f t="shared" si="0"/>
        <v>18</v>
      </c>
      <c r="E17" s="32">
        <v>3</v>
      </c>
      <c r="F17" s="32">
        <v>40216</v>
      </c>
      <c r="G17" s="32">
        <v>7</v>
      </c>
      <c r="H17" s="46">
        <f>('Flow cytometer'!F17/'Flow cytometer'!G17)*POWER(10,'Flow cytometer'!E17+2)*10.2</f>
        <v>5860045714.2857141</v>
      </c>
      <c r="I17" s="32">
        <v>3</v>
      </c>
      <c r="J17" s="32">
        <v>42557</v>
      </c>
      <c r="K17" s="32">
        <v>7</v>
      </c>
      <c r="L17" s="46">
        <f>('Flow cytometer'!J17/'Flow cytometer'!K17)*POWER(10,'Flow cytometer'!I17+2)*10.2</f>
        <v>6201162857.1428566</v>
      </c>
      <c r="M17" s="32">
        <v>3</v>
      </c>
      <c r="N17" s="32">
        <v>35449</v>
      </c>
      <c r="O17" s="32">
        <v>7</v>
      </c>
      <c r="P17" s="46">
        <f>('Flow cytometer'!N17/'Flow cytometer'!O17)*POWER(10,'Flow cytometer'!M17+2)*10.2</f>
        <v>5165425714.2857132</v>
      </c>
      <c r="Q17" s="49">
        <f>AVERAGE(H17,L17,P17)*Calculation!I17/Calculation!K16</f>
        <v>6001992621.9368105</v>
      </c>
      <c r="R17" s="50">
        <f>STDEV(H17,L17,P17)*Calculation!I17/Calculation!K16</f>
        <v>551706422.13932288</v>
      </c>
      <c r="S17" s="51">
        <f t="shared" si="1"/>
        <v>9.7782954572244378</v>
      </c>
      <c r="T17" s="51">
        <f t="shared" si="2"/>
        <v>22.515357354696388</v>
      </c>
      <c r="U17" s="51">
        <f t="shared" si="3"/>
        <v>9.7679010039676797</v>
      </c>
      <c r="V17" s="51">
        <f t="shared" si="4"/>
        <v>9.7924731370927542</v>
      </c>
      <c r="W17" s="51">
        <f t="shared" si="5"/>
        <v>9.7131061201917817</v>
      </c>
      <c r="X17" s="51">
        <f xml:space="preserve"> STDEV(U17:W17)*Calculation!I17/Calculation!K16</f>
        <v>4.2469436130537136E-2</v>
      </c>
    </row>
    <row r="18" spans="1:24">
      <c r="A18" s="41">
        <v>14</v>
      </c>
      <c r="B18" s="57">
        <v>360</v>
      </c>
      <c r="C18" s="58">
        <f t="shared" si="6"/>
        <v>1440</v>
      </c>
      <c r="D18" s="69">
        <f t="shared" si="0"/>
        <v>24</v>
      </c>
      <c r="E18" s="32">
        <v>3</v>
      </c>
      <c r="F18" s="32">
        <v>37678</v>
      </c>
      <c r="G18" s="32">
        <v>7</v>
      </c>
      <c r="H18" s="46">
        <f>('Flow cytometer'!F18/'Flow cytometer'!G18)*POWER(10,'Flow cytometer'!E18+2)*10.2</f>
        <v>5490222857.1428566</v>
      </c>
      <c r="I18" s="32">
        <v>3</v>
      </c>
      <c r="J18" s="32">
        <v>36572</v>
      </c>
      <c r="K18" s="32">
        <v>7</v>
      </c>
      <c r="L18" s="46">
        <f>('Flow cytometer'!J18/'Flow cytometer'!K18)*POWER(10,'Flow cytometer'!I18+2)*10.2</f>
        <v>5329062857.1428566</v>
      </c>
      <c r="M18" s="32">
        <v>3</v>
      </c>
      <c r="N18" s="32">
        <v>37183</v>
      </c>
      <c r="O18" s="32">
        <v>7</v>
      </c>
      <c r="P18" s="46">
        <f>('Flow cytometer'!N18/'Flow cytometer'!O18)*POWER(10,'Flow cytometer'!M18+2)*10.2</f>
        <v>5418094285.7142859</v>
      </c>
      <c r="Q18" s="49">
        <f>AVERAGE(H18,L18,P18)*Calculation!I18/Calculation!K17</f>
        <v>5775183931.5324049</v>
      </c>
      <c r="R18" s="50">
        <f>STDEV(H18,L18,P18)*Calculation!I18/Calculation!K17</f>
        <v>86137677.517112613</v>
      </c>
      <c r="S18" s="51">
        <f t="shared" si="1"/>
        <v>9.7615658204563935</v>
      </c>
      <c r="T18" s="51">
        <f t="shared" si="2"/>
        <v>22.476835942463079</v>
      </c>
      <c r="U18" s="51">
        <f t="shared" si="3"/>
        <v>9.7395899735326097</v>
      </c>
      <c r="V18" s="51">
        <f t="shared" si="4"/>
        <v>9.7266508428435188</v>
      </c>
      <c r="W18" s="51">
        <f t="shared" si="5"/>
        <v>9.7338465583584917</v>
      </c>
      <c r="X18" s="51">
        <f xml:space="preserve"> STDEV(U18:W18)*Calculation!I18/Calculation!K17</f>
        <v>6.9176118673244828E-3</v>
      </c>
    </row>
    <row r="19" spans="1:24">
      <c r="A19" s="41">
        <v>15</v>
      </c>
      <c r="B19" s="57">
        <v>360</v>
      </c>
      <c r="C19" s="58">
        <f t="shared" si="6"/>
        <v>1800</v>
      </c>
      <c r="D19" s="69">
        <f t="shared" si="0"/>
        <v>30</v>
      </c>
      <c r="E19" s="32">
        <v>3</v>
      </c>
      <c r="F19" s="32">
        <v>26887</v>
      </c>
      <c r="G19" s="32">
        <v>7</v>
      </c>
      <c r="H19" s="46">
        <f>('Flow cytometer'!F19/'Flow cytometer'!G19)*POWER(10,'Flow cytometer'!E19+2)*10.2</f>
        <v>3917819999.9999995</v>
      </c>
      <c r="I19" s="32">
        <v>3</v>
      </c>
      <c r="J19" s="32">
        <v>34919</v>
      </c>
      <c r="K19" s="32">
        <v>7</v>
      </c>
      <c r="L19" s="46">
        <f>('Flow cytometer'!J19/'Flow cytometer'!K19)*POWER(10,'Flow cytometer'!I19+2)*10.2</f>
        <v>5088197142.8571424</v>
      </c>
      <c r="M19" s="32">
        <v>3</v>
      </c>
      <c r="N19" s="32">
        <v>31192</v>
      </c>
      <c r="O19" s="32">
        <v>7</v>
      </c>
      <c r="P19" s="46">
        <f>('Flow cytometer'!N19/'Flow cytometer'!O19)*POWER(10,'Flow cytometer'!M19+2)*10.2</f>
        <v>4545120000</v>
      </c>
      <c r="Q19" s="49">
        <f>AVERAGE(H19,L19,P19)*Calculation!I19/Calculation!K18</f>
        <v>4831474812.6561079</v>
      </c>
      <c r="R19" s="50">
        <f>STDEV(H19,L19,P19)*Calculation!I19/Calculation!K18</f>
        <v>626463226.31261206</v>
      </c>
      <c r="S19" s="51">
        <f t="shared" si="1"/>
        <v>9.6840797198263235</v>
      </c>
      <c r="T19" s="51">
        <f t="shared" si="2"/>
        <v>22.298417602238047</v>
      </c>
      <c r="U19" s="51">
        <f t="shared" si="3"/>
        <v>9.5930444789270943</v>
      </c>
      <c r="V19" s="51">
        <f t="shared" si="4"/>
        <v>9.7065639297622806</v>
      </c>
      <c r="W19" s="51">
        <f t="shared" si="5"/>
        <v>9.6575453539275902</v>
      </c>
      <c r="X19" s="51">
        <f xml:space="preserve"> STDEV(U19:W19)*Calculation!I19/Calculation!K18</f>
        <v>6.0898659065634395E-2</v>
      </c>
    </row>
    <row r="20" spans="1:24">
      <c r="A20" s="41">
        <v>16</v>
      </c>
      <c r="B20" s="57">
        <v>1080</v>
      </c>
      <c r="C20" s="58">
        <f t="shared" si="6"/>
        <v>2880</v>
      </c>
      <c r="D20" s="69">
        <f>C20/60</f>
        <v>48</v>
      </c>
      <c r="E20" s="32">
        <v>3</v>
      </c>
      <c r="F20" s="32">
        <v>19266</v>
      </c>
      <c r="G20" s="32">
        <v>7</v>
      </c>
      <c r="H20" s="46">
        <f>('Flow cytometer'!F20/'Flow cytometer'!G20)*POWER(10,'Flow cytometer'!E20+2)*10.2</f>
        <v>2807331428.5714283</v>
      </c>
      <c r="I20" s="32">
        <v>3</v>
      </c>
      <c r="J20" s="32">
        <v>22091</v>
      </c>
      <c r="K20" s="32">
        <v>7</v>
      </c>
      <c r="L20" s="46">
        <f>('Flow cytometer'!J20/'Flow cytometer'!K20)*POWER(10,'Flow cytometer'!I20+2)*10.2</f>
        <v>3218974285.7142854</v>
      </c>
      <c r="M20" s="32">
        <v>3</v>
      </c>
      <c r="N20" s="32">
        <v>16820</v>
      </c>
      <c r="O20" s="32">
        <v>7</v>
      </c>
      <c r="P20" s="46">
        <f>('Flow cytometer'!N20/'Flow cytometer'!O20)*POWER(10,'Flow cytometer'!M20+2)*10.2</f>
        <v>2450914285.7142854</v>
      </c>
      <c r="Q20" s="49">
        <f>AVERAGE(H20,L20,P20)*Calculation!I20/Calculation!K19</f>
        <v>3022438226.3693233</v>
      </c>
      <c r="R20" s="50">
        <f>STDEV(H20,L20,P20)*Calculation!I20/Calculation!K19</f>
        <v>411115908.8532685</v>
      </c>
      <c r="S20" s="51">
        <f>LOG(Q20)</f>
        <v>9.4803574333637144</v>
      </c>
      <c r="T20" s="51">
        <f>LN(Q20)</f>
        <v>21.829329702318581</v>
      </c>
      <c r="U20" s="51">
        <f>LOG(H20)</f>
        <v>9.4482936876978076</v>
      </c>
      <c r="V20" s="51">
        <f>LOG(L20)</f>
        <v>9.5077175074041609</v>
      </c>
      <c r="W20" s="51">
        <f>LOG(P20)</f>
        <v>9.3893281232095536</v>
      </c>
      <c r="X20" s="51">
        <f xml:space="preserve"> STDEV(U20:W20)*Calculation!I20/Calculation!K19</f>
        <v>6.3315360562751888E-2</v>
      </c>
    </row>
    <row r="61" spans="17:19">
      <c r="Q61" t="s">
        <v>131</v>
      </c>
    </row>
    <row r="62" spans="17:19" ht="16">
      <c r="Q62" t="s">
        <v>132</v>
      </c>
      <c r="R62">
        <v>0.53339999999999999</v>
      </c>
      <c r="S62" t="s">
        <v>133</v>
      </c>
    </row>
    <row r="63" spans="17:19">
      <c r="Q63" t="s">
        <v>134</v>
      </c>
    </row>
    <row r="64" spans="17:19" ht="16">
      <c r="Q64" t="s">
        <v>135</v>
      </c>
      <c r="R64">
        <v>14.782999999999999</v>
      </c>
    </row>
    <row r="66" spans="17:21" ht="16">
      <c r="Q66" t="s">
        <v>136</v>
      </c>
      <c r="R66">
        <v>0.99528000000000005</v>
      </c>
    </row>
    <row r="69" spans="17:21">
      <c r="Q69" t="s">
        <v>137</v>
      </c>
      <c r="R69">
        <f>LN(2)/R62</f>
        <v>1.299488527483962</v>
      </c>
      <c r="S69" t="s">
        <v>138</v>
      </c>
    </row>
    <row r="72" spans="17:21">
      <c r="Q72" s="65"/>
      <c r="R72" s="65" t="s">
        <v>139</v>
      </c>
      <c r="S72" s="65"/>
      <c r="T72" s="65" t="s">
        <v>140</v>
      </c>
      <c r="U72" s="65"/>
    </row>
    <row r="73" spans="17:21">
      <c r="Q73" s="65"/>
      <c r="R73" s="65"/>
      <c r="S73" s="65"/>
      <c r="T73" s="65"/>
      <c r="U73" s="65"/>
    </row>
    <row r="74" spans="17:21" ht="16">
      <c r="Q74">
        <v>0.53339999999999999</v>
      </c>
      <c r="R74" s="66">
        <f>AVERAGE(Q74:Q75)</f>
        <v>0.53339999999999999</v>
      </c>
      <c r="S74" s="65" t="s">
        <v>141</v>
      </c>
      <c r="T74" s="66" t="e">
        <f>STDEV(Q74:Q75)</f>
        <v>#DIV/0!</v>
      </c>
      <c r="U74" s="65" t="s">
        <v>141</v>
      </c>
    </row>
    <row r="75" spans="17:21">
      <c r="Q75" s="65"/>
      <c r="R75" s="65"/>
      <c r="S75" s="65"/>
      <c r="T75" s="65"/>
      <c r="U75" s="65"/>
    </row>
    <row r="76" spans="17:21">
      <c r="Q76" s="65"/>
      <c r="R76" s="65"/>
      <c r="S76" s="65"/>
      <c r="T76" s="65"/>
      <c r="U76" s="65"/>
    </row>
    <row r="77" spans="17:21">
      <c r="R77" t="s">
        <v>142</v>
      </c>
    </row>
    <row r="79" spans="17:21">
      <c r="R79">
        <f>LN(2)/R74</f>
        <v>1.299488527483962</v>
      </c>
      <c r="S79" t="s">
        <v>138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" sqref="D3:D20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00" t="s">
        <v>4</v>
      </c>
      <c r="B1" s="100" t="s">
        <v>104</v>
      </c>
      <c r="C1" s="100" t="s">
        <v>104</v>
      </c>
      <c r="D1" s="100" t="s">
        <v>5</v>
      </c>
      <c r="E1" s="100" t="s">
        <v>19</v>
      </c>
      <c r="F1" s="100" t="s">
        <v>24</v>
      </c>
      <c r="G1" s="96" t="s">
        <v>25</v>
      </c>
      <c r="H1" s="93" t="s">
        <v>26</v>
      </c>
      <c r="I1" s="4" t="s">
        <v>27</v>
      </c>
      <c r="J1" s="59" t="s">
        <v>27</v>
      </c>
    </row>
    <row r="2" spans="1:10">
      <c r="A2" s="101"/>
      <c r="B2" s="101"/>
      <c r="C2" s="101"/>
      <c r="D2" s="101"/>
      <c r="E2" s="101"/>
      <c r="F2" s="101"/>
      <c r="G2" s="96"/>
      <c r="H2" s="93"/>
      <c r="I2" s="5" t="s">
        <v>28</v>
      </c>
      <c r="J2" s="60" t="s">
        <v>23</v>
      </c>
    </row>
    <row r="3" spans="1:10">
      <c r="A3" s="41" t="s">
        <v>6</v>
      </c>
      <c r="B3" s="55">
        <v>-10</v>
      </c>
      <c r="C3" s="56">
        <v>-10</v>
      </c>
      <c r="D3" s="69">
        <f>C3/60</f>
        <v>-0.16666666666666666</v>
      </c>
      <c r="E3" s="41">
        <v>1</v>
      </c>
      <c r="F3" s="52">
        <v>0.10199999999999999</v>
      </c>
      <c r="G3" s="52">
        <v>0.10199999999999999</v>
      </c>
      <c r="H3" s="52">
        <v>0.10199999999999999</v>
      </c>
      <c r="I3" s="53">
        <f>E3*(AVERAGE(F3:H3)*1.6007-0.0118)</f>
        <v>0.15147139999999998</v>
      </c>
      <c r="J3" s="61">
        <f>E3*(STDEV(F3:H3)*1.6007)</f>
        <v>0</v>
      </c>
    </row>
    <row r="4" spans="1:10">
      <c r="A4" s="41">
        <v>0</v>
      </c>
      <c r="B4" s="57">
        <v>10</v>
      </c>
      <c r="C4" s="58">
        <v>10</v>
      </c>
      <c r="D4" s="69">
        <f t="shared" ref="D4:D19" si="0">C4/60</f>
        <v>0.16666666666666666</v>
      </c>
      <c r="E4" s="41">
        <v>1</v>
      </c>
      <c r="F4" s="52">
        <v>0.21299999999999999</v>
      </c>
      <c r="G4" s="52">
        <v>0.21299999999999999</v>
      </c>
      <c r="H4" s="52">
        <v>0.21299999999999999</v>
      </c>
      <c r="I4" s="53">
        <f>E4*(AVERAGE(F4:H4)*1.6007-0.0118)</f>
        <v>0.32914910000000003</v>
      </c>
      <c r="J4" s="61">
        <f t="shared" ref="J4:J20" si="1">E4*(STDEV(F4:H4)*1.6007)</f>
        <v>0</v>
      </c>
    </row>
    <row r="5" spans="1:10">
      <c r="A5" s="41">
        <v>1</v>
      </c>
      <c r="B5" s="57">
        <v>110</v>
      </c>
      <c r="C5" s="58">
        <f>C4+B5</f>
        <v>120</v>
      </c>
      <c r="D5" s="69">
        <f t="shared" si="0"/>
        <v>2</v>
      </c>
      <c r="E5" s="41">
        <v>1</v>
      </c>
      <c r="F5" s="52">
        <v>0.28599999999999998</v>
      </c>
      <c r="G5" s="52">
        <v>0.28599999999999998</v>
      </c>
      <c r="H5" s="52">
        <v>0.28599999999999998</v>
      </c>
      <c r="I5" s="53">
        <f t="shared" ref="I5:I20" si="2">E5*(AVERAGE(F5:H5)*1.6007-0.0118)</f>
        <v>0.44600020000000001</v>
      </c>
      <c r="J5" s="61">
        <f t="shared" si="1"/>
        <v>0</v>
      </c>
    </row>
    <row r="6" spans="1:10">
      <c r="A6" s="41">
        <v>2</v>
      </c>
      <c r="B6" s="57">
        <v>80</v>
      </c>
      <c r="C6" s="58">
        <f t="shared" ref="C6:C20" si="3">C5+B6</f>
        <v>200</v>
      </c>
      <c r="D6" s="69">
        <f t="shared" si="0"/>
        <v>3.3333333333333335</v>
      </c>
      <c r="E6" s="41">
        <v>10</v>
      </c>
      <c r="F6" s="52">
        <v>3.3000000000000002E-2</v>
      </c>
      <c r="G6" s="52">
        <v>3.3000000000000002E-2</v>
      </c>
      <c r="H6" s="52">
        <v>3.4000000000000002E-2</v>
      </c>
      <c r="I6" s="53">
        <f t="shared" si="2"/>
        <v>0.41556666666666664</v>
      </c>
      <c r="J6" s="61">
        <f t="shared" si="1"/>
        <v>9.241645758918348E-3</v>
      </c>
    </row>
    <row r="7" spans="1:10">
      <c r="A7" s="41">
        <v>3</v>
      </c>
      <c r="B7" s="57">
        <v>80</v>
      </c>
      <c r="C7" s="58">
        <f>C6+B7</f>
        <v>280</v>
      </c>
      <c r="D7" s="69">
        <f t="shared" si="0"/>
        <v>4.666666666666667</v>
      </c>
      <c r="E7" s="41">
        <v>10</v>
      </c>
      <c r="F7" s="52">
        <v>3.4000000000000002E-2</v>
      </c>
      <c r="G7" s="52">
        <v>4.4999999999999998E-2</v>
      </c>
      <c r="H7" s="52">
        <v>3.5999999999999997E-2</v>
      </c>
      <c r="I7" s="53">
        <f t="shared" si="2"/>
        <v>0.49560166666666661</v>
      </c>
      <c r="J7" s="61">
        <f t="shared" si="1"/>
        <v>9.379246069025661E-2</v>
      </c>
    </row>
    <row r="8" spans="1:10">
      <c r="A8" s="41">
        <v>4</v>
      </c>
      <c r="B8" s="57">
        <v>80</v>
      </c>
      <c r="C8" s="58">
        <f t="shared" si="3"/>
        <v>360</v>
      </c>
      <c r="D8" s="69">
        <f t="shared" si="0"/>
        <v>6</v>
      </c>
      <c r="E8" s="41">
        <v>10</v>
      </c>
      <c r="F8" s="52">
        <v>4.2999999999999997E-2</v>
      </c>
      <c r="G8" s="52">
        <v>4.2999999999999997E-2</v>
      </c>
      <c r="H8" s="52">
        <v>4.2999999999999997E-2</v>
      </c>
      <c r="I8" s="53">
        <f t="shared" si="2"/>
        <v>0.57030100000000006</v>
      </c>
      <c r="J8" s="61">
        <f t="shared" si="1"/>
        <v>1.3603348417410541E-16</v>
      </c>
    </row>
    <row r="9" spans="1:10">
      <c r="A9" s="41">
        <v>5</v>
      </c>
      <c r="B9" s="57">
        <v>80</v>
      </c>
      <c r="C9" s="58">
        <f t="shared" si="3"/>
        <v>440</v>
      </c>
      <c r="D9" s="69">
        <f t="shared" si="0"/>
        <v>7.333333333333333</v>
      </c>
      <c r="E9" s="41">
        <v>10</v>
      </c>
      <c r="F9" s="52">
        <v>4.5999999999999999E-2</v>
      </c>
      <c r="G9" s="52">
        <v>4.7E-2</v>
      </c>
      <c r="H9" s="52">
        <v>4.8000000000000001E-2</v>
      </c>
      <c r="I9" s="53">
        <f t="shared" si="2"/>
        <v>0.63432900000000003</v>
      </c>
      <c r="J9" s="61">
        <f t="shared" si="1"/>
        <v>1.6007000000000014E-2</v>
      </c>
    </row>
    <row r="10" spans="1:10">
      <c r="A10" s="41">
        <v>6</v>
      </c>
      <c r="B10" s="57">
        <v>80</v>
      </c>
      <c r="C10" s="58">
        <f t="shared" si="3"/>
        <v>520</v>
      </c>
      <c r="D10" s="69">
        <f t="shared" si="0"/>
        <v>8.6666666666666661</v>
      </c>
      <c r="E10" s="41">
        <v>10</v>
      </c>
      <c r="F10" s="52">
        <v>6.2E-2</v>
      </c>
      <c r="G10" s="52">
        <v>6.2E-2</v>
      </c>
      <c r="H10" s="52">
        <v>6.0999999999999999E-2</v>
      </c>
      <c r="I10" s="53">
        <f t="shared" si="2"/>
        <v>0.86909833333333331</v>
      </c>
      <c r="J10" s="61">
        <f t="shared" si="1"/>
        <v>9.241645758918348E-3</v>
      </c>
    </row>
    <row r="11" spans="1:10">
      <c r="A11" s="41">
        <v>7</v>
      </c>
      <c r="B11" s="57">
        <v>80</v>
      </c>
      <c r="C11" s="58">
        <f t="shared" si="3"/>
        <v>600</v>
      </c>
      <c r="D11" s="69">
        <f t="shared" si="0"/>
        <v>10</v>
      </c>
      <c r="E11" s="41">
        <v>10</v>
      </c>
      <c r="F11" s="52">
        <v>8.3000000000000004E-2</v>
      </c>
      <c r="G11" s="52">
        <v>8.5000000000000006E-2</v>
      </c>
      <c r="H11" s="52">
        <v>8.5000000000000006E-2</v>
      </c>
      <c r="I11" s="53">
        <f t="shared" si="2"/>
        <v>1.2319236666666666</v>
      </c>
      <c r="J11" s="61">
        <f t="shared" si="1"/>
        <v>1.8483291517836696E-2</v>
      </c>
    </row>
    <row r="12" spans="1:10">
      <c r="A12" s="41">
        <v>8</v>
      </c>
      <c r="B12" s="57">
        <v>80</v>
      </c>
      <c r="C12" s="58">
        <f t="shared" si="3"/>
        <v>680</v>
      </c>
      <c r="D12" s="69">
        <f t="shared" si="0"/>
        <v>11.333333333333334</v>
      </c>
      <c r="E12" s="41">
        <v>10</v>
      </c>
      <c r="F12" s="52">
        <v>0.13100000000000001</v>
      </c>
      <c r="G12" s="52">
        <v>0.13</v>
      </c>
      <c r="H12" s="52">
        <v>0.13400000000000001</v>
      </c>
      <c r="I12" s="53">
        <f t="shared" si="2"/>
        <v>1.9895883333333337</v>
      </c>
      <c r="J12" s="61">
        <f t="shared" si="1"/>
        <v>3.3321227653454411E-2</v>
      </c>
    </row>
    <row r="13" spans="1:10">
      <c r="A13" s="41">
        <v>9</v>
      </c>
      <c r="B13" s="57">
        <v>80</v>
      </c>
      <c r="C13" s="58">
        <f t="shared" si="3"/>
        <v>760</v>
      </c>
      <c r="D13" s="69">
        <f t="shared" si="0"/>
        <v>12.666666666666666</v>
      </c>
      <c r="E13" s="41">
        <v>10</v>
      </c>
      <c r="F13" s="52">
        <v>0.23100000000000001</v>
      </c>
      <c r="G13" s="52">
        <v>0.23200000000000001</v>
      </c>
      <c r="H13" s="52">
        <v>0.219</v>
      </c>
      <c r="I13" s="53">
        <f t="shared" si="2"/>
        <v>3.5209246666666671</v>
      </c>
      <c r="J13" s="61">
        <f t="shared" si="1"/>
        <v>0.11579748945609036</v>
      </c>
    </row>
    <row r="14" spans="1:10">
      <c r="A14" s="41">
        <v>10</v>
      </c>
      <c r="B14" s="57">
        <v>87</v>
      </c>
      <c r="C14" s="58">
        <f t="shared" si="3"/>
        <v>847</v>
      </c>
      <c r="D14" s="69">
        <f t="shared" si="0"/>
        <v>14.116666666666667</v>
      </c>
      <c r="E14" s="41">
        <v>20</v>
      </c>
      <c r="F14" s="52">
        <v>0.156</v>
      </c>
      <c r="G14" s="52">
        <v>0.159</v>
      </c>
      <c r="H14" s="52">
        <v>0.159</v>
      </c>
      <c r="I14" s="53">
        <f t="shared" si="2"/>
        <v>4.8222119999999995</v>
      </c>
      <c r="J14" s="61">
        <f t="shared" si="1"/>
        <v>5.5449874553510095E-2</v>
      </c>
    </row>
    <row r="15" spans="1:10">
      <c r="A15" s="41">
        <v>11</v>
      </c>
      <c r="B15" s="57">
        <v>73</v>
      </c>
      <c r="C15" s="58">
        <f t="shared" si="3"/>
        <v>920</v>
      </c>
      <c r="D15" s="69">
        <f t="shared" si="0"/>
        <v>15.333333333333334</v>
      </c>
      <c r="E15" s="41">
        <v>20</v>
      </c>
      <c r="F15" s="52">
        <v>0.186</v>
      </c>
      <c r="G15" s="52">
        <v>0.19900000000000001</v>
      </c>
      <c r="H15" s="52">
        <v>0.186</v>
      </c>
      <c r="I15" s="53">
        <f t="shared" si="2"/>
        <v>5.8573313333333328</v>
      </c>
      <c r="J15" s="61">
        <f t="shared" si="1"/>
        <v>0.24028278973187706</v>
      </c>
    </row>
    <row r="16" spans="1:10">
      <c r="A16" s="41">
        <v>12</v>
      </c>
      <c r="B16" s="57">
        <v>80</v>
      </c>
      <c r="C16" s="58">
        <f t="shared" si="3"/>
        <v>1000</v>
      </c>
      <c r="D16" s="69">
        <f t="shared" si="0"/>
        <v>16.666666666666668</v>
      </c>
      <c r="E16" s="41">
        <v>20</v>
      </c>
      <c r="F16" s="52">
        <v>0.23100000000000001</v>
      </c>
      <c r="G16" s="52">
        <v>0.24299999999999999</v>
      </c>
      <c r="H16" s="52">
        <v>0.22900000000000001</v>
      </c>
      <c r="I16" s="53">
        <f t="shared" si="2"/>
        <v>7.2659473333333331</v>
      </c>
      <c r="J16" s="61">
        <f t="shared" si="1"/>
        <v>0.24240609570993299</v>
      </c>
    </row>
    <row r="17" spans="1:10">
      <c r="A17" s="41">
        <v>13</v>
      </c>
      <c r="B17" s="57">
        <v>80</v>
      </c>
      <c r="C17" s="58">
        <f t="shared" si="3"/>
        <v>1080</v>
      </c>
      <c r="D17" s="69">
        <f t="shared" si="0"/>
        <v>18</v>
      </c>
      <c r="E17" s="41">
        <v>20</v>
      </c>
      <c r="F17" s="52">
        <v>0.26400000000000001</v>
      </c>
      <c r="G17" s="52">
        <v>0.27600000000000002</v>
      </c>
      <c r="H17" s="52">
        <v>0.28100000000000003</v>
      </c>
      <c r="I17" s="53">
        <f t="shared" si="2"/>
        <v>8.5251646666666669</v>
      </c>
      <c r="J17" s="61">
        <f t="shared" si="1"/>
        <v>0.27970295486700436</v>
      </c>
    </row>
    <row r="18" spans="1:10">
      <c r="A18" s="41">
        <v>14</v>
      </c>
      <c r="B18" s="57">
        <v>360</v>
      </c>
      <c r="C18" s="58">
        <f t="shared" si="3"/>
        <v>1440</v>
      </c>
      <c r="D18" s="69">
        <f t="shared" si="0"/>
        <v>24</v>
      </c>
      <c r="E18" s="41">
        <v>20</v>
      </c>
      <c r="F18" s="52">
        <v>0.23699999999999999</v>
      </c>
      <c r="G18" s="52">
        <v>0.20699999999999999</v>
      </c>
      <c r="H18" s="52">
        <v>0.20499999999999999</v>
      </c>
      <c r="I18" s="53">
        <f t="shared" si="2"/>
        <v>6.6896953333333329</v>
      </c>
      <c r="J18" s="61">
        <f t="shared" si="1"/>
        <v>0.5738756929695954</v>
      </c>
    </row>
    <row r="19" spans="1:10">
      <c r="A19" s="41">
        <v>15</v>
      </c>
      <c r="B19" s="57">
        <v>360</v>
      </c>
      <c r="C19" s="58">
        <f t="shared" si="3"/>
        <v>1800</v>
      </c>
      <c r="D19" s="69">
        <f t="shared" si="0"/>
        <v>30</v>
      </c>
      <c r="E19" s="41">
        <v>20</v>
      </c>
      <c r="F19" s="52">
        <v>0.156</v>
      </c>
      <c r="G19" s="52">
        <v>0.15</v>
      </c>
      <c r="H19" s="52">
        <v>0.13900000000000001</v>
      </c>
      <c r="I19" s="53">
        <f t="shared" si="2"/>
        <v>4.5127433333333338</v>
      </c>
      <c r="J19" s="61">
        <f t="shared" si="1"/>
        <v>0.27601440282951395</v>
      </c>
    </row>
    <row r="20" spans="1:10">
      <c r="A20" s="41">
        <v>16</v>
      </c>
      <c r="B20" s="57">
        <v>1080</v>
      </c>
      <c r="C20" s="58">
        <f t="shared" si="3"/>
        <v>2880</v>
      </c>
      <c r="D20" s="69">
        <f>C20/60</f>
        <v>48</v>
      </c>
      <c r="E20" s="41">
        <v>20</v>
      </c>
      <c r="F20" s="52">
        <v>5.6000000000000001E-2</v>
      </c>
      <c r="G20" s="52">
        <v>5.7000000000000002E-2</v>
      </c>
      <c r="H20" s="52">
        <v>5.5E-2</v>
      </c>
      <c r="I20" s="53">
        <f t="shared" si="2"/>
        <v>1.5567839999999999</v>
      </c>
      <c r="J20" s="61">
        <f t="shared" si="1"/>
        <v>3.2014000000000029E-2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22" sqref="F22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00" t="s">
        <v>4</v>
      </c>
      <c r="B1" s="100" t="s">
        <v>104</v>
      </c>
      <c r="C1" s="100" t="s">
        <v>104</v>
      </c>
      <c r="D1" s="100" t="s">
        <v>5</v>
      </c>
      <c r="E1" s="4" t="s">
        <v>29</v>
      </c>
      <c r="F1" s="4" t="s">
        <v>2</v>
      </c>
      <c r="G1" s="4" t="s">
        <v>32</v>
      </c>
    </row>
    <row r="2" spans="1:7">
      <c r="A2" s="101"/>
      <c r="B2" s="101"/>
      <c r="C2" s="101"/>
      <c r="D2" s="101"/>
      <c r="E2" s="5" t="s">
        <v>30</v>
      </c>
      <c r="F2" s="5" t="s">
        <v>31</v>
      </c>
      <c r="G2" s="5" t="s">
        <v>33</v>
      </c>
    </row>
    <row r="3" spans="1:7">
      <c r="A3" s="41" t="s">
        <v>6</v>
      </c>
      <c r="B3" s="55">
        <v>-10</v>
      </c>
      <c r="C3" s="56">
        <v>-10</v>
      </c>
      <c r="D3" s="69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41">
        <v>0</v>
      </c>
      <c r="B4" s="57">
        <v>10</v>
      </c>
      <c r="C4" s="58">
        <v>10</v>
      </c>
      <c r="D4" s="69">
        <f t="shared" ref="D4:D19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41">
        <v>1</v>
      </c>
      <c r="B5" s="57">
        <v>110</v>
      </c>
      <c r="C5" s="58">
        <f>C4+B5</f>
        <v>120</v>
      </c>
      <c r="D5" s="69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41">
        <v>2</v>
      </c>
      <c r="B6" s="57">
        <v>80</v>
      </c>
      <c r="C6" s="58">
        <f t="shared" ref="C6:C19" si="1">C5+B6</f>
        <v>200</v>
      </c>
      <c r="D6" s="69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41">
        <v>3</v>
      </c>
      <c r="B7" s="57">
        <v>80</v>
      </c>
      <c r="C7" s="58">
        <f>C6+B7</f>
        <v>280</v>
      </c>
      <c r="D7" s="69">
        <f t="shared" si="0"/>
        <v>4.666666666666667</v>
      </c>
      <c r="E7" s="1"/>
      <c r="F7" s="1"/>
      <c r="G7" s="1" t="e">
        <f>(F7-$C$22)/E7*1000*Calculation!I8/Calculation!K7</f>
        <v>#DIV/0!</v>
      </c>
    </row>
    <row r="8" spans="1:7">
      <c r="A8" s="41">
        <v>4</v>
      </c>
      <c r="B8" s="57">
        <v>80</v>
      </c>
      <c r="C8" s="58">
        <f t="shared" si="1"/>
        <v>360</v>
      </c>
      <c r="D8" s="69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41">
        <v>5</v>
      </c>
      <c r="B9" s="57">
        <v>80</v>
      </c>
      <c r="C9" s="58">
        <f t="shared" si="1"/>
        <v>440</v>
      </c>
      <c r="D9" s="69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41">
        <v>6</v>
      </c>
      <c r="B10" s="57">
        <v>80</v>
      </c>
      <c r="C10" s="58">
        <f t="shared" si="1"/>
        <v>520</v>
      </c>
      <c r="D10" s="69">
        <f t="shared" si="0"/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41">
        <v>7</v>
      </c>
      <c r="B11" s="57">
        <v>80</v>
      </c>
      <c r="C11" s="58">
        <f t="shared" si="1"/>
        <v>600</v>
      </c>
      <c r="D11" s="69">
        <f t="shared" si="0"/>
        <v>10</v>
      </c>
      <c r="E11" s="1"/>
      <c r="F11" s="1"/>
      <c r="G11" s="1" t="e">
        <f>(F11-$C$22)/E11*1000*Calculation!I12/Calculation!K11</f>
        <v>#DIV/0!</v>
      </c>
    </row>
    <row r="12" spans="1:7">
      <c r="A12" s="41">
        <v>8</v>
      </c>
      <c r="B12" s="57">
        <v>80</v>
      </c>
      <c r="C12" s="58">
        <f t="shared" si="1"/>
        <v>680</v>
      </c>
      <c r="D12" s="69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41">
        <v>9</v>
      </c>
      <c r="B13" s="57">
        <v>80</v>
      </c>
      <c r="C13" s="58">
        <f t="shared" si="1"/>
        <v>760</v>
      </c>
      <c r="D13" s="69">
        <f t="shared" si="0"/>
        <v>12.666666666666666</v>
      </c>
      <c r="E13" s="38"/>
      <c r="F13" s="38"/>
      <c r="G13" s="38" t="e">
        <f>(F13-$C$22)/E13*1000*Calculation!I14/Calculation!K13</f>
        <v>#DIV/0!</v>
      </c>
    </row>
    <row r="14" spans="1:7">
      <c r="A14" s="41">
        <v>10</v>
      </c>
      <c r="B14" s="57">
        <v>87</v>
      </c>
      <c r="C14" s="58">
        <f t="shared" si="1"/>
        <v>847</v>
      </c>
      <c r="D14" s="69">
        <f t="shared" si="0"/>
        <v>14.116666666666667</v>
      </c>
      <c r="E14" s="38"/>
      <c r="F14" s="38"/>
      <c r="G14" s="38" t="e">
        <f>(F14-$C$22)/E14*1000*Calculation!I15/Calculation!K14</f>
        <v>#DIV/0!</v>
      </c>
    </row>
    <row r="15" spans="1:7">
      <c r="A15" s="41">
        <v>11</v>
      </c>
      <c r="B15" s="57">
        <v>73</v>
      </c>
      <c r="C15" s="58">
        <f t="shared" si="1"/>
        <v>920</v>
      </c>
      <c r="D15" s="69">
        <f t="shared" si="0"/>
        <v>15.333333333333334</v>
      </c>
      <c r="E15" s="38"/>
      <c r="F15" s="38"/>
      <c r="G15" s="38" t="e">
        <f>(F15-$C$22)/E15*1000*Calculation!I16/Calculation!K15</f>
        <v>#DIV/0!</v>
      </c>
    </row>
    <row r="16" spans="1:7">
      <c r="A16" s="41">
        <v>12</v>
      </c>
      <c r="B16" s="57">
        <v>80</v>
      </c>
      <c r="C16" s="58">
        <f t="shared" si="1"/>
        <v>1000</v>
      </c>
      <c r="D16" s="69">
        <f t="shared" si="0"/>
        <v>16.666666666666668</v>
      </c>
      <c r="E16" s="38"/>
      <c r="F16" s="38"/>
      <c r="G16" s="38" t="e">
        <f>(F16-$C$22)/E16*1000*Calculation!I17/Calculation!K16</f>
        <v>#DIV/0!</v>
      </c>
    </row>
    <row r="17" spans="1:7" ht="15" customHeight="1">
      <c r="A17" s="41">
        <v>13</v>
      </c>
      <c r="B17" s="57">
        <v>80</v>
      </c>
      <c r="C17" s="58">
        <f t="shared" si="1"/>
        <v>1080</v>
      </c>
      <c r="D17" s="69">
        <f t="shared" si="0"/>
        <v>18</v>
      </c>
      <c r="E17" s="38"/>
      <c r="F17" s="38"/>
      <c r="G17" s="38" t="e">
        <f>(F17-$C$22)/E17*1000*Calculation!I18/Calculation!K17</f>
        <v>#DIV/0!</v>
      </c>
    </row>
    <row r="18" spans="1:7">
      <c r="A18" s="41">
        <v>14</v>
      </c>
      <c r="B18" s="57">
        <v>360</v>
      </c>
      <c r="C18" s="58">
        <f t="shared" si="1"/>
        <v>1440</v>
      </c>
      <c r="D18" s="69">
        <f t="shared" si="0"/>
        <v>24</v>
      </c>
      <c r="E18" s="38"/>
      <c r="F18" s="38"/>
      <c r="G18" s="38" t="e">
        <f>(F18-$C$22)/E18*1000*Calculation!I19/Calculation!K18</f>
        <v>#DIV/0!</v>
      </c>
    </row>
    <row r="19" spans="1:7">
      <c r="A19" s="41">
        <v>15</v>
      </c>
      <c r="B19" s="57">
        <v>360</v>
      </c>
      <c r="C19" s="58">
        <f t="shared" si="1"/>
        <v>1800</v>
      </c>
      <c r="D19" s="69">
        <f t="shared" si="0"/>
        <v>30</v>
      </c>
      <c r="E19" s="41"/>
      <c r="F19" s="41"/>
      <c r="G19" s="41" t="e">
        <f>(F19-$C$22)/E19*1000*Calculation!I21/Calculation!K19</f>
        <v>#DIV/0!</v>
      </c>
    </row>
    <row r="20" spans="1:7">
      <c r="A20" s="41">
        <v>16</v>
      </c>
      <c r="B20" s="57">
        <v>1080</v>
      </c>
      <c r="C20" s="58">
        <f>C19+B20</f>
        <v>2880</v>
      </c>
      <c r="D20" s="69">
        <f>C20/60</f>
        <v>48</v>
      </c>
      <c r="E20" s="41"/>
      <c r="F20" s="41"/>
      <c r="G20" s="41"/>
    </row>
    <row r="21" spans="1:7">
      <c r="A21" s="67"/>
      <c r="B21" s="58"/>
      <c r="C21" s="58"/>
      <c r="D21" s="70"/>
    </row>
    <row r="22" spans="1:7">
      <c r="A22" s="109" t="s">
        <v>3</v>
      </c>
      <c r="B22" s="110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203"/>
  <sheetViews>
    <sheetView topLeftCell="A161" workbookViewId="0">
      <selection activeCell="F107" sqref="F107:F203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9" max="9" width="9.1640625" bestFit="1" customWidth="1"/>
    <col min="10" max="10" width="12" bestFit="1" customWidth="1"/>
    <col min="11" max="11" width="8.5" customWidth="1"/>
  </cols>
  <sheetData>
    <row r="1" spans="1:10">
      <c r="A1" s="24" t="s">
        <v>49</v>
      </c>
      <c r="B1" s="27">
        <v>70.5</v>
      </c>
      <c r="C1" s="27" t="s">
        <v>50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96" t="s">
        <v>5</v>
      </c>
      <c r="B3" s="96" t="s">
        <v>36</v>
      </c>
      <c r="C3" s="96"/>
      <c r="D3" s="96" t="s">
        <v>51</v>
      </c>
      <c r="E3" s="96"/>
      <c r="F3" s="96"/>
      <c r="G3" s="24" t="s">
        <v>52</v>
      </c>
    </row>
    <row r="4" spans="1:10">
      <c r="A4" s="96"/>
      <c r="B4" s="24" t="s">
        <v>53</v>
      </c>
      <c r="C4" s="24" t="s">
        <v>54</v>
      </c>
      <c r="D4" s="24" t="s">
        <v>55</v>
      </c>
      <c r="E4" s="24" t="s">
        <v>56</v>
      </c>
      <c r="F4" s="24" t="s">
        <v>57</v>
      </c>
      <c r="G4" s="24" t="s">
        <v>58</v>
      </c>
    </row>
    <row r="5" spans="1:10">
      <c r="A5" s="12">
        <v>0</v>
      </c>
      <c r="B5" s="12">
        <v>0</v>
      </c>
      <c r="C5" s="12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  <c r="I5" s="89">
        <v>-0.16666666666666666</v>
      </c>
      <c r="J5" t="s">
        <v>169</v>
      </c>
    </row>
    <row r="6" spans="1:10">
      <c r="A6" s="12">
        <v>0.5</v>
      </c>
      <c r="B6" s="12">
        <v>747.61</v>
      </c>
      <c r="C6" s="12">
        <f t="shared" ref="C6:C69" si="0">B6/1000</f>
        <v>0.74761</v>
      </c>
      <c r="D6" s="12">
        <f>C6/1000*$B$1</f>
        <v>5.2706505000000001E-2</v>
      </c>
      <c r="E6" s="12">
        <f>D6/22.4</f>
        <v>2.3529689732142861E-3</v>
      </c>
      <c r="F6" s="12">
        <f>E6/Calculation!K$4*1000</f>
        <v>1.6115783445327554E-3</v>
      </c>
      <c r="G6" s="12">
        <f>G5+(F6+F5)/2*30</f>
        <v>2.4173675167991331E-2</v>
      </c>
      <c r="I6" s="89">
        <v>0.16666666666666666</v>
      </c>
      <c r="J6" t="s">
        <v>170</v>
      </c>
    </row>
    <row r="7" spans="1:10">
      <c r="A7" s="12">
        <v>1</v>
      </c>
      <c r="B7" s="12">
        <v>4819.41</v>
      </c>
      <c r="C7" s="12">
        <f t="shared" si="0"/>
        <v>4.8194099999999995</v>
      </c>
      <c r="D7" s="12">
        <f t="shared" ref="D7:D69" si="1">C7/1000*$B$1</f>
        <v>0.339768405</v>
      </c>
      <c r="E7" s="12">
        <f t="shared" ref="E7:E69" si="2">D7/22.4</f>
        <v>1.5168232366071429E-2</v>
      </c>
      <c r="F7" s="12">
        <f>E7/Calculation!K$4*1000</f>
        <v>1.0388915061896721E-2</v>
      </c>
      <c r="G7" s="12">
        <f t="shared" ref="G7:G70" si="3">G6+(F7+F6)/2*30</f>
        <v>0.20418107626443346</v>
      </c>
      <c r="I7" s="89">
        <v>2</v>
      </c>
      <c r="J7" t="s">
        <v>171</v>
      </c>
    </row>
    <row r="8" spans="1:10">
      <c r="A8" s="12">
        <v>1.5</v>
      </c>
      <c r="B8" s="12">
        <v>9943.4699999999993</v>
      </c>
      <c r="C8" s="12">
        <f t="shared" si="0"/>
        <v>9.9434699999999996</v>
      </c>
      <c r="D8" s="12">
        <f t="shared" si="1"/>
        <v>0.70101463499999994</v>
      </c>
      <c r="E8" s="12">
        <f t="shared" si="2"/>
        <v>3.1295296205357141E-2</v>
      </c>
      <c r="F8" s="12">
        <f>E8/Calculation!K$4*1000</f>
        <v>2.1434545981877069E-2</v>
      </c>
      <c r="G8" s="12">
        <f t="shared" si="3"/>
        <v>0.68153299192104033</v>
      </c>
      <c r="I8" s="89">
        <v>3.3333333333333335</v>
      </c>
      <c r="J8" t="s">
        <v>172</v>
      </c>
    </row>
    <row r="9" spans="1:10">
      <c r="A9" s="12">
        <v>2</v>
      </c>
      <c r="B9" s="12">
        <v>8350.0300000000007</v>
      </c>
      <c r="C9" s="12">
        <f t="shared" si="0"/>
        <v>8.3500300000000003</v>
      </c>
      <c r="D9" s="12">
        <f t="shared" si="1"/>
        <v>0.58867711499999997</v>
      </c>
      <c r="E9" s="12">
        <f t="shared" si="2"/>
        <v>2.6280228348214286E-2</v>
      </c>
      <c r="F9" s="12">
        <f>E9/Calculation!K$5*1000</f>
        <v>1.8611115785458942E-2</v>
      </c>
      <c r="G9" s="12">
        <f t="shared" si="3"/>
        <v>1.2822179184310805</v>
      </c>
      <c r="I9" s="89">
        <v>4.666666666666667</v>
      </c>
      <c r="J9" t="s">
        <v>173</v>
      </c>
    </row>
    <row r="10" spans="1:10">
      <c r="A10" s="12">
        <v>2.5</v>
      </c>
      <c r="B10" s="12">
        <v>7114.36</v>
      </c>
      <c r="C10" s="12">
        <f t="shared" si="0"/>
        <v>7.1143599999999996</v>
      </c>
      <c r="D10" s="12">
        <f t="shared" si="1"/>
        <v>0.50156237999999997</v>
      </c>
      <c r="E10" s="12">
        <f t="shared" si="2"/>
        <v>2.239117767857143E-2</v>
      </c>
      <c r="F10" s="12">
        <f>E10/Calculation!K$5*1000</f>
        <v>1.585697029824296E-2</v>
      </c>
      <c r="G10" s="12">
        <f t="shared" si="3"/>
        <v>1.799239209686609</v>
      </c>
      <c r="I10" s="89">
        <v>6</v>
      </c>
      <c r="J10" t="s">
        <v>174</v>
      </c>
    </row>
    <row r="11" spans="1:10">
      <c r="A11" s="12">
        <v>3</v>
      </c>
      <c r="B11" s="12">
        <v>6434.89</v>
      </c>
      <c r="C11" s="12">
        <f t="shared" si="0"/>
        <v>6.4348900000000002</v>
      </c>
      <c r="D11" s="12">
        <f t="shared" si="1"/>
        <v>0.453659745</v>
      </c>
      <c r="E11" s="12">
        <f t="shared" si="2"/>
        <v>2.02526671875E-2</v>
      </c>
      <c r="F11" s="12">
        <f>E11/Calculation!K$5*1000</f>
        <v>1.4342521267192078E-2</v>
      </c>
      <c r="G11" s="12">
        <f t="shared" si="3"/>
        <v>2.2522315831681343</v>
      </c>
      <c r="I11" s="89">
        <v>7.333333333333333</v>
      </c>
      <c r="J11" t="s">
        <v>175</v>
      </c>
    </row>
    <row r="12" spans="1:10">
      <c r="A12" s="12">
        <v>3.5</v>
      </c>
      <c r="B12" s="12">
        <v>5125.07</v>
      </c>
      <c r="C12" s="12">
        <f t="shared" si="0"/>
        <v>5.12507</v>
      </c>
      <c r="D12" s="12">
        <f t="shared" si="1"/>
        <v>0.36131743499999996</v>
      </c>
      <c r="E12" s="12">
        <f t="shared" si="2"/>
        <v>1.6130242633928572E-2</v>
      </c>
      <c r="F12" s="12">
        <f>E12/Calculation!K$6*1000</f>
        <v>1.1807496458428279E-2</v>
      </c>
      <c r="G12" s="12">
        <f t="shared" si="3"/>
        <v>2.6444818490524398</v>
      </c>
      <c r="I12" s="89">
        <v>8.6666666666666661</v>
      </c>
      <c r="J12" t="s">
        <v>176</v>
      </c>
    </row>
    <row r="13" spans="1:10">
      <c r="A13" s="12">
        <v>4</v>
      </c>
      <c r="B13" s="12">
        <v>4877.53</v>
      </c>
      <c r="C13" s="12">
        <f t="shared" si="0"/>
        <v>4.8775300000000001</v>
      </c>
      <c r="D13" s="12">
        <f t="shared" si="1"/>
        <v>0.34386586499999999</v>
      </c>
      <c r="E13" s="12">
        <f t="shared" si="2"/>
        <v>1.53511546875E-2</v>
      </c>
      <c r="F13" s="12">
        <f>E13/Calculation!K$6*1000</f>
        <v>1.1237196409195909E-2</v>
      </c>
      <c r="G13" s="12">
        <f t="shared" si="3"/>
        <v>2.9901522420668027</v>
      </c>
      <c r="I13" s="89">
        <v>10</v>
      </c>
      <c r="J13" t="s">
        <v>177</v>
      </c>
    </row>
    <row r="14" spans="1:10">
      <c r="A14" s="12">
        <v>4.5</v>
      </c>
      <c r="B14" s="12">
        <v>8630.6299999999992</v>
      </c>
      <c r="C14" s="12">
        <f t="shared" si="0"/>
        <v>8.63063</v>
      </c>
      <c r="D14" s="12">
        <f t="shared" si="1"/>
        <v>0.608459415</v>
      </c>
      <c r="E14" s="12">
        <f t="shared" si="2"/>
        <v>2.7163366741071431E-2</v>
      </c>
      <c r="F14" s="12">
        <f>E14/Calculation!K$6*1000</f>
        <v>1.9883851958901022E-2</v>
      </c>
      <c r="G14" s="12">
        <f t="shared" si="3"/>
        <v>3.4569679675882568</v>
      </c>
      <c r="I14" s="89">
        <v>11.333333333333334</v>
      </c>
      <c r="J14" t="s">
        <v>178</v>
      </c>
    </row>
    <row r="15" spans="1:10">
      <c r="A15" s="12">
        <v>5</v>
      </c>
      <c r="B15" s="12">
        <v>8338</v>
      </c>
      <c r="C15" s="12">
        <f t="shared" si="0"/>
        <v>8.3379999999999992</v>
      </c>
      <c r="D15" s="12">
        <f t="shared" si="1"/>
        <v>0.58782900000000005</v>
      </c>
      <c r="E15" s="12">
        <f t="shared" si="2"/>
        <v>2.6242366071428574E-2</v>
      </c>
      <c r="F15" s="12">
        <f>E15/Calculation!K$7*1000</f>
        <v>1.9938413585319312E-2</v>
      </c>
      <c r="G15" s="12">
        <f t="shared" si="3"/>
        <v>4.0543019507515616</v>
      </c>
      <c r="I15" s="89">
        <v>12.666666666666666</v>
      </c>
      <c r="J15" t="s">
        <v>179</v>
      </c>
    </row>
    <row r="16" spans="1:10">
      <c r="A16" s="12">
        <v>5.5</v>
      </c>
      <c r="B16" s="12">
        <v>9995.58</v>
      </c>
      <c r="C16" s="12">
        <f t="shared" si="0"/>
        <v>9.9955800000000004</v>
      </c>
      <c r="D16" s="12">
        <f t="shared" si="1"/>
        <v>0.70468839000000005</v>
      </c>
      <c r="E16" s="12">
        <f t="shared" si="2"/>
        <v>3.1459303125000004E-2</v>
      </c>
      <c r="F16" s="12">
        <f>E16/Calculation!K$7*1000</f>
        <v>2.3902135771785321E-2</v>
      </c>
      <c r="G16" s="12">
        <f t="shared" si="3"/>
        <v>4.7119101911081316</v>
      </c>
      <c r="I16" s="89">
        <v>14.116666666666667</v>
      </c>
      <c r="J16" t="s">
        <v>180</v>
      </c>
    </row>
    <row r="17" spans="1:10">
      <c r="A17" s="12">
        <v>6</v>
      </c>
      <c r="B17" s="12">
        <v>12181.3</v>
      </c>
      <c r="C17" s="12">
        <f t="shared" si="0"/>
        <v>12.181299999999998</v>
      </c>
      <c r="D17" s="12">
        <f t="shared" si="1"/>
        <v>0.85878164999999995</v>
      </c>
      <c r="E17" s="12">
        <f t="shared" si="2"/>
        <v>3.8338466517857141E-2</v>
      </c>
      <c r="F17" s="12">
        <f>E17/Calculation!K$8*1000</f>
        <v>3.0469632337531784E-2</v>
      </c>
      <c r="G17" s="12">
        <f t="shared" si="3"/>
        <v>5.5274867127478879</v>
      </c>
      <c r="I17" s="89">
        <v>15.333333333333334</v>
      </c>
      <c r="J17" t="s">
        <v>181</v>
      </c>
    </row>
    <row r="18" spans="1:10">
      <c r="A18" s="12">
        <v>6.5</v>
      </c>
      <c r="B18" s="12">
        <v>15551.58</v>
      </c>
      <c r="C18" s="12">
        <f t="shared" si="0"/>
        <v>15.55158</v>
      </c>
      <c r="D18" s="12">
        <f t="shared" si="1"/>
        <v>1.0963863899999999</v>
      </c>
      <c r="E18" s="12">
        <f t="shared" si="2"/>
        <v>4.8945820982142854E-2</v>
      </c>
      <c r="F18" s="12">
        <f>E18/Calculation!K$8*1000</f>
        <v>3.8899864946082323E-2</v>
      </c>
      <c r="G18" s="12">
        <f t="shared" si="3"/>
        <v>6.5680291720020998</v>
      </c>
      <c r="I18" s="89">
        <v>16.666666666666668</v>
      </c>
      <c r="J18" t="s">
        <v>182</v>
      </c>
    </row>
    <row r="19" spans="1:10">
      <c r="A19" s="12">
        <v>7</v>
      </c>
      <c r="B19" s="12">
        <v>9621.77</v>
      </c>
      <c r="C19" s="12">
        <f t="shared" si="0"/>
        <v>9.6217699999999997</v>
      </c>
      <c r="D19" s="12">
        <f t="shared" si="1"/>
        <v>0.678334785</v>
      </c>
      <c r="E19" s="12">
        <f t="shared" si="2"/>
        <v>3.0282802901785717E-2</v>
      </c>
      <c r="F19" s="12">
        <f>E19/Calculation!K$8*1000</f>
        <v>2.4067365087165841E-2</v>
      </c>
      <c r="G19" s="12">
        <f t="shared" si="3"/>
        <v>7.5125376225008225</v>
      </c>
      <c r="I19" s="89">
        <v>18</v>
      </c>
      <c r="J19" t="s">
        <v>183</v>
      </c>
    </row>
    <row r="20" spans="1:10">
      <c r="A20" s="12">
        <v>7.5</v>
      </c>
      <c r="B20" s="12">
        <v>7119.37</v>
      </c>
      <c r="C20" s="12">
        <f t="shared" si="0"/>
        <v>7.11937</v>
      </c>
      <c r="D20" s="12">
        <f t="shared" si="1"/>
        <v>0.501915585</v>
      </c>
      <c r="E20" s="12">
        <f t="shared" si="2"/>
        <v>2.2406945758928574E-2</v>
      </c>
      <c r="F20" s="12">
        <f>E20/Calculation!K$9*1000</f>
        <v>1.8512105093071763E-2</v>
      </c>
      <c r="G20" s="12">
        <f t="shared" si="3"/>
        <v>8.1512296752043873</v>
      </c>
      <c r="I20" s="89">
        <v>24</v>
      </c>
      <c r="J20" t="s">
        <v>184</v>
      </c>
    </row>
    <row r="21" spans="1:10">
      <c r="A21" s="12">
        <v>8</v>
      </c>
      <c r="B21" s="12">
        <v>8007.29</v>
      </c>
      <c r="C21" s="12">
        <f t="shared" si="0"/>
        <v>8.0072899999999994</v>
      </c>
      <c r="D21" s="12">
        <f t="shared" si="1"/>
        <v>0.56451394499999985</v>
      </c>
      <c r="E21" s="12">
        <f t="shared" si="2"/>
        <v>2.520151540178571E-2</v>
      </c>
      <c r="F21" s="12">
        <f>E21/Calculation!K$9*1000</f>
        <v>2.0820914489723466E-2</v>
      </c>
      <c r="G21" s="12">
        <f t="shared" si="3"/>
        <v>8.741224968946316</v>
      </c>
      <c r="I21" s="89">
        <v>30</v>
      </c>
      <c r="J21" t="s">
        <v>185</v>
      </c>
    </row>
    <row r="22" spans="1:10">
      <c r="A22" s="12">
        <v>8.5</v>
      </c>
      <c r="B22" s="12">
        <v>9784.1200000000008</v>
      </c>
      <c r="C22" s="12">
        <f t="shared" si="0"/>
        <v>9.7841200000000015</v>
      </c>
      <c r="D22" s="12">
        <f t="shared" si="1"/>
        <v>0.68978046000000015</v>
      </c>
      <c r="E22" s="12">
        <f t="shared" si="2"/>
        <v>3.0793770535714294E-2</v>
      </c>
      <c r="F22" s="12">
        <f>E22/Calculation!K$9*1000</f>
        <v>2.5441107525416621E-2</v>
      </c>
      <c r="G22" s="12">
        <f t="shared" si="3"/>
        <v>9.4351552991734167</v>
      </c>
      <c r="I22" s="89">
        <v>48</v>
      </c>
      <c r="J22" t="s">
        <v>186</v>
      </c>
    </row>
    <row r="23" spans="1:10">
      <c r="A23" s="12">
        <v>9</v>
      </c>
      <c r="B23" s="12">
        <v>12484.96</v>
      </c>
      <c r="C23" s="12">
        <f t="shared" si="0"/>
        <v>12.484959999999999</v>
      </c>
      <c r="D23" s="12">
        <f t="shared" si="1"/>
        <v>0.88018967999999997</v>
      </c>
      <c r="E23" s="12">
        <f t="shared" si="2"/>
        <v>3.9294182142857147E-2</v>
      </c>
      <c r="F23" s="12">
        <f>E23/Calculation!K$10*1000</f>
        <v>3.3944666647738403E-2</v>
      </c>
      <c r="G23" s="12">
        <f t="shared" si="3"/>
        <v>10.325941911770743</v>
      </c>
      <c r="I23" s="89"/>
    </row>
    <row r="24" spans="1:10">
      <c r="A24" s="12">
        <v>9.5</v>
      </c>
      <c r="B24" s="12">
        <v>16389.39</v>
      </c>
      <c r="C24" s="12">
        <f t="shared" si="0"/>
        <v>16.389389999999999</v>
      </c>
      <c r="D24" s="12">
        <f t="shared" si="1"/>
        <v>1.155451995</v>
      </c>
      <c r="E24" s="12">
        <f t="shared" si="2"/>
        <v>5.1582678348214284E-2</v>
      </c>
      <c r="F24" s="12">
        <f>E24/Calculation!K$10*1000</f>
        <v>4.4560205247736247E-2</v>
      </c>
      <c r="G24" s="12">
        <f t="shared" si="3"/>
        <v>11.503514990202863</v>
      </c>
    </row>
    <row r="25" spans="1:10">
      <c r="A25" s="12">
        <v>10</v>
      </c>
      <c r="B25" s="12">
        <v>20934.2</v>
      </c>
      <c r="C25" s="12">
        <f t="shared" si="0"/>
        <v>20.934200000000001</v>
      </c>
      <c r="D25" s="12">
        <f t="shared" si="1"/>
        <v>1.4758610999999999</v>
      </c>
      <c r="E25" s="12">
        <f t="shared" si="2"/>
        <v>6.5886656249999995E-2</v>
      </c>
      <c r="F25" s="12">
        <f>E25/Calculation!K$11*1000</f>
        <v>5.9636938927160106E-2</v>
      </c>
      <c r="G25" s="12">
        <f t="shared" si="3"/>
        <v>13.066472152826307</v>
      </c>
    </row>
    <row r="26" spans="1:10">
      <c r="A26" s="12">
        <v>10.5</v>
      </c>
      <c r="B26" s="12">
        <v>28530.6</v>
      </c>
      <c r="C26" s="12">
        <f t="shared" si="0"/>
        <v>28.5306</v>
      </c>
      <c r="D26" s="12">
        <f t="shared" si="1"/>
        <v>2.0114073000000001</v>
      </c>
      <c r="E26" s="12">
        <f t="shared" si="2"/>
        <v>8.9794968750000009E-2</v>
      </c>
      <c r="F26" s="12">
        <f>E26/Calculation!K$11*1000</f>
        <v>8.12774144584094E-2</v>
      </c>
      <c r="G26" s="12">
        <f t="shared" si="3"/>
        <v>15.18018745360985</v>
      </c>
    </row>
    <row r="27" spans="1:10">
      <c r="A27" s="12">
        <v>11</v>
      </c>
      <c r="B27" s="12">
        <v>38235.550000000003</v>
      </c>
      <c r="C27" s="12">
        <f t="shared" si="0"/>
        <v>38.235550000000003</v>
      </c>
      <c r="D27" s="12">
        <f t="shared" si="1"/>
        <v>2.6956062749999998</v>
      </c>
      <c r="E27" s="12">
        <f t="shared" si="2"/>
        <v>0.12033956584821429</v>
      </c>
      <c r="F27" s="12">
        <f>E27/Calculation!K$11*1000</f>
        <v>0.10892468593002726</v>
      </c>
      <c r="G27" s="12">
        <f t="shared" si="3"/>
        <v>18.0332189594364</v>
      </c>
    </row>
    <row r="28" spans="1:10">
      <c r="A28" s="12">
        <v>11.5</v>
      </c>
      <c r="B28" s="12">
        <v>51354.879999999997</v>
      </c>
      <c r="C28" s="12">
        <f t="shared" si="0"/>
        <v>51.354879999999994</v>
      </c>
      <c r="D28" s="12">
        <f t="shared" si="1"/>
        <v>3.6205190399999996</v>
      </c>
      <c r="E28" s="12">
        <f t="shared" si="2"/>
        <v>0.16163031428571428</v>
      </c>
      <c r="F28" s="12">
        <f>E28/Calculation!K$12*1000</f>
        <v>0.15274909754920957</v>
      </c>
      <c r="G28" s="12">
        <f t="shared" si="3"/>
        <v>21.958325711624951</v>
      </c>
    </row>
    <row r="29" spans="1:10">
      <c r="A29" s="12">
        <v>12</v>
      </c>
      <c r="B29" s="12">
        <v>66938.52</v>
      </c>
      <c r="C29" s="12">
        <f t="shared" si="0"/>
        <v>66.938520000000011</v>
      </c>
      <c r="D29" s="12">
        <f t="shared" si="1"/>
        <v>4.7191656600000007</v>
      </c>
      <c r="E29" s="12">
        <f t="shared" si="2"/>
        <v>0.21067703839285717</v>
      </c>
      <c r="F29" s="12">
        <f>E29/Calculation!K$12*1000</f>
        <v>0.19910081614989106</v>
      </c>
      <c r="G29" s="12">
        <f t="shared" si="3"/>
        <v>27.23607441711146</v>
      </c>
    </row>
    <row r="30" spans="1:10">
      <c r="A30" s="12">
        <v>12.5</v>
      </c>
      <c r="B30" s="12">
        <v>78365.2</v>
      </c>
      <c r="C30" s="12">
        <f t="shared" si="0"/>
        <v>78.365200000000002</v>
      </c>
      <c r="D30" s="12">
        <f t="shared" si="1"/>
        <v>5.5247465999999994</v>
      </c>
      <c r="E30" s="12">
        <f t="shared" si="2"/>
        <v>0.2466404732142857</v>
      </c>
      <c r="F30" s="12">
        <f>E30/Calculation!K$12*1000</f>
        <v>0.23308814233940994</v>
      </c>
      <c r="G30" s="12">
        <f t="shared" si="3"/>
        <v>33.718908794450975</v>
      </c>
    </row>
    <row r="31" spans="1:10">
      <c r="A31" s="12">
        <v>13</v>
      </c>
      <c r="B31" s="12">
        <v>89191.57</v>
      </c>
      <c r="C31" s="12">
        <f t="shared" si="0"/>
        <v>89.191570000000013</v>
      </c>
      <c r="D31" s="12">
        <f t="shared" si="1"/>
        <v>6.2880056850000008</v>
      </c>
      <c r="E31" s="12">
        <f t="shared" si="2"/>
        <v>0.28071453950892861</v>
      </c>
      <c r="F31" s="12">
        <f>E31/Calculation!K$13*1000</f>
        <v>0.27745442973277468</v>
      </c>
      <c r="G31" s="12">
        <f t="shared" si="3"/>
        <v>41.377047375533742</v>
      </c>
    </row>
    <row r="32" spans="1:10">
      <c r="A32" s="12">
        <v>13.5</v>
      </c>
      <c r="B32" s="12">
        <v>96633.64</v>
      </c>
      <c r="C32" s="12">
        <f t="shared" si="0"/>
        <v>96.63364</v>
      </c>
      <c r="D32" s="12">
        <f t="shared" si="1"/>
        <v>6.8126716199999997</v>
      </c>
      <c r="E32" s="12">
        <f t="shared" si="2"/>
        <v>0.30413712589285713</v>
      </c>
      <c r="F32" s="12">
        <f>E32/Calculation!K$13*1000</f>
        <v>0.30060499528377221</v>
      </c>
      <c r="G32" s="12">
        <f t="shared" si="3"/>
        <v>50.047938750781945</v>
      </c>
    </row>
    <row r="33" spans="1:7">
      <c r="A33" s="12">
        <v>14</v>
      </c>
      <c r="B33" s="12">
        <v>97654.84</v>
      </c>
      <c r="C33" s="12">
        <f t="shared" si="0"/>
        <v>97.654839999999993</v>
      </c>
      <c r="D33" s="12">
        <f t="shared" si="1"/>
        <v>6.8846662199999997</v>
      </c>
      <c r="E33" s="12">
        <f t="shared" si="2"/>
        <v>0.30735117053571431</v>
      </c>
      <c r="F33" s="12">
        <f>E33/Calculation!K$13*1000</f>
        <v>0.30378171325883546</v>
      </c>
      <c r="G33" s="12">
        <f t="shared" si="3"/>
        <v>59.113739378921061</v>
      </c>
    </row>
    <row r="34" spans="1:7">
      <c r="A34" s="12">
        <v>14.5</v>
      </c>
      <c r="B34" s="12">
        <v>97598.720000000001</v>
      </c>
      <c r="C34" s="12">
        <f t="shared" si="0"/>
        <v>97.59872</v>
      </c>
      <c r="D34" s="12">
        <f t="shared" si="1"/>
        <v>6.8807097600000002</v>
      </c>
      <c r="E34" s="12">
        <f t="shared" si="2"/>
        <v>0.30717454285714291</v>
      </c>
      <c r="F34" s="12">
        <f>E34/Calculation!K$14*1000</f>
        <v>0.3174634463574495</v>
      </c>
      <c r="G34" s="12">
        <f t="shared" si="3"/>
        <v>68.432416773165329</v>
      </c>
    </row>
    <row r="35" spans="1:7">
      <c r="A35" s="12">
        <v>15</v>
      </c>
      <c r="B35" s="12">
        <v>108475.2</v>
      </c>
      <c r="C35" s="12">
        <f t="shared" si="0"/>
        <v>108.4752</v>
      </c>
      <c r="D35" s="12">
        <f t="shared" si="1"/>
        <v>7.6475016000000009</v>
      </c>
      <c r="E35" s="12">
        <f t="shared" si="2"/>
        <v>0.34140632142857147</v>
      </c>
      <c r="F35" s="12">
        <f>E35/Calculation!K$14*1000</f>
        <v>0.3528418286255558</v>
      </c>
      <c r="G35" s="12">
        <f t="shared" si="3"/>
        <v>78.486995897910404</v>
      </c>
    </row>
    <row r="36" spans="1:7">
      <c r="A36" s="12">
        <v>15.5</v>
      </c>
      <c r="B36" s="12">
        <v>120039.17</v>
      </c>
      <c r="C36" s="12">
        <f t="shared" si="0"/>
        <v>120.03917</v>
      </c>
      <c r="D36" s="12">
        <f t="shared" si="1"/>
        <v>8.4627614849999997</v>
      </c>
      <c r="E36" s="12">
        <f t="shared" si="2"/>
        <v>0.37780185200892857</v>
      </c>
      <c r="F36" s="12">
        <f>E36/Calculation!K$15*1000</f>
        <v>0.40901033465480197</v>
      </c>
      <c r="G36" s="12">
        <f t="shared" si="3"/>
        <v>89.914778347115771</v>
      </c>
    </row>
    <row r="37" spans="1:7">
      <c r="A37" s="12">
        <v>16</v>
      </c>
      <c r="B37" s="12">
        <v>124710.26</v>
      </c>
      <c r="C37" s="12">
        <f t="shared" si="0"/>
        <v>124.71025999999999</v>
      </c>
      <c r="D37" s="12">
        <f t="shared" si="1"/>
        <v>8.7920733299999991</v>
      </c>
      <c r="E37" s="12">
        <f t="shared" si="2"/>
        <v>0.39250327366071425</v>
      </c>
      <c r="F37" s="12">
        <f>E37/Calculation!K$15*1000</f>
        <v>0.42492617349393003</v>
      </c>
      <c r="G37" s="12">
        <f t="shared" si="3"/>
        <v>102.42382596934675</v>
      </c>
    </row>
    <row r="38" spans="1:7">
      <c r="A38" s="12">
        <v>16.5</v>
      </c>
      <c r="B38" s="12">
        <v>127592.48</v>
      </c>
      <c r="C38" s="12">
        <f t="shared" si="0"/>
        <v>127.59247999999999</v>
      </c>
      <c r="D38" s="12">
        <f t="shared" si="1"/>
        <v>8.9952698400000006</v>
      </c>
      <c r="E38" s="12">
        <f t="shared" si="2"/>
        <v>0.40157454642857149</v>
      </c>
      <c r="F38" s="12">
        <f>E38/Calculation!K$15*1000</f>
        <v>0.43474678260634536</v>
      </c>
      <c r="G38" s="12">
        <f t="shared" si="3"/>
        <v>115.31892031085088</v>
      </c>
    </row>
    <row r="39" spans="1:7">
      <c r="A39" s="12">
        <v>17</v>
      </c>
      <c r="B39" s="12">
        <v>151658.44</v>
      </c>
      <c r="C39" s="12">
        <f t="shared" si="0"/>
        <v>151.65844000000001</v>
      </c>
      <c r="D39" s="12">
        <f t="shared" si="1"/>
        <v>10.69192002</v>
      </c>
      <c r="E39" s="12">
        <f t="shared" si="2"/>
        <v>0.4773178580357143</v>
      </c>
      <c r="F39" s="12">
        <f>E39/Calculation!K$16*1000</f>
        <v>0.54466376952686146</v>
      </c>
      <c r="G39" s="12">
        <f t="shared" si="3"/>
        <v>130.010078592849</v>
      </c>
    </row>
    <row r="40" spans="1:7">
      <c r="A40" s="12">
        <v>17.5</v>
      </c>
      <c r="B40" s="12">
        <v>133387.99</v>
      </c>
      <c r="C40" s="12">
        <f t="shared" si="0"/>
        <v>133.38799</v>
      </c>
      <c r="D40" s="12">
        <f t="shared" si="1"/>
        <v>9.4038532950000011</v>
      </c>
      <c r="E40" s="12">
        <f t="shared" si="2"/>
        <v>0.41981487924107153</v>
      </c>
      <c r="F40" s="12">
        <f>E40/Calculation!K$16*1000</f>
        <v>0.47904755873139215</v>
      </c>
      <c r="G40" s="12">
        <f t="shared" si="3"/>
        <v>145.36574851672279</v>
      </c>
    </row>
    <row r="41" spans="1:7">
      <c r="A41" s="12">
        <v>18</v>
      </c>
      <c r="B41" s="12">
        <v>176970.09</v>
      </c>
      <c r="C41" s="12">
        <f t="shared" si="0"/>
        <v>176.97009</v>
      </c>
      <c r="D41" s="12">
        <f t="shared" si="1"/>
        <v>12.476391345</v>
      </c>
      <c r="E41" s="12">
        <f t="shared" si="2"/>
        <v>0.55698175647321435</v>
      </c>
      <c r="F41" s="12">
        <f>E41/Calculation!K$17*1000</f>
        <v>0.67381939272783953</v>
      </c>
      <c r="G41" s="12">
        <f t="shared" si="3"/>
        <v>162.65875278861125</v>
      </c>
    </row>
    <row r="42" spans="1:7">
      <c r="A42" s="12">
        <v>18.5</v>
      </c>
      <c r="B42" s="12">
        <v>130868.55</v>
      </c>
      <c r="C42" s="12">
        <f t="shared" si="0"/>
        <v>130.86855</v>
      </c>
      <c r="D42" s="12">
        <f t="shared" si="1"/>
        <v>9.2262327749999997</v>
      </c>
      <c r="E42" s="12">
        <f t="shared" si="2"/>
        <v>0.41188539174107142</v>
      </c>
      <c r="F42" s="12">
        <f>E42/Calculation!K$17*1000</f>
        <v>0.4982862747494386</v>
      </c>
      <c r="G42" s="12">
        <f t="shared" si="3"/>
        <v>180.24033780077042</v>
      </c>
    </row>
    <row r="43" spans="1:7">
      <c r="A43" s="12">
        <v>19</v>
      </c>
      <c r="B43" s="12">
        <v>130965.75999999999</v>
      </c>
      <c r="C43" s="12">
        <f t="shared" si="0"/>
        <v>130.96575999999999</v>
      </c>
      <c r="D43" s="12">
        <f t="shared" si="1"/>
        <v>9.2330860799999996</v>
      </c>
      <c r="E43" s="12">
        <f t="shared" si="2"/>
        <v>0.41219134285714287</v>
      </c>
      <c r="F43" s="12">
        <f>E43/Calculation!K$17*1000</f>
        <v>0.4986564049966859</v>
      </c>
      <c r="G43" s="12">
        <f t="shared" si="3"/>
        <v>195.19447799696229</v>
      </c>
    </row>
    <row r="44" spans="1:7">
      <c r="A44" s="12">
        <v>19.5</v>
      </c>
      <c r="B44" s="12">
        <v>128188.77</v>
      </c>
      <c r="C44" s="12">
        <f t="shared" si="0"/>
        <v>128.18877000000001</v>
      </c>
      <c r="D44" s="12">
        <f t="shared" si="1"/>
        <v>9.0373082849999999</v>
      </c>
      <c r="E44" s="12">
        <f t="shared" si="2"/>
        <v>0.4034512627232143</v>
      </c>
      <c r="F44" s="12">
        <f>E44/Calculation!K$17*1000</f>
        <v>0.48808292495036126</v>
      </c>
      <c r="G44" s="12">
        <f t="shared" si="3"/>
        <v>209.99556794616799</v>
      </c>
    </row>
    <row r="45" spans="1:7">
      <c r="A45" s="12">
        <v>20</v>
      </c>
      <c r="B45" s="12">
        <v>124346.47</v>
      </c>
      <c r="C45" s="12">
        <f t="shared" si="0"/>
        <v>124.34647</v>
      </c>
      <c r="D45" s="12">
        <f t="shared" si="1"/>
        <v>8.7664261349999997</v>
      </c>
      <c r="E45" s="12">
        <f t="shared" si="2"/>
        <v>0.39135830959821427</v>
      </c>
      <c r="F45" s="12">
        <f>E45/Calculation!K$17*1000</f>
        <v>0.4734532423148482</v>
      </c>
      <c r="G45" s="12">
        <f t="shared" si="3"/>
        <v>224.41861045514614</v>
      </c>
    </row>
    <row r="46" spans="1:7">
      <c r="A46" s="12">
        <v>20.5</v>
      </c>
      <c r="B46" s="12">
        <v>120791.8</v>
      </c>
      <c r="C46" s="12">
        <f t="shared" si="0"/>
        <v>120.79180000000001</v>
      </c>
      <c r="D46" s="12">
        <f t="shared" si="1"/>
        <v>8.5158219000000006</v>
      </c>
      <c r="E46" s="12">
        <f t="shared" si="2"/>
        <v>0.38017062053571432</v>
      </c>
      <c r="F46" s="12">
        <f>E46/Calculation!K$17*1000</f>
        <v>0.45991872029054531</v>
      </c>
      <c r="G46" s="12">
        <f t="shared" si="3"/>
        <v>238.41918989422703</v>
      </c>
    </row>
    <row r="47" spans="1:7">
      <c r="A47" s="12">
        <v>21</v>
      </c>
      <c r="B47" s="12">
        <v>151088.21</v>
      </c>
      <c r="C47" s="12">
        <f t="shared" si="0"/>
        <v>151.08821</v>
      </c>
      <c r="D47" s="12">
        <f t="shared" si="1"/>
        <v>10.651718805</v>
      </c>
      <c r="E47" s="12">
        <f t="shared" si="2"/>
        <v>0.47552316093750002</v>
      </c>
      <c r="F47" s="12">
        <f>E47/Calculation!K$17*1000</f>
        <v>0.57527329002622007</v>
      </c>
      <c r="G47" s="12">
        <f t="shared" si="3"/>
        <v>253.9470700489785</v>
      </c>
    </row>
    <row r="48" spans="1:7">
      <c r="A48" s="12">
        <v>21.5</v>
      </c>
      <c r="B48" s="12">
        <v>28509.55</v>
      </c>
      <c r="C48" s="12">
        <f t="shared" si="0"/>
        <v>28.509550000000001</v>
      </c>
      <c r="D48" s="12">
        <f t="shared" si="1"/>
        <v>2.0099232750000002</v>
      </c>
      <c r="E48" s="12">
        <f t="shared" si="2"/>
        <v>8.972871763392859E-2</v>
      </c>
      <c r="F48" s="12">
        <f>E48/Calculation!K$17*1000</f>
        <v>0.10855104197519466</v>
      </c>
      <c r="G48" s="12">
        <f t="shared" si="3"/>
        <v>264.20443502899974</v>
      </c>
    </row>
    <row r="49" spans="1:7">
      <c r="A49" s="12">
        <v>22</v>
      </c>
      <c r="B49" s="12">
        <v>7781.8</v>
      </c>
      <c r="C49" s="12">
        <f t="shared" si="0"/>
        <v>7.7818000000000005</v>
      </c>
      <c r="D49" s="12">
        <f t="shared" si="1"/>
        <v>0.54861689999999996</v>
      </c>
      <c r="E49" s="12">
        <f t="shared" si="2"/>
        <v>2.4491825892857144E-2</v>
      </c>
      <c r="F49" s="12">
        <f>E49/Calculation!K$17*1000</f>
        <v>2.9629457442947E-2</v>
      </c>
      <c r="G49" s="12">
        <f t="shared" si="3"/>
        <v>266.27714252027187</v>
      </c>
    </row>
    <row r="50" spans="1:7">
      <c r="A50" s="12">
        <v>22.5</v>
      </c>
      <c r="B50" s="12">
        <v>2356.09</v>
      </c>
      <c r="C50" s="12">
        <f t="shared" si="0"/>
        <v>2.35609</v>
      </c>
      <c r="D50" s="12">
        <f t="shared" si="1"/>
        <v>0.16610434499999999</v>
      </c>
      <c r="E50" s="12">
        <f t="shared" si="2"/>
        <v>7.4153725446428568E-3</v>
      </c>
      <c r="F50" s="12">
        <f>E50/Calculation!K$17*1000</f>
        <v>8.9708895611237752E-3</v>
      </c>
      <c r="G50" s="12">
        <f t="shared" si="3"/>
        <v>266.8561477253329</v>
      </c>
    </row>
    <row r="51" spans="1:7">
      <c r="A51" s="12">
        <v>23</v>
      </c>
      <c r="B51" s="12">
        <v>901.95</v>
      </c>
      <c r="C51" s="12">
        <f t="shared" si="0"/>
        <v>0.90195000000000003</v>
      </c>
      <c r="D51" s="12">
        <f t="shared" si="1"/>
        <v>6.3587475000000004E-2</v>
      </c>
      <c r="E51" s="12">
        <f t="shared" si="2"/>
        <v>2.8387265625000003E-3</v>
      </c>
      <c r="F51" s="12">
        <f>E51/Calculation!K$17*1000</f>
        <v>3.4342040582726425E-3</v>
      </c>
      <c r="G51" s="12">
        <f t="shared" si="3"/>
        <v>267.04222412962383</v>
      </c>
    </row>
    <row r="52" spans="1:7">
      <c r="A52" s="12">
        <v>23.5</v>
      </c>
      <c r="B52" s="12">
        <v>400.87</v>
      </c>
      <c r="C52" s="12">
        <f t="shared" si="0"/>
        <v>0.40087</v>
      </c>
      <c r="D52" s="12">
        <f t="shared" si="1"/>
        <v>2.8261334999999999E-2</v>
      </c>
      <c r="E52" s="12">
        <f t="shared" si="2"/>
        <v>1.2616667410714287E-3</v>
      </c>
      <c r="F52" s="12">
        <f>E52/Calculation!K$17*1000</f>
        <v>1.5263256065632842E-3</v>
      </c>
      <c r="G52" s="12">
        <f t="shared" si="3"/>
        <v>267.1166320745964</v>
      </c>
    </row>
    <row r="53" spans="1:7">
      <c r="A53" s="12">
        <v>24</v>
      </c>
      <c r="B53" s="12">
        <v>238.51</v>
      </c>
      <c r="C53" s="12">
        <f t="shared" si="0"/>
        <v>0.23851</v>
      </c>
      <c r="D53" s="12">
        <f t="shared" si="1"/>
        <v>1.6814954999999999E-2</v>
      </c>
      <c r="E53" s="12">
        <f t="shared" si="2"/>
        <v>7.5066763392857142E-4</v>
      </c>
      <c r="F53" s="12">
        <f>E53/Calculation!K$18*1000</f>
        <v>9.7323781835165441E-4</v>
      </c>
      <c r="G53" s="12">
        <f t="shared" si="3"/>
        <v>267.15412552597013</v>
      </c>
    </row>
    <row r="54" spans="1:7">
      <c r="A54" s="12">
        <v>24.5</v>
      </c>
      <c r="B54" s="12">
        <v>154.33000000000001</v>
      </c>
      <c r="C54" s="12">
        <f t="shared" si="0"/>
        <v>0.15433000000000002</v>
      </c>
      <c r="D54" s="12">
        <f t="shared" si="1"/>
        <v>1.0880265000000002E-2</v>
      </c>
      <c r="E54" s="12">
        <f t="shared" si="2"/>
        <v>4.8572611607142869E-4</v>
      </c>
      <c r="F54" s="12">
        <f>E54/Calculation!K$18*1000</f>
        <v>6.2974211775695304E-4</v>
      </c>
      <c r="G54" s="12">
        <f t="shared" si="3"/>
        <v>267.17817022501174</v>
      </c>
    </row>
    <row r="55" spans="1:7">
      <c r="A55" s="12">
        <v>25</v>
      </c>
      <c r="B55" s="12">
        <v>126.27</v>
      </c>
      <c r="C55" s="12">
        <f t="shared" si="0"/>
        <v>0.12626999999999999</v>
      </c>
      <c r="D55" s="12">
        <f t="shared" si="1"/>
        <v>8.9020349999999991E-3</v>
      </c>
      <c r="E55" s="12">
        <f t="shared" si="2"/>
        <v>3.9741227678571428E-4</v>
      </c>
      <c r="F55" s="12">
        <f>E55/Calculation!K$18*1000</f>
        <v>5.1524355089205243E-4</v>
      </c>
      <c r="G55" s="12">
        <f t="shared" si="3"/>
        <v>267.19534501004148</v>
      </c>
    </row>
    <row r="56" spans="1:7">
      <c r="A56" s="12">
        <v>25.5</v>
      </c>
      <c r="B56" s="12">
        <v>46.1</v>
      </c>
      <c r="C56" s="12">
        <f t="shared" si="0"/>
        <v>4.6100000000000002E-2</v>
      </c>
      <c r="D56" s="12">
        <f t="shared" si="1"/>
        <v>3.25005E-3</v>
      </c>
      <c r="E56" s="12">
        <f t="shared" si="2"/>
        <v>1.4509151785714285E-4</v>
      </c>
      <c r="F56" s="12">
        <f>E56/Calculation!K$18*1000</f>
        <v>1.8811061769322574E-4</v>
      </c>
      <c r="G56" s="12">
        <f t="shared" si="3"/>
        <v>267.20589532257026</v>
      </c>
    </row>
    <row r="57" spans="1:7">
      <c r="A57" s="12">
        <v>26</v>
      </c>
      <c r="B57" s="12">
        <v>71.150000000000006</v>
      </c>
      <c r="C57" s="12">
        <f t="shared" si="0"/>
        <v>7.1150000000000005E-2</v>
      </c>
      <c r="D57" s="12">
        <f t="shared" si="1"/>
        <v>5.0160750000000009E-3</v>
      </c>
      <c r="E57" s="12">
        <f t="shared" si="2"/>
        <v>2.239319196428572E-4</v>
      </c>
      <c r="F57" s="12">
        <f>E57/Calculation!K$18*1000</f>
        <v>2.903269077846641E-4</v>
      </c>
      <c r="G57" s="12">
        <f t="shared" si="3"/>
        <v>267.21307188545245</v>
      </c>
    </row>
    <row r="58" spans="1:7">
      <c r="A58" s="12">
        <v>26.5</v>
      </c>
      <c r="B58" s="12">
        <v>20.04</v>
      </c>
      <c r="C58" s="12">
        <f t="shared" si="0"/>
        <v>2.0039999999999999E-2</v>
      </c>
      <c r="D58" s="12">
        <f t="shared" si="1"/>
        <v>1.4128199999999997E-3</v>
      </c>
      <c r="E58" s="12">
        <f t="shared" si="2"/>
        <v>6.3072321428571417E-5</v>
      </c>
      <c r="F58" s="12">
        <f>E58/Calculation!K$18*1000</f>
        <v>8.1773032073150604E-5</v>
      </c>
      <c r="G58" s="12">
        <f t="shared" si="3"/>
        <v>267.21865338455029</v>
      </c>
    </row>
    <row r="59" spans="1:7">
      <c r="A59" s="12">
        <v>27</v>
      </c>
      <c r="B59" s="12">
        <v>0</v>
      </c>
      <c r="C59" s="12">
        <f t="shared" si="0"/>
        <v>0</v>
      </c>
      <c r="D59" s="12">
        <f t="shared" si="1"/>
        <v>0</v>
      </c>
      <c r="E59" s="12">
        <f t="shared" si="2"/>
        <v>0</v>
      </c>
      <c r="F59" s="12">
        <f>E59/Calculation!K$18*1000</f>
        <v>0</v>
      </c>
      <c r="G59" s="12">
        <f t="shared" si="3"/>
        <v>267.21987998003141</v>
      </c>
    </row>
    <row r="60" spans="1:7">
      <c r="A60" s="12">
        <v>27.5</v>
      </c>
      <c r="B60" s="12">
        <v>0</v>
      </c>
      <c r="C60" s="12">
        <f t="shared" si="0"/>
        <v>0</v>
      </c>
      <c r="D60" s="12">
        <f t="shared" si="1"/>
        <v>0</v>
      </c>
      <c r="E60" s="12">
        <f t="shared" si="2"/>
        <v>0</v>
      </c>
      <c r="F60" s="12">
        <f>E60/Calculation!K$18*1000</f>
        <v>0</v>
      </c>
      <c r="G60" s="12">
        <f t="shared" si="3"/>
        <v>267.21987998003141</v>
      </c>
    </row>
    <row r="61" spans="1:7">
      <c r="A61" s="12">
        <v>28</v>
      </c>
      <c r="B61" s="12">
        <v>37.08</v>
      </c>
      <c r="C61" s="12">
        <f t="shared" si="0"/>
        <v>3.7079999999999995E-2</v>
      </c>
      <c r="D61" s="12">
        <f t="shared" si="1"/>
        <v>2.6141399999999996E-3</v>
      </c>
      <c r="E61" s="12">
        <f t="shared" si="2"/>
        <v>1.1670267857142856E-4</v>
      </c>
      <c r="F61" s="12">
        <f>E61/Calculation!K$18*1000</f>
        <v>1.5130459227906312E-4</v>
      </c>
      <c r="G61" s="12">
        <f t="shared" si="3"/>
        <v>267.22214954891558</v>
      </c>
    </row>
    <row r="62" spans="1:7">
      <c r="A62" s="12">
        <v>28.5</v>
      </c>
      <c r="B62" s="12">
        <v>39.08</v>
      </c>
      <c r="C62" s="12">
        <f t="shared" si="0"/>
        <v>3.9079999999999997E-2</v>
      </c>
      <c r="D62" s="12">
        <f t="shared" si="1"/>
        <v>2.7551400000000001E-3</v>
      </c>
      <c r="E62" s="12">
        <f t="shared" si="2"/>
        <v>1.2299732142857144E-4</v>
      </c>
      <c r="F62" s="12">
        <f>E62/Calculation!K$18*1000</f>
        <v>1.5946557352388856E-4</v>
      </c>
      <c r="G62" s="12">
        <f t="shared" si="3"/>
        <v>267.22681110140263</v>
      </c>
    </row>
    <row r="63" spans="1:7">
      <c r="A63" s="12">
        <v>29</v>
      </c>
      <c r="B63" s="12">
        <v>0</v>
      </c>
      <c r="C63" s="12">
        <f t="shared" si="0"/>
        <v>0</v>
      </c>
      <c r="D63" s="12">
        <f t="shared" si="1"/>
        <v>0</v>
      </c>
      <c r="E63" s="12">
        <f t="shared" si="2"/>
        <v>0</v>
      </c>
      <c r="F63" s="12">
        <f>E63/Calculation!K$18*1000</f>
        <v>0</v>
      </c>
      <c r="G63" s="12">
        <f t="shared" si="3"/>
        <v>267.22920308500551</v>
      </c>
    </row>
    <row r="64" spans="1:7">
      <c r="A64" s="12">
        <v>29.5</v>
      </c>
      <c r="B64" s="12">
        <v>34.07</v>
      </c>
      <c r="C64" s="12">
        <f t="shared" si="0"/>
        <v>3.4070000000000003E-2</v>
      </c>
      <c r="D64" s="12">
        <f t="shared" si="1"/>
        <v>2.4019350000000004E-3</v>
      </c>
      <c r="E64" s="12">
        <f t="shared" si="2"/>
        <v>1.0722924107142859E-4</v>
      </c>
      <c r="F64" s="12">
        <f>E64/Calculation!K$18*1000</f>
        <v>1.390223155056009E-4</v>
      </c>
      <c r="G64" s="12">
        <f t="shared" si="3"/>
        <v>267.23128841973812</v>
      </c>
    </row>
    <row r="65" spans="1:7">
      <c r="A65" s="12">
        <v>30</v>
      </c>
      <c r="B65" s="12">
        <v>2</v>
      </c>
      <c r="C65" s="12">
        <f t="shared" si="0"/>
        <v>2E-3</v>
      </c>
      <c r="D65" s="12">
        <f t="shared" si="1"/>
        <v>1.4099999999999998E-4</v>
      </c>
      <c r="E65" s="12">
        <f t="shared" si="2"/>
        <v>6.294642857142857E-6</v>
      </c>
      <c r="F65" s="12">
        <f>E65/Calculation!K$19*1000</f>
        <v>8.6763009368311386E-6</v>
      </c>
      <c r="G65" s="12">
        <f t="shared" si="3"/>
        <v>267.23350389898474</v>
      </c>
    </row>
    <row r="66" spans="1:7">
      <c r="A66" s="12">
        <v>30.5</v>
      </c>
      <c r="B66" s="12">
        <v>45.1</v>
      </c>
      <c r="C66" s="12">
        <f t="shared" si="0"/>
        <v>4.5100000000000001E-2</v>
      </c>
      <c r="D66" s="12">
        <f t="shared" si="1"/>
        <v>3.1795499999999997E-3</v>
      </c>
      <c r="E66" s="12">
        <f t="shared" si="2"/>
        <v>1.4194419642857143E-4</v>
      </c>
      <c r="F66" s="12">
        <f>E66/Calculation!K$19*1000</f>
        <v>1.9565058612554221E-4</v>
      </c>
      <c r="G66" s="12">
        <f t="shared" si="3"/>
        <v>267.23656880229066</v>
      </c>
    </row>
    <row r="67" spans="1:7">
      <c r="A67" s="12">
        <v>31</v>
      </c>
      <c r="B67" s="12">
        <v>0</v>
      </c>
      <c r="C67" s="12">
        <f t="shared" si="0"/>
        <v>0</v>
      </c>
      <c r="D67" s="12">
        <f t="shared" si="1"/>
        <v>0</v>
      </c>
      <c r="E67" s="12">
        <f t="shared" si="2"/>
        <v>0</v>
      </c>
      <c r="F67" s="12">
        <f>E67/Calculation!K$19*1000</f>
        <v>0</v>
      </c>
      <c r="G67" s="12">
        <f t="shared" si="3"/>
        <v>267.23950356108253</v>
      </c>
    </row>
    <row r="68" spans="1:7">
      <c r="A68" s="12">
        <v>31.5</v>
      </c>
      <c r="B68" s="12">
        <v>0</v>
      </c>
      <c r="C68" s="12">
        <f t="shared" si="0"/>
        <v>0</v>
      </c>
      <c r="D68" s="12">
        <f t="shared" si="1"/>
        <v>0</v>
      </c>
      <c r="E68" s="12">
        <f t="shared" si="2"/>
        <v>0</v>
      </c>
      <c r="F68" s="12">
        <f>E68/Calculation!K$19*1000</f>
        <v>0</v>
      </c>
      <c r="G68" s="12">
        <f t="shared" si="3"/>
        <v>267.23950356108253</v>
      </c>
    </row>
    <row r="69" spans="1:7">
      <c r="A69" s="12">
        <v>32</v>
      </c>
      <c r="B69" s="12">
        <v>0</v>
      </c>
      <c r="C69" s="12">
        <f t="shared" si="0"/>
        <v>0</v>
      </c>
      <c r="D69" s="12">
        <f t="shared" si="1"/>
        <v>0</v>
      </c>
      <c r="E69" s="12">
        <f t="shared" si="2"/>
        <v>0</v>
      </c>
      <c r="F69" s="12">
        <f>E69/Calculation!K$19*1000</f>
        <v>0</v>
      </c>
      <c r="G69" s="12">
        <f t="shared" si="3"/>
        <v>267.23950356108253</v>
      </c>
    </row>
    <row r="70" spans="1:7">
      <c r="A70" s="12">
        <v>32.5</v>
      </c>
      <c r="B70" s="12">
        <v>0</v>
      </c>
      <c r="C70" s="12">
        <f t="shared" ref="C70:C101" si="4">B70/1000</f>
        <v>0</v>
      </c>
      <c r="D70" s="12">
        <f t="shared" ref="D70:D101" si="5">C70/1000*$B$1</f>
        <v>0</v>
      </c>
      <c r="E70" s="12">
        <f t="shared" ref="E70:E101" si="6">D70/22.4</f>
        <v>0</v>
      </c>
      <c r="F70" s="12">
        <f>E70/Calculation!K$19*1000</f>
        <v>0</v>
      </c>
      <c r="G70" s="12">
        <f t="shared" si="3"/>
        <v>267.23950356108253</v>
      </c>
    </row>
    <row r="71" spans="1:7">
      <c r="A71" s="12">
        <v>33</v>
      </c>
      <c r="B71" s="12">
        <v>0</v>
      </c>
      <c r="C71" s="12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E71/Calculation!K$19*1000</f>
        <v>0</v>
      </c>
      <c r="G71" s="12">
        <f t="shared" ref="G71:G101" si="7">G70+(F71+F70)/2*30</f>
        <v>267.23950356108253</v>
      </c>
    </row>
    <row r="72" spans="1:7">
      <c r="A72" s="12">
        <v>33.5</v>
      </c>
      <c r="B72" s="12">
        <v>0</v>
      </c>
      <c r="C72" s="12">
        <f t="shared" si="4"/>
        <v>0</v>
      </c>
      <c r="D72" s="12">
        <f t="shared" si="5"/>
        <v>0</v>
      </c>
      <c r="E72" s="12">
        <f t="shared" si="6"/>
        <v>0</v>
      </c>
      <c r="F72" s="12">
        <f>E72/Calculation!K$19*1000</f>
        <v>0</v>
      </c>
      <c r="G72" s="12">
        <f t="shared" si="7"/>
        <v>267.23950356108253</v>
      </c>
    </row>
    <row r="73" spans="1:7">
      <c r="A73" s="12">
        <v>34</v>
      </c>
      <c r="B73" s="12">
        <v>21.05</v>
      </c>
      <c r="C73" s="12">
        <f t="shared" si="4"/>
        <v>2.1049999999999999E-2</v>
      </c>
      <c r="D73" s="12">
        <f t="shared" si="5"/>
        <v>1.4840249999999999E-3</v>
      </c>
      <c r="E73" s="12">
        <f t="shared" si="6"/>
        <v>6.6251116071428578E-5</v>
      </c>
      <c r="F73" s="12">
        <f>E73/Calculation!K$19*1000</f>
        <v>9.1318067360147756E-5</v>
      </c>
      <c r="G73" s="12">
        <f t="shared" si="7"/>
        <v>267.24087333209292</v>
      </c>
    </row>
    <row r="74" spans="1:7">
      <c r="A74" s="12">
        <v>34.5</v>
      </c>
      <c r="B74" s="12">
        <v>17.04</v>
      </c>
      <c r="C74" s="12">
        <f t="shared" si="4"/>
        <v>1.704E-2</v>
      </c>
      <c r="D74" s="12">
        <f t="shared" si="5"/>
        <v>1.2013199999999999E-3</v>
      </c>
      <c r="E74" s="12">
        <f t="shared" si="6"/>
        <v>5.3630357142857138E-5</v>
      </c>
      <c r="F74" s="12">
        <f>E74/Calculation!K$19*1000</f>
        <v>7.3922083981801305E-5</v>
      </c>
      <c r="G74" s="12">
        <f t="shared" si="7"/>
        <v>267.24335193436303</v>
      </c>
    </row>
    <row r="75" spans="1:7">
      <c r="A75" s="12">
        <v>35</v>
      </c>
      <c r="B75" s="12">
        <v>0</v>
      </c>
      <c r="C75" s="12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E75/Calculation!K$19*1000</f>
        <v>0</v>
      </c>
      <c r="G75" s="12">
        <f t="shared" si="7"/>
        <v>267.24446076562276</v>
      </c>
    </row>
    <row r="76" spans="1:7">
      <c r="A76" s="12">
        <v>35.5</v>
      </c>
      <c r="B76" s="12">
        <v>0</v>
      </c>
      <c r="C76" s="12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E76/Calculation!K$19*1000</f>
        <v>0</v>
      </c>
      <c r="G76" s="12">
        <f t="shared" si="7"/>
        <v>267.24446076562276</v>
      </c>
    </row>
    <row r="77" spans="1:7">
      <c r="A77" s="12">
        <v>36</v>
      </c>
      <c r="B77" s="12">
        <v>49.11</v>
      </c>
      <c r="C77" s="12">
        <f t="shared" si="4"/>
        <v>4.9110000000000001E-2</v>
      </c>
      <c r="D77" s="12">
        <f t="shared" si="5"/>
        <v>3.462255E-3</v>
      </c>
      <c r="E77" s="12">
        <f t="shared" si="6"/>
        <v>1.5456495535714286E-4</v>
      </c>
      <c r="F77" s="12">
        <f>E77/Calculation!K$19*1000</f>
        <v>2.1304656950388867E-4</v>
      </c>
      <c r="G77" s="12">
        <f t="shared" si="7"/>
        <v>267.24765646416535</v>
      </c>
    </row>
    <row r="78" spans="1:7">
      <c r="A78" s="12">
        <v>36.5</v>
      </c>
      <c r="B78" s="12">
        <v>56.12</v>
      </c>
      <c r="C78" s="12">
        <f t="shared" si="4"/>
        <v>5.6119999999999996E-2</v>
      </c>
      <c r="D78" s="12">
        <f t="shared" si="5"/>
        <v>3.9564600000000002E-3</v>
      </c>
      <c r="E78" s="12">
        <f t="shared" si="6"/>
        <v>1.766276785714286E-4</v>
      </c>
      <c r="F78" s="12">
        <f>E78/Calculation!K$19*1000</f>
        <v>2.4345700428748184E-4</v>
      </c>
      <c r="G78" s="12">
        <f t="shared" si="7"/>
        <v>267.25450401777221</v>
      </c>
    </row>
    <row r="79" spans="1:7">
      <c r="A79" s="12">
        <v>37</v>
      </c>
      <c r="B79" s="12">
        <v>47.1</v>
      </c>
      <c r="C79" s="12">
        <f t="shared" si="4"/>
        <v>4.7100000000000003E-2</v>
      </c>
      <c r="D79" s="12">
        <f t="shared" si="5"/>
        <v>3.3205499999999998E-3</v>
      </c>
      <c r="E79" s="12">
        <f t="shared" si="6"/>
        <v>1.4823883928571428E-4</v>
      </c>
      <c r="F79" s="12">
        <f>E79/Calculation!K$19*1000</f>
        <v>2.0432688706237335E-4</v>
      </c>
      <c r="G79" s="12">
        <f t="shared" si="7"/>
        <v>267.26122077614247</v>
      </c>
    </row>
    <row r="80" spans="1:7">
      <c r="A80" s="12">
        <v>37.5</v>
      </c>
      <c r="B80" s="12">
        <v>79.17</v>
      </c>
      <c r="C80" s="12">
        <f t="shared" si="4"/>
        <v>7.9170000000000004E-2</v>
      </c>
      <c r="D80" s="12">
        <f t="shared" si="5"/>
        <v>5.5814850000000006E-3</v>
      </c>
      <c r="E80" s="12">
        <f t="shared" si="6"/>
        <v>2.4917343750000004E-4</v>
      </c>
      <c r="F80" s="12">
        <f>E80/Calculation!K$19*1000</f>
        <v>3.4345137258446072E-4</v>
      </c>
      <c r="G80" s="12">
        <f t="shared" si="7"/>
        <v>267.26943745003717</v>
      </c>
    </row>
    <row r="81" spans="1:7">
      <c r="A81" s="12">
        <v>38</v>
      </c>
      <c r="B81" s="12">
        <v>37.08</v>
      </c>
      <c r="C81" s="12">
        <f t="shared" si="4"/>
        <v>3.7079999999999995E-2</v>
      </c>
      <c r="D81" s="12">
        <f t="shared" si="5"/>
        <v>2.6141399999999996E-3</v>
      </c>
      <c r="E81" s="12">
        <f t="shared" si="6"/>
        <v>1.1670267857142856E-4</v>
      </c>
      <c r="F81" s="12">
        <f>E81/Calculation!K$19*1000</f>
        <v>1.6085861936884934E-4</v>
      </c>
      <c r="G81" s="12">
        <f t="shared" si="7"/>
        <v>267.2770020999165</v>
      </c>
    </row>
    <row r="82" spans="1:7">
      <c r="A82" s="12">
        <v>38.5</v>
      </c>
      <c r="B82" s="12">
        <v>0</v>
      </c>
      <c r="C82" s="12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E82/Calculation!K$19*1000</f>
        <v>0</v>
      </c>
      <c r="G82" s="12">
        <f t="shared" si="7"/>
        <v>267.27941497920705</v>
      </c>
    </row>
    <row r="83" spans="1:7">
      <c r="A83" s="12">
        <v>39</v>
      </c>
      <c r="B83" s="12">
        <v>27.06</v>
      </c>
      <c r="C83" s="12">
        <f t="shared" si="4"/>
        <v>2.7059999999999997E-2</v>
      </c>
      <c r="D83" s="12">
        <f t="shared" si="5"/>
        <v>1.9077299999999998E-3</v>
      </c>
      <c r="E83" s="12">
        <f t="shared" si="6"/>
        <v>8.516651785714286E-5</v>
      </c>
      <c r="F83" s="12">
        <f>E83/Calculation!K$19*1000</f>
        <v>1.1739035167532533E-4</v>
      </c>
      <c r="G83" s="12">
        <f t="shared" si="7"/>
        <v>267.28117583448216</v>
      </c>
    </row>
    <row r="84" spans="1:7">
      <c r="A84" s="12">
        <v>39.5</v>
      </c>
      <c r="B84" s="12">
        <v>0</v>
      </c>
      <c r="C84" s="12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E84/Calculation!K$19*1000</f>
        <v>0</v>
      </c>
      <c r="G84" s="12">
        <f t="shared" si="7"/>
        <v>267.28293668975726</v>
      </c>
    </row>
    <row r="85" spans="1:7">
      <c r="A85" s="12">
        <v>40</v>
      </c>
      <c r="B85" s="12">
        <v>30.06</v>
      </c>
      <c r="C85" s="12">
        <f t="shared" si="4"/>
        <v>3.006E-2</v>
      </c>
      <c r="D85" s="12">
        <f t="shared" si="5"/>
        <v>2.1192300000000002E-3</v>
      </c>
      <c r="E85" s="12">
        <f t="shared" si="6"/>
        <v>9.460848214285716E-5</v>
      </c>
      <c r="F85" s="12">
        <f>E85/Calculation!K$19*1000</f>
        <v>1.3040480308057205E-4</v>
      </c>
      <c r="G85" s="12">
        <f t="shared" si="7"/>
        <v>267.28489276180346</v>
      </c>
    </row>
    <row r="86" spans="1:7">
      <c r="A86" s="12">
        <v>40.5</v>
      </c>
      <c r="B86" s="12">
        <v>0</v>
      </c>
      <c r="C86" s="12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E86/Calculation!K$19*1000</f>
        <v>0</v>
      </c>
      <c r="G86" s="12">
        <f t="shared" si="7"/>
        <v>267.28684883384966</v>
      </c>
    </row>
    <row r="87" spans="1:7">
      <c r="A87" s="12">
        <v>41</v>
      </c>
      <c r="B87" s="12">
        <v>28.06</v>
      </c>
      <c r="C87" s="12">
        <f t="shared" si="4"/>
        <v>2.8059999999999998E-2</v>
      </c>
      <c r="D87" s="12">
        <f t="shared" si="5"/>
        <v>1.9782300000000001E-3</v>
      </c>
      <c r="E87" s="12">
        <f t="shared" si="6"/>
        <v>8.8313839285714298E-5</v>
      </c>
      <c r="F87" s="12">
        <f>E87/Calculation!K$19*1000</f>
        <v>1.2172850214374092E-4</v>
      </c>
      <c r="G87" s="12">
        <f t="shared" si="7"/>
        <v>267.2886747613818</v>
      </c>
    </row>
    <row r="88" spans="1:7">
      <c r="A88" s="12">
        <v>41.5</v>
      </c>
      <c r="B88" s="12">
        <v>0</v>
      </c>
      <c r="C88" s="12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E88/Calculation!K$19*1000</f>
        <v>0</v>
      </c>
      <c r="G88" s="12">
        <f t="shared" si="7"/>
        <v>267.29050068891394</v>
      </c>
    </row>
    <row r="89" spans="1:7">
      <c r="A89" s="12">
        <v>42</v>
      </c>
      <c r="B89" s="12">
        <v>0</v>
      </c>
      <c r="C89" s="12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E89/Calculation!K$19*1000</f>
        <v>0</v>
      </c>
      <c r="G89" s="12">
        <f t="shared" si="7"/>
        <v>267.29050068891394</v>
      </c>
    </row>
    <row r="90" spans="1:7">
      <c r="A90" s="12">
        <v>42.5</v>
      </c>
      <c r="B90" s="12">
        <v>52.11</v>
      </c>
      <c r="C90" s="12">
        <f t="shared" si="4"/>
        <v>5.2109999999999997E-2</v>
      </c>
      <c r="D90" s="12">
        <f t="shared" si="5"/>
        <v>3.6737549999999995E-3</v>
      </c>
      <c r="E90" s="12">
        <f t="shared" si="6"/>
        <v>1.6400691964285713E-4</v>
      </c>
      <c r="F90" s="12">
        <f>E90/Calculation!K$19*1000</f>
        <v>2.2606102090913535E-4</v>
      </c>
      <c r="G90" s="12">
        <f t="shared" si="7"/>
        <v>267.29389160422755</v>
      </c>
    </row>
    <row r="91" spans="1:7">
      <c r="A91" s="12">
        <v>43</v>
      </c>
      <c r="B91" s="12">
        <v>0</v>
      </c>
      <c r="C91" s="12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E91/Calculation!K$19*1000</f>
        <v>0</v>
      </c>
      <c r="G91" s="12">
        <f t="shared" si="7"/>
        <v>267.29728251954117</v>
      </c>
    </row>
    <row r="92" spans="1:7">
      <c r="A92" s="12">
        <v>43.5</v>
      </c>
      <c r="B92" s="12">
        <v>0</v>
      </c>
      <c r="C92" s="12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E92/Calculation!K$19*1000</f>
        <v>0</v>
      </c>
      <c r="G92" s="12">
        <f t="shared" si="7"/>
        <v>267.29728251954117</v>
      </c>
    </row>
    <row r="93" spans="1:7">
      <c r="A93" s="12">
        <v>44</v>
      </c>
      <c r="B93" s="12">
        <v>0</v>
      </c>
      <c r="C93" s="12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E93/Calculation!K$19*1000</f>
        <v>0</v>
      </c>
      <c r="G93" s="12">
        <f t="shared" si="7"/>
        <v>267.29728251954117</v>
      </c>
    </row>
    <row r="94" spans="1:7">
      <c r="A94" s="12">
        <v>44.5</v>
      </c>
      <c r="B94" s="12">
        <v>0</v>
      </c>
      <c r="C94" s="12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E94/Calculation!K$19*1000</f>
        <v>0</v>
      </c>
      <c r="G94" s="12">
        <f t="shared" si="7"/>
        <v>267.29728251954117</v>
      </c>
    </row>
    <row r="95" spans="1:7">
      <c r="A95" s="12">
        <v>45</v>
      </c>
      <c r="B95" s="12">
        <v>0</v>
      </c>
      <c r="C95" s="12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E95/Calculation!K$19*1000</f>
        <v>0</v>
      </c>
      <c r="G95" s="12">
        <f t="shared" si="7"/>
        <v>267.29728251954117</v>
      </c>
    </row>
    <row r="96" spans="1:7">
      <c r="A96" s="12">
        <v>45.5</v>
      </c>
      <c r="B96" s="12">
        <v>0</v>
      </c>
      <c r="C96" s="12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E96/Calculation!K$19*1000</f>
        <v>0</v>
      </c>
      <c r="G96" s="12">
        <f t="shared" si="7"/>
        <v>267.29728251954117</v>
      </c>
    </row>
    <row r="97" spans="1:7">
      <c r="A97" s="12">
        <v>46</v>
      </c>
      <c r="B97" s="12">
        <v>0</v>
      </c>
      <c r="C97" s="12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E97/Calculation!K$19*1000</f>
        <v>0</v>
      </c>
      <c r="G97" s="12">
        <f t="shared" si="7"/>
        <v>267.29728251954117</v>
      </c>
    </row>
    <row r="98" spans="1:7">
      <c r="A98" s="12">
        <v>46.5</v>
      </c>
      <c r="B98" s="12">
        <v>0</v>
      </c>
      <c r="C98" s="12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E98/Calculation!K$19*1000</f>
        <v>0</v>
      </c>
      <c r="G98" s="12">
        <f t="shared" si="7"/>
        <v>267.29728251954117</v>
      </c>
    </row>
    <row r="99" spans="1:7">
      <c r="A99" s="12">
        <v>47</v>
      </c>
      <c r="B99" s="12">
        <v>1</v>
      </c>
      <c r="C99" s="12">
        <f t="shared" si="4"/>
        <v>1E-3</v>
      </c>
      <c r="D99" s="12">
        <f t="shared" si="5"/>
        <v>7.0499999999999992E-5</v>
      </c>
      <c r="E99" s="12">
        <f t="shared" si="6"/>
        <v>3.1473214285714285E-6</v>
      </c>
      <c r="F99" s="12">
        <f>E99/Calculation!K$19*1000</f>
        <v>4.3381504684155693E-6</v>
      </c>
      <c r="G99" s="12">
        <f t="shared" si="7"/>
        <v>267.2973475917982</v>
      </c>
    </row>
    <row r="100" spans="1:7">
      <c r="A100" s="12">
        <v>47.5</v>
      </c>
      <c r="B100" s="12">
        <v>0</v>
      </c>
      <c r="C100" s="12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E100/Calculation!K$19*1000</f>
        <v>0</v>
      </c>
      <c r="G100" s="12">
        <f t="shared" si="7"/>
        <v>267.29741266405523</v>
      </c>
    </row>
    <row r="101" spans="1:7">
      <c r="A101" s="12">
        <v>48</v>
      </c>
      <c r="B101" s="12">
        <v>15.03</v>
      </c>
      <c r="C101" s="12">
        <f t="shared" si="4"/>
        <v>1.503E-2</v>
      </c>
      <c r="D101" s="12">
        <f t="shared" si="5"/>
        <v>1.0596150000000001E-3</v>
      </c>
      <c r="E101" s="12">
        <f t="shared" si="6"/>
        <v>4.730424107142858E-5</v>
      </c>
      <c r="F101" s="12">
        <f>E101/Calculation!K$20*1000</f>
        <v>7.0371437545566003E-5</v>
      </c>
      <c r="G101" s="12">
        <f t="shared" si="7"/>
        <v>267.29846823561843</v>
      </c>
    </row>
    <row r="105" spans="1:7">
      <c r="B105" s="96" t="s">
        <v>36</v>
      </c>
      <c r="C105" s="96"/>
      <c r="D105" s="96" t="s">
        <v>51</v>
      </c>
      <c r="E105" s="96"/>
      <c r="F105" s="96"/>
      <c r="G105" s="80" t="s">
        <v>52</v>
      </c>
    </row>
    <row r="106" spans="1:7">
      <c r="B106" s="80" t="s">
        <v>53</v>
      </c>
      <c r="C106" s="80" t="s">
        <v>54</v>
      </c>
      <c r="D106" s="80" t="s">
        <v>55</v>
      </c>
      <c r="E106" s="80" t="s">
        <v>56</v>
      </c>
      <c r="F106" s="80" t="s">
        <v>57</v>
      </c>
      <c r="G106" s="80" t="s">
        <v>58</v>
      </c>
    </row>
    <row r="107" spans="1:7">
      <c r="B107" s="12">
        <v>5.88</v>
      </c>
      <c r="C107" s="12">
        <f>B107/1000</f>
        <v>5.8799999999999998E-3</v>
      </c>
      <c r="D107" s="12">
        <f>C107/1000*$B$1</f>
        <v>4.1453999999999997E-4</v>
      </c>
      <c r="E107" s="12">
        <f>D107/22.4</f>
        <v>1.8506249999999999E-5</v>
      </c>
      <c r="F107" s="12">
        <f>E107/Calculation!K$4*1000</f>
        <v>1.267516574932465E-5</v>
      </c>
      <c r="G107" s="12">
        <f>(0+F107)/2*30</f>
        <v>1.9012748623986974E-4</v>
      </c>
    </row>
    <row r="108" spans="1:7">
      <c r="B108" s="12">
        <v>626.19000000000005</v>
      </c>
      <c r="C108" s="12">
        <f t="shared" ref="C108:C171" si="8">B108/1000</f>
        <v>0.62619000000000002</v>
      </c>
      <c r="D108" s="12">
        <f>C108/1000*$B$1</f>
        <v>4.4146394999999998E-2</v>
      </c>
      <c r="E108" s="12">
        <f>D108/22.4</f>
        <v>1.970821205357143E-3</v>
      </c>
      <c r="F108" s="12">
        <f>E108/Calculation!K$4*1000</f>
        <v>1.3498404830900685E-3</v>
      </c>
      <c r="G108" s="12">
        <f>G107+(F108+F107)/2*30</f>
        <v>2.0627862218830766E-2</v>
      </c>
    </row>
    <row r="109" spans="1:7">
      <c r="B109" s="12">
        <v>4036.66</v>
      </c>
      <c r="C109" s="12">
        <f t="shared" si="8"/>
        <v>4.0366599999999995</v>
      </c>
      <c r="D109" s="12">
        <f t="shared" ref="D109:D172" si="9">C109/1000*$B$1</f>
        <v>0.28458452999999995</v>
      </c>
      <c r="E109" s="12">
        <f t="shared" ref="E109:E172" si="10">D109/22.4</f>
        <v>1.2704666517857141E-2</v>
      </c>
      <c r="F109" s="12">
        <f>E109/Calculation!K$4*1000</f>
        <v>8.7015875125287124E-3</v>
      </c>
      <c r="G109" s="12">
        <f t="shared" ref="G109:G172" si="11">G108+(F109+F108)/2*30</f>
        <v>0.17139928215311245</v>
      </c>
    </row>
    <row r="110" spans="1:7">
      <c r="B110" s="12">
        <v>8353.67</v>
      </c>
      <c r="C110" s="12">
        <f t="shared" si="8"/>
        <v>8.3536699999999993</v>
      </c>
      <c r="D110" s="12">
        <f t="shared" si="9"/>
        <v>0.5889337349999999</v>
      </c>
      <c r="E110" s="12">
        <f t="shared" si="10"/>
        <v>2.6291684598214283E-2</v>
      </c>
      <c r="F110" s="12">
        <f>E110/Calculation!K$4*1000</f>
        <v>1.8007508820605585E-2</v>
      </c>
      <c r="G110" s="12">
        <f t="shared" si="11"/>
        <v>0.57203572715012696</v>
      </c>
    </row>
    <row r="111" spans="1:7">
      <c r="B111" s="12">
        <v>7024.91</v>
      </c>
      <c r="C111" s="12">
        <f t="shared" si="8"/>
        <v>7.0249100000000002</v>
      </c>
      <c r="D111" s="12">
        <f t="shared" si="9"/>
        <v>0.49525615500000003</v>
      </c>
      <c r="E111" s="12">
        <f t="shared" si="10"/>
        <v>2.2109649776785718E-2</v>
      </c>
      <c r="F111" s="12">
        <f>E111/Calculation!K$5*1000</f>
        <v>1.5657598043651147E-2</v>
      </c>
      <c r="G111" s="12">
        <f t="shared" si="11"/>
        <v>1.077012330113978</v>
      </c>
    </row>
    <row r="112" spans="1:7">
      <c r="B112" s="12">
        <v>5986.57</v>
      </c>
      <c r="C112" s="12">
        <f t="shared" si="8"/>
        <v>5.9865699999999995</v>
      </c>
      <c r="D112" s="12">
        <f t="shared" si="9"/>
        <v>0.42205318499999994</v>
      </c>
      <c r="E112" s="12">
        <f t="shared" si="10"/>
        <v>1.8841660044642855E-2</v>
      </c>
      <c r="F112" s="12">
        <f>E112/Calculation!K$5*1000</f>
        <v>1.3343275105329551E-2</v>
      </c>
      <c r="G112" s="12">
        <f t="shared" si="11"/>
        <v>1.5120254273486884</v>
      </c>
    </row>
    <row r="113" spans="2:7">
      <c r="B113" s="12">
        <v>5430.89</v>
      </c>
      <c r="C113" s="12">
        <f t="shared" si="8"/>
        <v>5.4308900000000007</v>
      </c>
      <c r="D113" s="12">
        <f t="shared" si="9"/>
        <v>0.38287774500000005</v>
      </c>
      <c r="E113" s="12">
        <f t="shared" si="10"/>
        <v>1.7092756473214288E-2</v>
      </c>
      <c r="F113" s="12">
        <f>E113/Calculation!K$5*1000</f>
        <v>1.2104737660594165E-2</v>
      </c>
      <c r="G113" s="12">
        <f t="shared" si="11"/>
        <v>1.8937456188375441</v>
      </c>
    </row>
    <row r="114" spans="2:7">
      <c r="B114" s="12">
        <v>4292.67</v>
      </c>
      <c r="C114" s="12">
        <f t="shared" si="8"/>
        <v>4.2926700000000002</v>
      </c>
      <c r="D114" s="12">
        <f t="shared" si="9"/>
        <v>0.302633235</v>
      </c>
      <c r="E114" s="12">
        <f t="shared" si="10"/>
        <v>1.3510412276785715E-2</v>
      </c>
      <c r="F114" s="12">
        <f>E114/Calculation!K$6*1000</f>
        <v>9.8897548369488251E-3</v>
      </c>
      <c r="G114" s="12">
        <f t="shared" si="11"/>
        <v>2.223663006300689</v>
      </c>
    </row>
    <row r="115" spans="2:7">
      <c r="B115" s="12">
        <v>4085.34</v>
      </c>
      <c r="C115" s="12">
        <f t="shared" si="8"/>
        <v>4.0853400000000004</v>
      </c>
      <c r="D115" s="12">
        <f t="shared" si="9"/>
        <v>0.28801647000000002</v>
      </c>
      <c r="E115" s="12">
        <f t="shared" si="10"/>
        <v>1.2857878125000001E-2</v>
      </c>
      <c r="F115" s="12">
        <f>E115/Calculation!K$6*1000</f>
        <v>9.4120934116949419E-3</v>
      </c>
      <c r="G115" s="12">
        <f t="shared" si="11"/>
        <v>2.5131907300303453</v>
      </c>
    </row>
    <row r="116" spans="2:7">
      <c r="B116" s="12">
        <v>7228.88</v>
      </c>
      <c r="C116" s="12">
        <f t="shared" si="8"/>
        <v>7.2288800000000002</v>
      </c>
      <c r="D116" s="12">
        <f t="shared" si="9"/>
        <v>0.50963603999999996</v>
      </c>
      <c r="E116" s="12">
        <f t="shared" si="10"/>
        <v>2.2751608928571428E-2</v>
      </c>
      <c r="F116" s="12">
        <f>E116/Calculation!K$6*1000</f>
        <v>1.6654401793224874E-2</v>
      </c>
      <c r="G116" s="12">
        <f t="shared" si="11"/>
        <v>2.9041881581041427</v>
      </c>
    </row>
    <row r="117" spans="2:7">
      <c r="B117" s="12">
        <v>6997.21</v>
      </c>
      <c r="C117" s="12">
        <f t="shared" si="8"/>
        <v>6.9972099999999999</v>
      </c>
      <c r="D117" s="12">
        <f t="shared" si="9"/>
        <v>0.49330330500000003</v>
      </c>
      <c r="E117" s="12">
        <f t="shared" si="10"/>
        <v>2.2022468973214287E-2</v>
      </c>
      <c r="F117" s="12">
        <f>E117/Calculation!K$7*1000</f>
        <v>1.6732221986487425E-2</v>
      </c>
      <c r="G117" s="12">
        <f t="shared" si="11"/>
        <v>3.404987514799827</v>
      </c>
    </row>
    <row r="118" spans="2:7">
      <c r="B118" s="12">
        <v>8372.14</v>
      </c>
      <c r="C118" s="12">
        <f t="shared" si="8"/>
        <v>8.3721399999999999</v>
      </c>
      <c r="D118" s="12">
        <f t="shared" si="9"/>
        <v>0.59023587</v>
      </c>
      <c r="E118" s="12">
        <f t="shared" si="10"/>
        <v>2.6349815625000002E-2</v>
      </c>
      <c r="F118" s="12">
        <f>E118/Calculation!K$7*1000</f>
        <v>2.0020051560829363E-2</v>
      </c>
      <c r="G118" s="12">
        <f t="shared" si="11"/>
        <v>3.9562716180095787</v>
      </c>
    </row>
    <row r="119" spans="2:7">
      <c r="B119" s="12">
        <v>10202.86</v>
      </c>
      <c r="C119" s="12">
        <f t="shared" si="8"/>
        <v>10.202860000000001</v>
      </c>
      <c r="D119" s="12">
        <f t="shared" si="9"/>
        <v>0.71930163000000003</v>
      </c>
      <c r="E119" s="12">
        <f t="shared" si="10"/>
        <v>3.2111679910714286E-2</v>
      </c>
      <c r="F119" s="12">
        <f>E119/Calculation!K$8*1000</f>
        <v>2.5520871581137444E-2</v>
      </c>
      <c r="G119" s="12">
        <f t="shared" si="11"/>
        <v>4.6393854651390809</v>
      </c>
    </row>
    <row r="120" spans="2:7">
      <c r="B120" s="12">
        <v>13025.75</v>
      </c>
      <c r="C120" s="12">
        <f t="shared" si="8"/>
        <v>13.02575</v>
      </c>
      <c r="D120" s="12">
        <f t="shared" si="9"/>
        <v>0.91831537500000004</v>
      </c>
      <c r="E120" s="12">
        <f t="shared" si="10"/>
        <v>4.099622209821429E-2</v>
      </c>
      <c r="F120" s="12">
        <f>E120/Calculation!K$8*1000</f>
        <v>3.2581893018036226E-2</v>
      </c>
      <c r="G120" s="12">
        <f t="shared" si="11"/>
        <v>5.5109269341266858</v>
      </c>
    </row>
    <row r="121" spans="2:7">
      <c r="B121" s="12">
        <v>8080.03</v>
      </c>
      <c r="C121" s="12">
        <f t="shared" si="8"/>
        <v>8.0800299999999989</v>
      </c>
      <c r="D121" s="12">
        <f t="shared" si="9"/>
        <v>0.56964211499999984</v>
      </c>
      <c r="E121" s="12">
        <f t="shared" si="10"/>
        <v>2.5430451562499994E-2</v>
      </c>
      <c r="F121" s="12">
        <f>E121/Calculation!K$8*1000</f>
        <v>2.0210941638103233E-2</v>
      </c>
      <c r="G121" s="12">
        <f t="shared" si="11"/>
        <v>6.3028194539687776</v>
      </c>
    </row>
    <row r="122" spans="2:7">
      <c r="B122" s="12">
        <v>5994.13</v>
      </c>
      <c r="C122" s="12">
        <f t="shared" si="8"/>
        <v>5.9941300000000002</v>
      </c>
      <c r="D122" s="12">
        <f t="shared" si="9"/>
        <v>0.42258616500000001</v>
      </c>
      <c r="E122" s="12">
        <f t="shared" si="10"/>
        <v>1.8865453794642859E-2</v>
      </c>
      <c r="F122" s="12">
        <f>E122/Calculation!K$9*1000</f>
        <v>1.5586205591440569E-2</v>
      </c>
      <c r="G122" s="12">
        <f t="shared" si="11"/>
        <v>6.8397766624119347</v>
      </c>
    </row>
    <row r="123" spans="2:7">
      <c r="B123" s="12">
        <v>6706.78</v>
      </c>
      <c r="C123" s="12">
        <f t="shared" si="8"/>
        <v>6.7067800000000002</v>
      </c>
      <c r="D123" s="12">
        <f t="shared" si="9"/>
        <v>0.47282798999999998</v>
      </c>
      <c r="E123" s="12">
        <f t="shared" si="10"/>
        <v>2.1108392410714286E-2</v>
      </c>
      <c r="F123" s="12">
        <f>E123/Calculation!K$9*1000</f>
        <v>1.7439270075317315E-2</v>
      </c>
      <c r="G123" s="12">
        <f t="shared" si="11"/>
        <v>7.3351587974133032</v>
      </c>
    </row>
    <row r="124" spans="2:7">
      <c r="B124" s="12">
        <v>8195.0300000000007</v>
      </c>
      <c r="C124" s="12">
        <f t="shared" si="8"/>
        <v>8.1950300000000009</v>
      </c>
      <c r="D124" s="12">
        <f t="shared" si="9"/>
        <v>0.57774961500000011</v>
      </c>
      <c r="E124" s="12">
        <f t="shared" si="10"/>
        <v>2.5792393526785719E-2</v>
      </c>
      <c r="F124" s="12">
        <f>E124/Calculation!K$9*1000</f>
        <v>2.130908445562963E-2</v>
      </c>
      <c r="G124" s="12">
        <f t="shared" si="11"/>
        <v>7.9163841153775074</v>
      </c>
    </row>
    <row r="125" spans="2:7">
      <c r="B125" s="12">
        <v>10457.200000000001</v>
      </c>
      <c r="C125" s="12">
        <f t="shared" si="8"/>
        <v>10.4572</v>
      </c>
      <c r="D125" s="12">
        <f t="shared" si="9"/>
        <v>0.73723260000000002</v>
      </c>
      <c r="E125" s="12">
        <f t="shared" si="10"/>
        <v>3.2912169642857148E-2</v>
      </c>
      <c r="F125" s="12">
        <f>E125/Calculation!K$10*1000</f>
        <v>2.8431502228980311E-2</v>
      </c>
      <c r="G125" s="12">
        <f t="shared" si="11"/>
        <v>8.6624929156466557</v>
      </c>
    </row>
    <row r="126" spans="2:7">
      <c r="B126" s="12">
        <v>13754.35</v>
      </c>
      <c r="C126" s="12">
        <f t="shared" si="8"/>
        <v>13.754350000000001</v>
      </c>
      <c r="D126" s="12">
        <f t="shared" si="9"/>
        <v>0.96968167500000002</v>
      </c>
      <c r="E126" s="12">
        <f t="shared" si="10"/>
        <v>4.3289360491071432E-2</v>
      </c>
      <c r="F126" s="12">
        <f>E126/Calculation!K$10*1000</f>
        <v>3.739594085253943E-2</v>
      </c>
      <c r="G126" s="12">
        <f t="shared" si="11"/>
        <v>9.6499045618694517</v>
      </c>
    </row>
    <row r="127" spans="2:7">
      <c r="B127" s="12">
        <v>17570.240000000002</v>
      </c>
      <c r="C127" s="12">
        <f t="shared" si="8"/>
        <v>17.570240000000002</v>
      </c>
      <c r="D127" s="12">
        <f t="shared" si="9"/>
        <v>1.23870192</v>
      </c>
      <c r="E127" s="12">
        <f t="shared" si="10"/>
        <v>5.5299192857142861E-2</v>
      </c>
      <c r="F127" s="12">
        <f>E127/Calculation!K$11*1000</f>
        <v>5.005375556818726E-2</v>
      </c>
      <c r="G127" s="12">
        <f t="shared" si="11"/>
        <v>10.961650008180353</v>
      </c>
    </row>
    <row r="128" spans="2:7">
      <c r="B128" s="12">
        <v>23918.6</v>
      </c>
      <c r="C128" s="12">
        <f t="shared" si="8"/>
        <v>23.918599999999998</v>
      </c>
      <c r="D128" s="12">
        <f t="shared" si="9"/>
        <v>1.6862613</v>
      </c>
      <c r="E128" s="12">
        <f t="shared" si="10"/>
        <v>7.527952232142858E-2</v>
      </c>
      <c r="F128" s="12">
        <f>E128/Calculation!K$11*1000</f>
        <v>6.8138839192477943E-2</v>
      </c>
      <c r="G128" s="12">
        <f t="shared" si="11"/>
        <v>12.734538929590331</v>
      </c>
    </row>
    <row r="129" spans="2:7">
      <c r="B129" s="12">
        <v>32101.03</v>
      </c>
      <c r="C129" s="12">
        <f t="shared" si="8"/>
        <v>32.101030000000002</v>
      </c>
      <c r="D129" s="12">
        <f t="shared" si="9"/>
        <v>2.2631226150000003</v>
      </c>
      <c r="E129" s="12">
        <f t="shared" si="10"/>
        <v>0.10103225959821431</v>
      </c>
      <c r="F129" s="12">
        <f>E129/Calculation!K$11*1000</f>
        <v>9.1448785509307004E-2</v>
      </c>
      <c r="G129" s="12">
        <f t="shared" si="11"/>
        <v>15.128353300117105</v>
      </c>
    </row>
    <row r="130" spans="2:7">
      <c r="B130" s="12">
        <v>43099.64</v>
      </c>
      <c r="C130" s="12">
        <f t="shared" si="8"/>
        <v>43.099640000000001</v>
      </c>
      <c r="D130" s="12">
        <f t="shared" si="9"/>
        <v>3.03852462</v>
      </c>
      <c r="E130" s="12">
        <f t="shared" si="10"/>
        <v>0.1356484205357143</v>
      </c>
      <c r="F130" s="12">
        <f>E130/Calculation!K$12*1000</f>
        <v>0.12819484953904703</v>
      </c>
      <c r="G130" s="12">
        <f t="shared" si="11"/>
        <v>18.423007825842415</v>
      </c>
    </row>
    <row r="131" spans="2:7">
      <c r="B131" s="12">
        <v>56114.48</v>
      </c>
      <c r="C131" s="12">
        <f t="shared" si="8"/>
        <v>56.11448</v>
      </c>
      <c r="D131" s="12">
        <f t="shared" si="9"/>
        <v>3.9560708400000002</v>
      </c>
      <c r="E131" s="12">
        <f t="shared" si="10"/>
        <v>0.17661030535714287</v>
      </c>
      <c r="F131" s="12">
        <f>E131/Calculation!K$12*1000</f>
        <v>0.16690597231350107</v>
      </c>
      <c r="G131" s="12">
        <f t="shared" si="11"/>
        <v>22.849520153630635</v>
      </c>
    </row>
    <row r="132" spans="2:7">
      <c r="B132" s="12">
        <v>65807.83</v>
      </c>
      <c r="C132" s="12">
        <f t="shared" si="8"/>
        <v>65.807829999999996</v>
      </c>
      <c r="D132" s="12">
        <f t="shared" si="9"/>
        <v>4.6394520149999998</v>
      </c>
      <c r="E132" s="12">
        <f t="shared" si="10"/>
        <v>0.20711839352678571</v>
      </c>
      <c r="F132" s="12">
        <f>E132/Calculation!K$12*1000</f>
        <v>0.19573771069413073</v>
      </c>
      <c r="G132" s="12">
        <f t="shared" si="11"/>
        <v>28.289175398745112</v>
      </c>
    </row>
    <row r="133" spans="2:7">
      <c r="B133" s="12">
        <v>74871.63</v>
      </c>
      <c r="C133" s="12">
        <f t="shared" si="8"/>
        <v>74.87163000000001</v>
      </c>
      <c r="D133" s="12">
        <f t="shared" si="9"/>
        <v>5.2784499150000004</v>
      </c>
      <c r="E133" s="12">
        <f t="shared" si="10"/>
        <v>0.23564508549107147</v>
      </c>
      <c r="F133" s="12">
        <f>E133/Calculation!K$13*1000</f>
        <v>0.23290839487199635</v>
      </c>
      <c r="G133" s="12">
        <f t="shared" si="11"/>
        <v>34.718866982237017</v>
      </c>
    </row>
    <row r="134" spans="2:7">
      <c r="B134" s="12">
        <v>81249.36</v>
      </c>
      <c r="C134" s="12">
        <f t="shared" si="8"/>
        <v>81.249359999999996</v>
      </c>
      <c r="D134" s="12">
        <f t="shared" si="9"/>
        <v>5.7280798799999992</v>
      </c>
      <c r="E134" s="12">
        <f t="shared" si="10"/>
        <v>0.25571785178571427</v>
      </c>
      <c r="F134" s="12">
        <f>E134/Calculation!K$13*1000</f>
        <v>0.25274804384487132</v>
      </c>
      <c r="G134" s="12">
        <f t="shared" si="11"/>
        <v>42.003713562990029</v>
      </c>
    </row>
    <row r="135" spans="2:7">
      <c r="B135" s="12">
        <v>82060.22</v>
      </c>
      <c r="C135" s="12">
        <f t="shared" si="8"/>
        <v>82.060220000000001</v>
      </c>
      <c r="D135" s="12">
        <f t="shared" si="9"/>
        <v>5.7852455100000002</v>
      </c>
      <c r="E135" s="12">
        <f t="shared" si="10"/>
        <v>0.25826988883928576</v>
      </c>
      <c r="F135" s="12">
        <f>E135/Calculation!K$13*1000</f>
        <v>0.2552704425300063</v>
      </c>
      <c r="G135" s="12">
        <f t="shared" si="11"/>
        <v>49.62399085861319</v>
      </c>
    </row>
    <row r="136" spans="2:7">
      <c r="B136" s="12">
        <v>82008.179999999993</v>
      </c>
      <c r="C136" s="12">
        <f t="shared" si="8"/>
        <v>82.008179999999996</v>
      </c>
      <c r="D136" s="12">
        <f t="shared" si="9"/>
        <v>5.7815766899999996</v>
      </c>
      <c r="E136" s="12">
        <f t="shared" si="10"/>
        <v>0.25810610223214286</v>
      </c>
      <c r="F136" s="12">
        <f>E136/Calculation!K$14*1000</f>
        <v>0.26675144358760094</v>
      </c>
      <c r="G136" s="12">
        <f t="shared" si="11"/>
        <v>57.454319150377302</v>
      </c>
    </row>
    <row r="137" spans="2:7">
      <c r="B137" s="12">
        <v>91103.88</v>
      </c>
      <c r="C137" s="12">
        <f t="shared" si="8"/>
        <v>91.103880000000004</v>
      </c>
      <c r="D137" s="12">
        <f t="shared" si="9"/>
        <v>6.4228235399999996</v>
      </c>
      <c r="E137" s="12">
        <f t="shared" si="10"/>
        <v>0.28673319375</v>
      </c>
      <c r="F137" s="12">
        <f>E137/Calculation!K$14*1000</f>
        <v>0.2963374081272328</v>
      </c>
      <c r="G137" s="12">
        <f t="shared" si="11"/>
        <v>65.900651926099812</v>
      </c>
    </row>
    <row r="138" spans="2:7">
      <c r="B138" s="12">
        <v>100785.47</v>
      </c>
      <c r="C138" s="12">
        <f t="shared" si="8"/>
        <v>100.78547</v>
      </c>
      <c r="D138" s="12">
        <f t="shared" si="9"/>
        <v>7.1053756350000006</v>
      </c>
      <c r="E138" s="12">
        <f t="shared" si="10"/>
        <v>0.31720426941964291</v>
      </c>
      <c r="F138" s="12">
        <f>E138/Calculation!K$15*1000</f>
        <v>0.34340706298653606</v>
      </c>
      <c r="G138" s="12">
        <f t="shared" si="11"/>
        <v>75.49681899280634</v>
      </c>
    </row>
    <row r="139" spans="2:7">
      <c r="B139" s="12">
        <v>104819.61</v>
      </c>
      <c r="C139" s="12">
        <f t="shared" si="8"/>
        <v>104.81961</v>
      </c>
      <c r="D139" s="12">
        <f t="shared" si="9"/>
        <v>7.3897825049999994</v>
      </c>
      <c r="E139" s="12">
        <f t="shared" si="10"/>
        <v>0.3299010046875</v>
      </c>
      <c r="F139" s="12">
        <f>E139/Calculation!K$15*1000</f>
        <v>0.35715261747049593</v>
      </c>
      <c r="G139" s="12">
        <f t="shared" si="11"/>
        <v>86.005214199661822</v>
      </c>
    </row>
    <row r="140" spans="2:7">
      <c r="B140" s="12">
        <v>107211.89</v>
      </c>
      <c r="C140" s="12">
        <f t="shared" si="8"/>
        <v>107.21189</v>
      </c>
      <c r="D140" s="12">
        <f t="shared" si="9"/>
        <v>7.5584382449999996</v>
      </c>
      <c r="E140" s="12">
        <f t="shared" si="10"/>
        <v>0.33743027879464288</v>
      </c>
      <c r="F140" s="12">
        <f>E140/Calculation!K$15*1000</f>
        <v>0.36530385046709185</v>
      </c>
      <c r="G140" s="12">
        <f t="shared" si="11"/>
        <v>96.842061218725632</v>
      </c>
    </row>
    <row r="141" spans="2:7">
      <c r="B141" s="12">
        <v>127556.34</v>
      </c>
      <c r="C141" s="12">
        <f t="shared" si="8"/>
        <v>127.55633999999999</v>
      </c>
      <c r="D141" s="12">
        <f t="shared" si="9"/>
        <v>8.9927219699999998</v>
      </c>
      <c r="E141" s="12">
        <f t="shared" si="10"/>
        <v>0.40146080223214287</v>
      </c>
      <c r="F141" s="12">
        <f>E141/Calculation!K$16*1000</f>
        <v>0.45810386135746867</v>
      </c>
      <c r="G141" s="12">
        <f t="shared" si="11"/>
        <v>109.19317689609404</v>
      </c>
    </row>
    <row r="142" spans="2:7">
      <c r="B142" s="12">
        <v>112139.99</v>
      </c>
      <c r="C142" s="12">
        <f t="shared" si="8"/>
        <v>112.13999000000001</v>
      </c>
      <c r="D142" s="12">
        <f t="shared" si="9"/>
        <v>7.9058692950000005</v>
      </c>
      <c r="E142" s="12">
        <f t="shared" si="10"/>
        <v>0.35294059352678575</v>
      </c>
      <c r="F142" s="12">
        <f>E142/Calculation!K$16*1000</f>
        <v>0.40273782104118011</v>
      </c>
      <c r="G142" s="12">
        <f t="shared" si="11"/>
        <v>122.10580213207378</v>
      </c>
    </row>
    <row r="143" spans="2:7">
      <c r="B143" s="12">
        <v>148783.82999999999</v>
      </c>
      <c r="C143" s="12">
        <f t="shared" si="8"/>
        <v>148.78382999999999</v>
      </c>
      <c r="D143" s="12">
        <f t="shared" si="9"/>
        <v>10.489260015000001</v>
      </c>
      <c r="E143" s="12">
        <f t="shared" si="10"/>
        <v>0.46827053638392863</v>
      </c>
      <c r="F143" s="12">
        <f>E143/Calculation!K$17*1000</f>
        <v>0.56649928797754523</v>
      </c>
      <c r="G143" s="12">
        <f t="shared" si="11"/>
        <v>136.64435876735465</v>
      </c>
    </row>
    <row r="144" spans="2:7">
      <c r="B144" s="12">
        <v>110070.03</v>
      </c>
      <c r="C144" s="12">
        <f t="shared" si="8"/>
        <v>110.07003</v>
      </c>
      <c r="D144" s="12">
        <f t="shared" si="9"/>
        <v>7.7599371149999996</v>
      </c>
      <c r="E144" s="12">
        <f t="shared" si="10"/>
        <v>0.34642576406250003</v>
      </c>
      <c r="F144" s="12">
        <f>E144/Calculation!K$17*1000</f>
        <v>0.41909523113275848</v>
      </c>
      <c r="G144" s="12">
        <f t="shared" si="11"/>
        <v>151.42827655400919</v>
      </c>
    </row>
    <row r="145" spans="2:7">
      <c r="B145" s="12">
        <v>110007.08</v>
      </c>
      <c r="C145" s="12">
        <f t="shared" si="8"/>
        <v>110.00708</v>
      </c>
      <c r="D145" s="12">
        <f t="shared" si="9"/>
        <v>7.7554991400000004</v>
      </c>
      <c r="E145" s="12">
        <f t="shared" si="10"/>
        <v>0.34622764017857149</v>
      </c>
      <c r="F145" s="12">
        <f>E145/Calculation!K$17*1000</f>
        <v>0.41885554695351546</v>
      </c>
      <c r="G145" s="12">
        <f t="shared" si="11"/>
        <v>163.99753822530329</v>
      </c>
    </row>
    <row r="146" spans="2:7">
      <c r="B146" s="12">
        <v>107704.62</v>
      </c>
      <c r="C146" s="12">
        <f t="shared" si="8"/>
        <v>107.70461999999999</v>
      </c>
      <c r="D146" s="12">
        <f t="shared" si="9"/>
        <v>7.5931757099999988</v>
      </c>
      <c r="E146" s="12">
        <f t="shared" si="10"/>
        <v>0.33898105848214283</v>
      </c>
      <c r="F146" s="12">
        <f>E146/Calculation!K$17*1000</f>
        <v>0.41008885536749573</v>
      </c>
      <c r="G146" s="12">
        <f t="shared" si="11"/>
        <v>176.43170426011847</v>
      </c>
    </row>
    <row r="147" spans="2:7">
      <c r="B147" s="12">
        <v>104585.42</v>
      </c>
      <c r="C147" s="12">
        <f t="shared" si="8"/>
        <v>104.58542</v>
      </c>
      <c r="D147" s="12">
        <f t="shared" si="9"/>
        <v>7.3732721100000003</v>
      </c>
      <c r="E147" s="12">
        <f t="shared" si="10"/>
        <v>0.3291639334821429</v>
      </c>
      <c r="F147" s="12">
        <f>E147/Calculation!K$17*1000</f>
        <v>0.39821239957885557</v>
      </c>
      <c r="G147" s="12">
        <f t="shared" si="11"/>
        <v>188.55622308431373</v>
      </c>
    </row>
    <row r="148" spans="2:7">
      <c r="B148" s="12">
        <v>101501.48</v>
      </c>
      <c r="C148" s="12">
        <f t="shared" si="8"/>
        <v>101.50148</v>
      </c>
      <c r="D148" s="12">
        <f t="shared" si="9"/>
        <v>7.1558543400000003</v>
      </c>
      <c r="E148" s="12">
        <f t="shared" si="10"/>
        <v>0.31945778303571432</v>
      </c>
      <c r="F148" s="12">
        <f>E148/Calculation!K$17*1000</f>
        <v>0.38647019739085253</v>
      </c>
      <c r="G148" s="12">
        <f t="shared" si="11"/>
        <v>200.32646203885935</v>
      </c>
    </row>
    <row r="149" spans="2:7">
      <c r="B149" s="12">
        <v>126986.39</v>
      </c>
      <c r="C149" s="12">
        <f t="shared" si="8"/>
        <v>126.98639</v>
      </c>
      <c r="D149" s="12">
        <f t="shared" si="9"/>
        <v>8.9525404950000009</v>
      </c>
      <c r="E149" s="12">
        <f t="shared" si="10"/>
        <v>0.39966698638392861</v>
      </c>
      <c r="F149" s="12">
        <f>E149/Calculation!K$17*1000</f>
        <v>0.483504823863177</v>
      </c>
      <c r="G149" s="12">
        <f t="shared" si="11"/>
        <v>213.3760873576698</v>
      </c>
    </row>
    <row r="150" spans="2:7">
      <c r="B150" s="12">
        <v>23893.42</v>
      </c>
      <c r="C150" s="12">
        <f t="shared" si="8"/>
        <v>23.893419999999999</v>
      </c>
      <c r="D150" s="12">
        <f t="shared" si="9"/>
        <v>1.6844861099999999</v>
      </c>
      <c r="E150" s="12">
        <f t="shared" si="10"/>
        <v>7.5200272767857138E-2</v>
      </c>
      <c r="F150" s="12">
        <f>E150/Calculation!K$17*1000</f>
        <v>9.0974976362340157E-2</v>
      </c>
      <c r="G150" s="12">
        <f t="shared" si="11"/>
        <v>221.99328436105256</v>
      </c>
    </row>
    <row r="151" spans="2:7">
      <c r="B151" s="12">
        <v>6517.91</v>
      </c>
      <c r="C151" s="12">
        <f t="shared" si="8"/>
        <v>6.5179099999999996</v>
      </c>
      <c r="D151" s="12">
        <f t="shared" si="9"/>
        <v>0.45951265499999999</v>
      </c>
      <c r="E151" s="12">
        <f t="shared" si="10"/>
        <v>2.0513957812500001E-2</v>
      </c>
      <c r="F151" s="12">
        <f>E151/Calculation!K$17*1000</f>
        <v>2.48171550235111E-2</v>
      </c>
      <c r="G151" s="12">
        <f t="shared" si="11"/>
        <v>223.73016633184034</v>
      </c>
    </row>
    <row r="152" spans="2:7">
      <c r="B152" s="12">
        <v>2004.48</v>
      </c>
      <c r="C152" s="12">
        <f t="shared" si="8"/>
        <v>2.00448</v>
      </c>
      <c r="D152" s="12">
        <f t="shared" si="9"/>
        <v>0.14131584</v>
      </c>
      <c r="E152" s="12">
        <f t="shared" si="10"/>
        <v>6.3087428571428576E-3</v>
      </c>
      <c r="F152" s="12">
        <f>E152/Calculation!K$17*1000</f>
        <v>7.6321230120587023E-3</v>
      </c>
      <c r="G152" s="12">
        <f t="shared" si="11"/>
        <v>224.21690550237389</v>
      </c>
    </row>
    <row r="153" spans="2:7">
      <c r="B153" s="12">
        <v>773.92</v>
      </c>
      <c r="C153" s="12">
        <f t="shared" si="8"/>
        <v>0.77391999999999994</v>
      </c>
      <c r="D153" s="12">
        <f t="shared" si="9"/>
        <v>5.4561359999999996E-2</v>
      </c>
      <c r="E153" s="12">
        <f t="shared" si="10"/>
        <v>2.4357749999999998E-3</v>
      </c>
      <c r="F153" s="12">
        <f>E153/Calculation!K$17*1000</f>
        <v>2.9467256552784113E-3</v>
      </c>
      <c r="G153" s="12">
        <f t="shared" si="11"/>
        <v>224.37558823238396</v>
      </c>
    </row>
    <row r="154" spans="2:7">
      <c r="B154" s="12">
        <v>360.94</v>
      </c>
      <c r="C154" s="12">
        <f t="shared" si="8"/>
        <v>0.36093999999999998</v>
      </c>
      <c r="D154" s="12">
        <f t="shared" si="9"/>
        <v>2.5446269999999997E-2</v>
      </c>
      <c r="E154" s="12">
        <f t="shared" si="10"/>
        <v>1.1359941964285713E-3</v>
      </c>
      <c r="F154" s="12">
        <f>E154/Calculation!K$17*1000</f>
        <v>1.3742908285303257E-3</v>
      </c>
      <c r="G154" s="12">
        <f t="shared" si="11"/>
        <v>224.44040347964111</v>
      </c>
    </row>
    <row r="155" spans="2:7">
      <c r="B155" s="12">
        <v>212.37</v>
      </c>
      <c r="C155" s="12">
        <f t="shared" si="8"/>
        <v>0.21237</v>
      </c>
      <c r="D155" s="12">
        <f t="shared" si="9"/>
        <v>1.4972085E-2</v>
      </c>
      <c r="E155" s="12">
        <f t="shared" si="10"/>
        <v>6.683966517857143E-4</v>
      </c>
      <c r="F155" s="12">
        <f>E155/Calculation!K$18*1000</f>
        <v>8.6657379348178628E-4</v>
      </c>
      <c r="G155" s="12">
        <f t="shared" si="11"/>
        <v>224.4740164489713</v>
      </c>
    </row>
    <row r="156" spans="2:7">
      <c r="B156" s="12">
        <v>149.41</v>
      </c>
      <c r="C156" s="12">
        <f t="shared" si="8"/>
        <v>0.14940999999999999</v>
      </c>
      <c r="D156" s="12">
        <f t="shared" si="9"/>
        <v>1.0533404999999999E-2</v>
      </c>
      <c r="E156" s="12">
        <f t="shared" si="10"/>
        <v>4.7024129464285714E-4</v>
      </c>
      <c r="F156" s="12">
        <f>E156/Calculation!K$18*1000</f>
        <v>6.0966610389468238E-4</v>
      </c>
      <c r="G156" s="12">
        <f t="shared" si="11"/>
        <v>224.49616004743194</v>
      </c>
    </row>
    <row r="157" spans="2:7">
      <c r="B157" s="12">
        <v>139.34</v>
      </c>
      <c r="C157" s="12">
        <f t="shared" si="8"/>
        <v>0.13933999999999999</v>
      </c>
      <c r="D157" s="12">
        <f t="shared" si="9"/>
        <v>9.8234700000000008E-3</v>
      </c>
      <c r="E157" s="12">
        <f t="shared" si="10"/>
        <v>4.385477678571429E-4</v>
      </c>
      <c r="F157" s="12">
        <f>E157/Calculation!K$18*1000</f>
        <v>5.685755633269865E-4</v>
      </c>
      <c r="G157" s="12">
        <f t="shared" si="11"/>
        <v>224.51383367244026</v>
      </c>
    </row>
    <row r="158" spans="2:7">
      <c r="B158" s="12">
        <v>52.04</v>
      </c>
      <c r="C158" s="12">
        <f t="shared" si="8"/>
        <v>5.2039999999999996E-2</v>
      </c>
      <c r="D158" s="12">
        <f t="shared" si="9"/>
        <v>3.6688199999999997E-3</v>
      </c>
      <c r="E158" s="12">
        <f t="shared" si="10"/>
        <v>1.6378660714285714E-4</v>
      </c>
      <c r="F158" s="12">
        <f>E158/Calculation!K$18*1000</f>
        <v>2.1234873199035722E-4</v>
      </c>
      <c r="G158" s="12">
        <f t="shared" si="11"/>
        <v>224.52554753687002</v>
      </c>
    </row>
    <row r="159" spans="2:7">
      <c r="B159" s="12">
        <v>52.04</v>
      </c>
      <c r="C159" s="12">
        <f t="shared" si="8"/>
        <v>5.2039999999999996E-2</v>
      </c>
      <c r="D159" s="12">
        <f t="shared" si="9"/>
        <v>3.6688199999999997E-3</v>
      </c>
      <c r="E159" s="12">
        <f t="shared" si="10"/>
        <v>1.6378660714285714E-4</v>
      </c>
      <c r="F159" s="12">
        <f>E159/Calculation!K$18*1000</f>
        <v>2.1234873199035722E-4</v>
      </c>
      <c r="G159" s="12">
        <f t="shared" si="11"/>
        <v>224.53191799882973</v>
      </c>
    </row>
    <row r="160" spans="2:7">
      <c r="B160" s="12">
        <v>16.79</v>
      </c>
      <c r="C160" s="12">
        <f t="shared" si="8"/>
        <v>1.6789999999999999E-2</v>
      </c>
      <c r="D160" s="12">
        <f t="shared" si="9"/>
        <v>1.183695E-3</v>
      </c>
      <c r="E160" s="12">
        <f t="shared" si="10"/>
        <v>5.2843526785714288E-5</v>
      </c>
      <c r="F160" s="12">
        <f>E160/Calculation!K$18*1000</f>
        <v>6.8511437550309334E-5</v>
      </c>
      <c r="G160" s="12">
        <f t="shared" si="11"/>
        <v>224.53613090137284</v>
      </c>
    </row>
    <row r="161" spans="2:7">
      <c r="B161" s="12">
        <v>5.04</v>
      </c>
      <c r="C161" s="12">
        <f t="shared" si="8"/>
        <v>5.0400000000000002E-3</v>
      </c>
      <c r="D161" s="12">
        <f t="shared" si="9"/>
        <v>3.5532000000000001E-4</v>
      </c>
      <c r="E161" s="12">
        <f t="shared" si="10"/>
        <v>1.5862500000000003E-5</v>
      </c>
      <c r="F161" s="12">
        <f>E161/Calculation!K$18*1000</f>
        <v>2.0565672736960042E-5</v>
      </c>
      <c r="G161" s="12">
        <f t="shared" si="11"/>
        <v>224.53746705802715</v>
      </c>
    </row>
    <row r="162" spans="2:7">
      <c r="B162" s="12">
        <v>0</v>
      </c>
      <c r="C162" s="12">
        <f t="shared" si="8"/>
        <v>0</v>
      </c>
      <c r="D162" s="12">
        <f t="shared" si="9"/>
        <v>0</v>
      </c>
      <c r="E162" s="12">
        <f t="shared" si="10"/>
        <v>0</v>
      </c>
      <c r="F162" s="12">
        <f>E162/Calculation!K$18*1000</f>
        <v>0</v>
      </c>
      <c r="G162" s="12">
        <f t="shared" si="11"/>
        <v>224.53777554311822</v>
      </c>
    </row>
    <row r="163" spans="2:7">
      <c r="B163" s="12">
        <v>50.36</v>
      </c>
      <c r="C163" s="12">
        <f t="shared" si="8"/>
        <v>5.0360000000000002E-2</v>
      </c>
      <c r="D163" s="12">
        <f t="shared" si="9"/>
        <v>3.5503800000000001E-3</v>
      </c>
      <c r="E163" s="12">
        <f t="shared" si="10"/>
        <v>1.5849910714285716E-4</v>
      </c>
      <c r="F163" s="12">
        <f>E163/Calculation!K$18*1000</f>
        <v>2.054935077447039E-4</v>
      </c>
      <c r="G163" s="12">
        <f t="shared" si="11"/>
        <v>224.54085794573439</v>
      </c>
    </row>
    <row r="164" spans="2:7">
      <c r="B164" s="12">
        <v>46.17</v>
      </c>
      <c r="C164" s="12">
        <f t="shared" si="8"/>
        <v>4.6170000000000003E-2</v>
      </c>
      <c r="D164" s="12">
        <f t="shared" si="9"/>
        <v>3.2549850000000002E-3</v>
      </c>
      <c r="E164" s="12">
        <f t="shared" si="10"/>
        <v>1.4531183035714287E-4</v>
      </c>
      <c r="F164" s="12">
        <f>E164/Calculation!K$18*1000</f>
        <v>1.8839625203679464E-4</v>
      </c>
      <c r="G164" s="12">
        <f t="shared" si="11"/>
        <v>224.54676629213111</v>
      </c>
    </row>
    <row r="165" spans="2:7">
      <c r="B165" s="12">
        <v>0</v>
      </c>
      <c r="C165" s="12">
        <f t="shared" si="8"/>
        <v>0</v>
      </c>
      <c r="D165" s="12">
        <f t="shared" si="9"/>
        <v>0</v>
      </c>
      <c r="E165" s="12">
        <f t="shared" si="10"/>
        <v>0</v>
      </c>
      <c r="F165" s="12">
        <f>E165/Calculation!K$18*1000</f>
        <v>0</v>
      </c>
      <c r="G165" s="12">
        <f t="shared" si="11"/>
        <v>224.54959223591166</v>
      </c>
    </row>
    <row r="166" spans="2:7">
      <c r="B166" s="12">
        <v>36.93</v>
      </c>
      <c r="C166" s="12">
        <f t="shared" si="8"/>
        <v>3.6929999999999998E-2</v>
      </c>
      <c r="D166" s="12">
        <f t="shared" si="9"/>
        <v>2.603565E-3</v>
      </c>
      <c r="E166" s="12">
        <f t="shared" si="10"/>
        <v>1.1623058035714287E-4</v>
      </c>
      <c r="F166" s="12">
        <f>E166/Calculation!K$18*1000</f>
        <v>1.5069251868570123E-4</v>
      </c>
      <c r="G166" s="12">
        <f t="shared" si="11"/>
        <v>224.55185262369196</v>
      </c>
    </row>
    <row r="167" spans="2:7">
      <c r="B167" s="12">
        <v>1.68</v>
      </c>
      <c r="C167" s="12">
        <f t="shared" si="8"/>
        <v>1.6799999999999999E-3</v>
      </c>
      <c r="D167" s="12">
        <f t="shared" si="9"/>
        <v>1.1843999999999998E-4</v>
      </c>
      <c r="E167" s="12">
        <f t="shared" si="10"/>
        <v>5.2874999999999998E-6</v>
      </c>
      <c r="F167" s="12">
        <f>E167/Calculation!K$19*1000</f>
        <v>7.2880927869381572E-6</v>
      </c>
      <c r="G167" s="12">
        <f t="shared" si="11"/>
        <v>224.55422233286404</v>
      </c>
    </row>
    <row r="168" spans="2:7">
      <c r="B168" s="12">
        <v>45.33</v>
      </c>
      <c r="C168" s="12">
        <f t="shared" si="8"/>
        <v>4.5329999999999995E-2</v>
      </c>
      <c r="D168" s="12">
        <f t="shared" si="9"/>
        <v>3.1957649999999997E-3</v>
      </c>
      <c r="E168" s="12">
        <f t="shared" si="10"/>
        <v>1.4266808035714285E-4</v>
      </c>
      <c r="F168" s="12">
        <f>E168/Calculation!K$19*1000</f>
        <v>1.9664836073327778E-4</v>
      </c>
      <c r="G168" s="12">
        <f t="shared" si="11"/>
        <v>224.55728137966685</v>
      </c>
    </row>
    <row r="169" spans="2:7">
      <c r="B169" s="12">
        <v>15.11</v>
      </c>
      <c r="C169" s="12">
        <f t="shared" si="8"/>
        <v>1.511E-2</v>
      </c>
      <c r="D169" s="12">
        <f t="shared" si="9"/>
        <v>1.065255E-3</v>
      </c>
      <c r="E169" s="12">
        <f t="shared" si="10"/>
        <v>4.7556026785714289E-5</v>
      </c>
      <c r="F169" s="12">
        <f>E169/Calculation!K$19*1000</f>
        <v>6.5549453577759274E-5</v>
      </c>
      <c r="G169" s="12">
        <f t="shared" si="11"/>
        <v>224.56121434688151</v>
      </c>
    </row>
    <row r="170" spans="2:7">
      <c r="B170" s="12">
        <v>3.36</v>
      </c>
      <c r="C170" s="12">
        <f t="shared" si="8"/>
        <v>3.3599999999999997E-3</v>
      </c>
      <c r="D170" s="12">
        <f t="shared" si="9"/>
        <v>2.3687999999999997E-4</v>
      </c>
      <c r="E170" s="12">
        <f t="shared" si="10"/>
        <v>1.0575E-5</v>
      </c>
      <c r="F170" s="12">
        <f>E170/Calculation!K$19*1000</f>
        <v>1.4576185573876314E-5</v>
      </c>
      <c r="G170" s="12">
        <f t="shared" si="11"/>
        <v>224.56241623146877</v>
      </c>
    </row>
    <row r="171" spans="2:7">
      <c r="B171" s="12">
        <v>0.84</v>
      </c>
      <c r="C171" s="12">
        <f t="shared" si="8"/>
        <v>8.3999999999999993E-4</v>
      </c>
      <c r="D171" s="12">
        <f t="shared" si="9"/>
        <v>5.9219999999999992E-5</v>
      </c>
      <c r="E171" s="12">
        <f t="shared" si="10"/>
        <v>2.6437499999999999E-6</v>
      </c>
      <c r="F171" s="12">
        <f>E171/Calculation!K$19*1000</f>
        <v>3.6440463934690786E-6</v>
      </c>
      <c r="G171" s="12">
        <f t="shared" si="11"/>
        <v>224.56268953494828</v>
      </c>
    </row>
    <row r="172" spans="2:7">
      <c r="B172" s="12">
        <v>5.04</v>
      </c>
      <c r="C172" s="12">
        <f t="shared" ref="C172:C203" si="12">B172/1000</f>
        <v>5.0400000000000002E-3</v>
      </c>
      <c r="D172" s="12">
        <f t="shared" si="9"/>
        <v>3.5532000000000001E-4</v>
      </c>
      <c r="E172" s="12">
        <f t="shared" si="10"/>
        <v>1.5862500000000003E-5</v>
      </c>
      <c r="F172" s="12">
        <f>E172/Calculation!K$19*1000</f>
        <v>2.1864278360814477E-5</v>
      </c>
      <c r="G172" s="12">
        <f t="shared" si="11"/>
        <v>224.5630721598196</v>
      </c>
    </row>
    <row r="173" spans="2:7">
      <c r="B173" s="12">
        <v>4.2</v>
      </c>
      <c r="C173" s="12">
        <f t="shared" si="12"/>
        <v>4.2000000000000006E-3</v>
      </c>
      <c r="D173" s="12">
        <f t="shared" ref="D173:D203" si="13">C173/1000*$B$1</f>
        <v>2.9610000000000004E-4</v>
      </c>
      <c r="E173" s="12">
        <f t="shared" ref="E173:E203" si="14">D173/22.4</f>
        <v>1.3218750000000003E-5</v>
      </c>
      <c r="F173" s="12">
        <f>E173/Calculation!K$19*1000</f>
        <v>1.8220231967345399E-5</v>
      </c>
      <c r="G173" s="12">
        <f t="shared" ref="G173:G203" si="15">G172+(F173+F172)/2*30</f>
        <v>224.56367342747453</v>
      </c>
    </row>
    <row r="174" spans="2:7">
      <c r="B174" s="12">
        <v>5.88</v>
      </c>
      <c r="C174" s="12">
        <f t="shared" si="12"/>
        <v>5.8799999999999998E-3</v>
      </c>
      <c r="D174" s="12">
        <f t="shared" si="13"/>
        <v>4.1453999999999997E-4</v>
      </c>
      <c r="E174" s="12">
        <f t="shared" si="14"/>
        <v>1.8506249999999999E-5</v>
      </c>
      <c r="F174" s="12">
        <f>E174/Calculation!K$19*1000</f>
        <v>2.5508324754283551E-5</v>
      </c>
      <c r="G174" s="12">
        <f t="shared" si="15"/>
        <v>224.56432935582535</v>
      </c>
    </row>
    <row r="175" spans="2:7">
      <c r="B175" s="12">
        <v>41.97</v>
      </c>
      <c r="C175" s="12">
        <f t="shared" si="12"/>
        <v>4.197E-2</v>
      </c>
      <c r="D175" s="12">
        <f t="shared" si="13"/>
        <v>2.9588850000000001E-3</v>
      </c>
      <c r="E175" s="12">
        <f t="shared" si="14"/>
        <v>1.3209308035714288E-4</v>
      </c>
      <c r="F175" s="12">
        <f>E175/Calculation!K$19*1000</f>
        <v>1.820721751594015E-4</v>
      </c>
      <c r="G175" s="12">
        <f t="shared" si="15"/>
        <v>224.56744306332405</v>
      </c>
    </row>
    <row r="176" spans="2:7">
      <c r="B176" s="12">
        <v>14.27</v>
      </c>
      <c r="C176" s="12">
        <f t="shared" si="12"/>
        <v>1.427E-2</v>
      </c>
      <c r="D176" s="12">
        <f t="shared" si="13"/>
        <v>1.006035E-3</v>
      </c>
      <c r="E176" s="12">
        <f t="shared" si="14"/>
        <v>4.4912276785714289E-5</v>
      </c>
      <c r="F176" s="12">
        <f>E176/Calculation!K$19*1000</f>
        <v>6.1905407184290189E-5</v>
      </c>
      <c r="G176" s="12">
        <f t="shared" si="15"/>
        <v>224.57110272705921</v>
      </c>
    </row>
    <row r="177" spans="2:7">
      <c r="B177" s="12">
        <v>2.52</v>
      </c>
      <c r="C177" s="12">
        <f t="shared" si="12"/>
        <v>2.5200000000000001E-3</v>
      </c>
      <c r="D177" s="12">
        <f t="shared" si="13"/>
        <v>1.7766E-4</v>
      </c>
      <c r="E177" s="12">
        <f t="shared" si="14"/>
        <v>7.9312500000000014E-6</v>
      </c>
      <c r="F177" s="12">
        <f>E177/Calculation!K$19*1000</f>
        <v>1.0932139180407238E-5</v>
      </c>
      <c r="G177" s="12">
        <f t="shared" si="15"/>
        <v>224.57219529025468</v>
      </c>
    </row>
    <row r="178" spans="2:7">
      <c r="B178" s="12">
        <v>1.68</v>
      </c>
      <c r="C178" s="12">
        <f t="shared" si="12"/>
        <v>1.6799999999999999E-3</v>
      </c>
      <c r="D178" s="12">
        <f t="shared" si="13"/>
        <v>1.1843999999999998E-4</v>
      </c>
      <c r="E178" s="12">
        <f t="shared" si="14"/>
        <v>5.2874999999999998E-6</v>
      </c>
      <c r="F178" s="12">
        <f>E178/Calculation!K$19*1000</f>
        <v>7.2880927869381572E-6</v>
      </c>
      <c r="G178" s="12">
        <f t="shared" si="15"/>
        <v>224.57246859373419</v>
      </c>
    </row>
    <row r="179" spans="2:7">
      <c r="B179" s="12">
        <v>67.150000000000006</v>
      </c>
      <c r="C179" s="12">
        <f t="shared" si="12"/>
        <v>6.7150000000000001E-2</v>
      </c>
      <c r="D179" s="12">
        <f t="shared" si="13"/>
        <v>4.7340750000000008E-3</v>
      </c>
      <c r="E179" s="12">
        <f t="shared" si="14"/>
        <v>2.1134263392857147E-4</v>
      </c>
      <c r="F179" s="12">
        <f>E179/Calculation!K$19*1000</f>
        <v>2.9130680395410562E-4</v>
      </c>
      <c r="G179" s="12">
        <f t="shared" si="15"/>
        <v>224.57694751718529</v>
      </c>
    </row>
    <row r="180" spans="2:7">
      <c r="B180" s="12">
        <v>68.83</v>
      </c>
      <c r="C180" s="12">
        <f t="shared" si="12"/>
        <v>6.8830000000000002E-2</v>
      </c>
      <c r="D180" s="12">
        <f t="shared" si="13"/>
        <v>4.852515E-3</v>
      </c>
      <c r="E180" s="12">
        <f t="shared" si="14"/>
        <v>2.1663013392857143E-4</v>
      </c>
      <c r="F180" s="12">
        <f>E180/Calculation!K$19*1000</f>
        <v>2.9859489674104373E-4</v>
      </c>
      <c r="G180" s="12">
        <f t="shared" si="15"/>
        <v>224.5857960426957</v>
      </c>
    </row>
    <row r="181" spans="2:7">
      <c r="B181" s="12">
        <v>57.92</v>
      </c>
      <c r="C181" s="12">
        <f t="shared" si="12"/>
        <v>5.7919999999999999E-2</v>
      </c>
      <c r="D181" s="12">
        <f t="shared" si="13"/>
        <v>4.0833600000000003E-3</v>
      </c>
      <c r="E181" s="12">
        <f t="shared" si="14"/>
        <v>1.8229285714285718E-4</v>
      </c>
      <c r="F181" s="12">
        <f>E181/Calculation!K$19*1000</f>
        <v>2.5126567513062987E-4</v>
      </c>
      <c r="G181" s="12">
        <f t="shared" si="15"/>
        <v>224.59404395127379</v>
      </c>
    </row>
    <row r="182" spans="2:7">
      <c r="B182" s="12">
        <v>66.31</v>
      </c>
      <c r="C182" s="12">
        <f t="shared" si="12"/>
        <v>6.6310000000000008E-2</v>
      </c>
      <c r="D182" s="12">
        <f t="shared" si="13"/>
        <v>4.6748550000000003E-3</v>
      </c>
      <c r="E182" s="12">
        <f t="shared" si="14"/>
        <v>2.0869888392857145E-4</v>
      </c>
      <c r="F182" s="12">
        <f>E182/Calculation!K$19*1000</f>
        <v>2.8766275756063645E-4</v>
      </c>
      <c r="G182" s="12">
        <f t="shared" si="15"/>
        <v>224.60212787776416</v>
      </c>
    </row>
    <row r="183" spans="2:7">
      <c r="B183" s="12">
        <v>63.79</v>
      </c>
      <c r="C183" s="12">
        <f t="shared" si="12"/>
        <v>6.3789999999999999E-2</v>
      </c>
      <c r="D183" s="12">
        <f t="shared" si="13"/>
        <v>4.4971949999999998E-3</v>
      </c>
      <c r="E183" s="12">
        <f t="shared" si="14"/>
        <v>2.0076763392857144E-4</v>
      </c>
      <c r="F183" s="12">
        <f>E183/Calculation!K$19*1000</f>
        <v>2.7673061838022928E-4</v>
      </c>
      <c r="G183" s="12">
        <f t="shared" si="15"/>
        <v>224.61059377840328</v>
      </c>
    </row>
    <row r="184" spans="2:7">
      <c r="B184" s="12">
        <v>15.95</v>
      </c>
      <c r="C184" s="12">
        <f t="shared" si="12"/>
        <v>1.5949999999999999E-2</v>
      </c>
      <c r="D184" s="12">
        <f t="shared" si="13"/>
        <v>1.1244749999999998E-3</v>
      </c>
      <c r="E184" s="12">
        <f t="shared" si="14"/>
        <v>5.0199776785714282E-5</v>
      </c>
      <c r="F184" s="12">
        <f>E184/Calculation!K$19*1000</f>
        <v>6.9193499971228331E-5</v>
      </c>
      <c r="G184" s="12">
        <f t="shared" si="15"/>
        <v>224.61578264017857</v>
      </c>
    </row>
    <row r="185" spans="2:7">
      <c r="B185" s="12">
        <v>22.66</v>
      </c>
      <c r="C185" s="12">
        <f t="shared" si="12"/>
        <v>2.266E-2</v>
      </c>
      <c r="D185" s="12">
        <f t="shared" si="13"/>
        <v>1.59753E-3</v>
      </c>
      <c r="E185" s="12">
        <f t="shared" si="14"/>
        <v>7.1318303571428571E-5</v>
      </c>
      <c r="F185" s="12">
        <f>E185/Calculation!K$19*1000</f>
        <v>9.8302489614296814E-5</v>
      </c>
      <c r="G185" s="12">
        <f t="shared" si="15"/>
        <v>224.61829508002234</v>
      </c>
    </row>
    <row r="186" spans="2:7">
      <c r="B186" s="12">
        <v>2.52</v>
      </c>
      <c r="C186" s="12">
        <f t="shared" si="12"/>
        <v>2.5200000000000001E-3</v>
      </c>
      <c r="D186" s="12">
        <f t="shared" si="13"/>
        <v>1.7766E-4</v>
      </c>
      <c r="E186" s="12">
        <f t="shared" si="14"/>
        <v>7.9312500000000014E-6</v>
      </c>
      <c r="F186" s="12">
        <f>E186/Calculation!K$19*1000</f>
        <v>1.0932139180407238E-5</v>
      </c>
      <c r="G186" s="12">
        <f t="shared" si="15"/>
        <v>224.61993359945424</v>
      </c>
    </row>
    <row r="187" spans="2:7">
      <c r="B187" s="12">
        <v>19.309999999999999</v>
      </c>
      <c r="C187" s="12">
        <f t="shared" si="12"/>
        <v>1.9309999999999997E-2</v>
      </c>
      <c r="D187" s="12">
        <f t="shared" si="13"/>
        <v>1.3613549999999996E-3</v>
      </c>
      <c r="E187" s="12">
        <f t="shared" si="14"/>
        <v>6.0774776785714274E-5</v>
      </c>
      <c r="F187" s="12">
        <f>E187/Calculation!K$19*1000</f>
        <v>8.3769685545104656E-5</v>
      </c>
      <c r="G187" s="12">
        <f t="shared" si="15"/>
        <v>224.62135412682514</v>
      </c>
    </row>
    <row r="188" spans="2:7">
      <c r="B188" s="12">
        <v>6.72</v>
      </c>
      <c r="C188" s="12">
        <f t="shared" si="12"/>
        <v>6.7199999999999994E-3</v>
      </c>
      <c r="D188" s="12">
        <f t="shared" si="13"/>
        <v>4.7375999999999994E-4</v>
      </c>
      <c r="E188" s="12">
        <f t="shared" si="14"/>
        <v>2.1149999999999999E-5</v>
      </c>
      <c r="F188" s="12">
        <f>E188/Calculation!K$19*1000</f>
        <v>2.9152371147752629E-5</v>
      </c>
      <c r="G188" s="12">
        <f t="shared" si="15"/>
        <v>224.62304795767554</v>
      </c>
    </row>
    <row r="189" spans="2:7">
      <c r="B189" s="12">
        <v>60.44</v>
      </c>
      <c r="C189" s="12">
        <f t="shared" si="12"/>
        <v>6.0440000000000001E-2</v>
      </c>
      <c r="D189" s="12">
        <f t="shared" si="13"/>
        <v>4.2610199999999999E-3</v>
      </c>
      <c r="E189" s="12">
        <f t="shared" si="14"/>
        <v>1.9022410714285715E-4</v>
      </c>
      <c r="F189" s="12">
        <f>E189/Calculation!K$19*1000</f>
        <v>2.621978143110371E-4</v>
      </c>
      <c r="G189" s="12">
        <f t="shared" si="15"/>
        <v>224.62741821045742</v>
      </c>
    </row>
    <row r="190" spans="2:7">
      <c r="B190" s="12">
        <v>5.04</v>
      </c>
      <c r="C190" s="12">
        <f t="shared" si="12"/>
        <v>5.0400000000000002E-3</v>
      </c>
      <c r="D190" s="12">
        <f t="shared" si="13"/>
        <v>3.5532000000000001E-4</v>
      </c>
      <c r="E190" s="12">
        <f t="shared" si="14"/>
        <v>1.5862500000000003E-5</v>
      </c>
      <c r="F190" s="12">
        <f>E190/Calculation!K$19*1000</f>
        <v>2.1864278360814477E-5</v>
      </c>
      <c r="G190" s="12">
        <f t="shared" si="15"/>
        <v>224.63167914184748</v>
      </c>
    </row>
    <row r="191" spans="2:7">
      <c r="B191" s="12">
        <v>6.72</v>
      </c>
      <c r="C191" s="12">
        <f t="shared" si="12"/>
        <v>6.7199999999999994E-3</v>
      </c>
      <c r="D191" s="12">
        <f t="shared" si="13"/>
        <v>4.7375999999999994E-4</v>
      </c>
      <c r="E191" s="12">
        <f t="shared" si="14"/>
        <v>2.1149999999999999E-5</v>
      </c>
      <c r="F191" s="12">
        <f>E191/Calculation!K$19*1000</f>
        <v>2.9152371147752629E-5</v>
      </c>
      <c r="G191" s="12">
        <f t="shared" si="15"/>
        <v>224.63244439159013</v>
      </c>
    </row>
    <row r="192" spans="2:7">
      <c r="B192" s="12">
        <v>42.81</v>
      </c>
      <c r="C192" s="12">
        <f t="shared" si="12"/>
        <v>4.2810000000000001E-2</v>
      </c>
      <c r="D192" s="12">
        <f t="shared" si="13"/>
        <v>3.0181050000000001E-3</v>
      </c>
      <c r="E192" s="12">
        <f t="shared" si="14"/>
        <v>1.3473683035714287E-4</v>
      </c>
      <c r="F192" s="12">
        <f>E192/Calculation!K$19*1000</f>
        <v>1.8571622155287058E-4</v>
      </c>
      <c r="G192" s="12">
        <f t="shared" si="15"/>
        <v>224.63566742048064</v>
      </c>
    </row>
    <row r="193" spans="2:7">
      <c r="B193" s="12">
        <v>9.23</v>
      </c>
      <c r="C193" s="12">
        <f t="shared" si="12"/>
        <v>9.2300000000000004E-3</v>
      </c>
      <c r="D193" s="12">
        <f t="shared" si="13"/>
        <v>6.5071499999999995E-4</v>
      </c>
      <c r="E193" s="12">
        <f t="shared" si="14"/>
        <v>2.9049776785714286E-5</v>
      </c>
      <c r="F193" s="12">
        <f>E193/Calculation!K$19*1000</f>
        <v>4.0041128823475709E-5</v>
      </c>
      <c r="G193" s="12">
        <f t="shared" si="15"/>
        <v>224.63905378073628</v>
      </c>
    </row>
    <row r="194" spans="2:7">
      <c r="B194" s="12">
        <v>0</v>
      </c>
      <c r="C194" s="12">
        <f t="shared" si="12"/>
        <v>0</v>
      </c>
      <c r="D194" s="12">
        <f t="shared" si="13"/>
        <v>0</v>
      </c>
      <c r="E194" s="12">
        <f t="shared" si="14"/>
        <v>0</v>
      </c>
      <c r="F194" s="12">
        <f>E194/Calculation!K$19*1000</f>
        <v>0</v>
      </c>
      <c r="G194" s="12">
        <f t="shared" si="15"/>
        <v>224.63965439766864</v>
      </c>
    </row>
    <row r="195" spans="2:7">
      <c r="B195" s="12">
        <v>7.55</v>
      </c>
      <c r="C195" s="12">
        <f t="shared" si="12"/>
        <v>7.5499999999999994E-3</v>
      </c>
      <c r="D195" s="12">
        <f t="shared" si="13"/>
        <v>5.3227500000000002E-4</v>
      </c>
      <c r="E195" s="12">
        <f t="shared" si="14"/>
        <v>2.376227678571429E-5</v>
      </c>
      <c r="F195" s="12">
        <f>E195/Calculation!K$19*1000</f>
        <v>3.275303603653756E-5</v>
      </c>
      <c r="G195" s="12">
        <f t="shared" si="15"/>
        <v>224.64014569320918</v>
      </c>
    </row>
    <row r="196" spans="2:7">
      <c r="B196" s="12">
        <v>0</v>
      </c>
      <c r="C196" s="12">
        <f t="shared" si="12"/>
        <v>0</v>
      </c>
      <c r="D196" s="12">
        <f t="shared" si="13"/>
        <v>0</v>
      </c>
      <c r="E196" s="12">
        <f t="shared" si="14"/>
        <v>0</v>
      </c>
      <c r="F196" s="12">
        <f>E196/Calculation!K$19*1000</f>
        <v>0</v>
      </c>
      <c r="G196" s="12">
        <f t="shared" si="15"/>
        <v>224.64063698874972</v>
      </c>
    </row>
    <row r="197" spans="2:7">
      <c r="B197" s="12">
        <v>5.88</v>
      </c>
      <c r="C197" s="12">
        <f t="shared" si="12"/>
        <v>5.8799999999999998E-3</v>
      </c>
      <c r="D197" s="12">
        <f t="shared" si="13"/>
        <v>4.1453999999999997E-4</v>
      </c>
      <c r="E197" s="12">
        <f t="shared" si="14"/>
        <v>1.8506249999999999E-5</v>
      </c>
      <c r="F197" s="12">
        <f>E197/Calculation!K$19*1000</f>
        <v>2.5508324754283551E-5</v>
      </c>
      <c r="G197" s="12">
        <f t="shared" si="15"/>
        <v>224.64101961362104</v>
      </c>
    </row>
    <row r="198" spans="2:7">
      <c r="B198" s="12">
        <v>11.75</v>
      </c>
      <c r="C198" s="12">
        <f t="shared" si="12"/>
        <v>1.175E-2</v>
      </c>
      <c r="D198" s="12">
        <f t="shared" si="13"/>
        <v>8.283749999999999E-4</v>
      </c>
      <c r="E198" s="12">
        <f t="shared" si="14"/>
        <v>3.6981026785714282E-5</v>
      </c>
      <c r="F198" s="12">
        <f>E198/Calculation!K$19*1000</f>
        <v>5.0973268003882949E-5</v>
      </c>
      <c r="G198" s="12">
        <f t="shared" si="15"/>
        <v>224.64216683751241</v>
      </c>
    </row>
    <row r="199" spans="2:7">
      <c r="B199" s="12">
        <v>0</v>
      </c>
      <c r="C199" s="12">
        <f t="shared" si="12"/>
        <v>0</v>
      </c>
      <c r="D199" s="12">
        <f t="shared" si="13"/>
        <v>0</v>
      </c>
      <c r="E199" s="12">
        <f t="shared" si="14"/>
        <v>0</v>
      </c>
      <c r="F199" s="12">
        <f>E199/Calculation!K$19*1000</f>
        <v>0</v>
      </c>
      <c r="G199" s="12">
        <f t="shared" si="15"/>
        <v>224.64293143653245</v>
      </c>
    </row>
    <row r="200" spans="2:7">
      <c r="B200" s="12">
        <v>5.04</v>
      </c>
      <c r="C200" s="12">
        <f t="shared" si="12"/>
        <v>5.0400000000000002E-3</v>
      </c>
      <c r="D200" s="12">
        <f t="shared" si="13"/>
        <v>3.5532000000000001E-4</v>
      </c>
      <c r="E200" s="12">
        <f t="shared" si="14"/>
        <v>1.5862500000000003E-5</v>
      </c>
      <c r="F200" s="12">
        <f>E200/Calculation!K$19*1000</f>
        <v>2.1864278360814477E-5</v>
      </c>
      <c r="G200" s="12">
        <f t="shared" si="15"/>
        <v>224.64325940070788</v>
      </c>
    </row>
    <row r="201" spans="2:7">
      <c r="B201" s="12">
        <v>31.06</v>
      </c>
      <c r="C201" s="12">
        <f t="shared" si="12"/>
        <v>3.1059999999999997E-2</v>
      </c>
      <c r="D201" s="12">
        <f t="shared" si="13"/>
        <v>2.18973E-3</v>
      </c>
      <c r="E201" s="12">
        <f t="shared" si="14"/>
        <v>9.775580357142857E-5</v>
      </c>
      <c r="F201" s="12">
        <f>E201/Calculation!K$19*1000</f>
        <v>1.3474295354898761E-4</v>
      </c>
      <c r="G201" s="12">
        <f t="shared" si="15"/>
        <v>224.64560850918653</v>
      </c>
    </row>
    <row r="202" spans="2:7">
      <c r="B202" s="12">
        <v>9.23</v>
      </c>
      <c r="C202" s="12">
        <f t="shared" si="12"/>
        <v>9.2300000000000004E-3</v>
      </c>
      <c r="D202" s="12">
        <f t="shared" si="13"/>
        <v>6.5071499999999995E-4</v>
      </c>
      <c r="E202" s="12">
        <f t="shared" si="14"/>
        <v>2.9049776785714286E-5</v>
      </c>
      <c r="F202" s="12">
        <f>E202/Calculation!K$19*1000</f>
        <v>4.0041128823475709E-5</v>
      </c>
      <c r="G202" s="12">
        <f t="shared" si="15"/>
        <v>224.64823027042212</v>
      </c>
    </row>
    <row r="203" spans="2:7">
      <c r="B203" s="12">
        <v>12.59</v>
      </c>
      <c r="C203" s="12">
        <f t="shared" si="12"/>
        <v>1.259E-2</v>
      </c>
      <c r="D203" s="12">
        <f t="shared" si="13"/>
        <v>8.8759500000000003E-4</v>
      </c>
      <c r="E203" s="12">
        <f t="shared" si="14"/>
        <v>3.9624776785714289E-5</v>
      </c>
      <c r="F203" s="12">
        <f>E203/Calculation!K$20*1000</f>
        <v>5.8947198848880629E-5</v>
      </c>
      <c r="G203" s="12">
        <f t="shared" si="15"/>
        <v>224.6497150953372</v>
      </c>
    </row>
  </sheetData>
  <mergeCells count="5">
    <mergeCell ref="A3:A4"/>
    <mergeCell ref="B3:C3"/>
    <mergeCell ref="D3:F3"/>
    <mergeCell ref="B105:C105"/>
    <mergeCell ref="D105:F10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G202"/>
  <sheetViews>
    <sheetView topLeftCell="A190" zoomScale="98" zoomScaleNormal="98" zoomScalePageLayoutView="98" workbookViewId="0">
      <selection activeCell="G202" sqref="G202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7">
      <c r="A1" s="8" t="s">
        <v>49</v>
      </c>
      <c r="B1" s="9">
        <v>70.5</v>
      </c>
      <c r="C1" s="9" t="s">
        <v>50</v>
      </c>
    </row>
    <row r="3" spans="1:7">
      <c r="A3" s="96" t="s">
        <v>5</v>
      </c>
      <c r="B3" s="96" t="s">
        <v>36</v>
      </c>
      <c r="C3" s="96"/>
      <c r="D3" s="96" t="s">
        <v>51</v>
      </c>
      <c r="E3" s="96"/>
      <c r="F3" s="96"/>
      <c r="G3" s="8" t="s">
        <v>52</v>
      </c>
    </row>
    <row r="4" spans="1:7">
      <c r="A4" s="96"/>
      <c r="B4" s="8" t="s">
        <v>53</v>
      </c>
      <c r="C4" s="8" t="s">
        <v>54</v>
      </c>
      <c r="D4" s="8" t="s">
        <v>55</v>
      </c>
      <c r="E4" s="8" t="s">
        <v>56</v>
      </c>
      <c r="F4" s="8" t="s">
        <v>57</v>
      </c>
      <c r="G4" s="8" t="s">
        <v>58</v>
      </c>
    </row>
    <row r="5" spans="1:7">
      <c r="A5" s="36">
        <v>0</v>
      </c>
      <c r="B5" s="12">
        <v>2584.52</v>
      </c>
      <c r="C5" s="37">
        <f>B5/1000</f>
        <v>2.5845199999999999</v>
      </c>
      <c r="D5" s="12">
        <f>C5/1000*$B$1</f>
        <v>0.18220865999999999</v>
      </c>
      <c r="E5" s="12">
        <f>D5/22.4</f>
        <v>8.1343151785714281E-3</v>
      </c>
      <c r="F5" s="12">
        <f>E5/Calculation!K$4*1000</f>
        <v>5.5712958133409081E-3</v>
      </c>
      <c r="G5" s="12">
        <f>(0+F5)/2*30</f>
        <v>8.3569437200113617E-2</v>
      </c>
    </row>
    <row r="6" spans="1:7">
      <c r="A6" s="36">
        <v>0.5</v>
      </c>
      <c r="B6" s="12">
        <v>5481.05</v>
      </c>
      <c r="C6" s="37">
        <f t="shared" ref="C6:C69" si="0">B6/1000</f>
        <v>5.4810499999999998</v>
      </c>
      <c r="D6" s="12">
        <f t="shared" ref="D6:D69" si="1">C6/1000*$B$1</f>
        <v>0.38641402499999994</v>
      </c>
      <c r="E6" s="12">
        <f t="shared" ref="E6:E69" si="2">D6/22.4</f>
        <v>1.7250626116071428E-2</v>
      </c>
      <c r="F6" s="12">
        <f>E6/Calculation!K$4*1000</f>
        <v>1.181517299835644E-2</v>
      </c>
      <c r="G6" s="12">
        <f>G5+(F6+F5)/2*30</f>
        <v>0.3443664693755738</v>
      </c>
    </row>
    <row r="7" spans="1:7">
      <c r="A7" s="36">
        <v>1</v>
      </c>
      <c r="B7" s="12">
        <v>5253.5</v>
      </c>
      <c r="C7" s="37">
        <f t="shared" si="0"/>
        <v>5.2534999999999998</v>
      </c>
      <c r="D7" s="12">
        <f t="shared" si="1"/>
        <v>0.37037174999999994</v>
      </c>
      <c r="E7" s="12">
        <f t="shared" si="2"/>
        <v>1.6534453124999998E-2</v>
      </c>
      <c r="F7" s="12">
        <f>E7/Calculation!K$4*1000</f>
        <v>1.1324657017700177E-2</v>
      </c>
      <c r="G7" s="12">
        <f>G6+(F7+F6)/2*30</f>
        <v>0.69146391961642295</v>
      </c>
    </row>
    <row r="8" spans="1:7">
      <c r="A8" s="36">
        <v>1.5</v>
      </c>
      <c r="B8" s="12">
        <v>5168.0600000000004</v>
      </c>
      <c r="C8" s="37">
        <f t="shared" si="0"/>
        <v>5.1680600000000005</v>
      </c>
      <c r="D8" s="12">
        <f t="shared" si="1"/>
        <v>0.36434823000000005</v>
      </c>
      <c r="E8" s="12">
        <f t="shared" si="2"/>
        <v>1.6265545982142859E-2</v>
      </c>
      <c r="F8" s="12">
        <f>E8/Calculation!K$4*1000</f>
        <v>1.1140479099056933E-2</v>
      </c>
      <c r="G8" s="12">
        <f t="shared" ref="G8:G70" si="3">G7+(F8+F7)/2*30</f>
        <v>1.0284409613677796</v>
      </c>
    </row>
    <row r="9" spans="1:7">
      <c r="A9" s="36">
        <v>2</v>
      </c>
      <c r="B9" s="12">
        <v>4945.21</v>
      </c>
      <c r="C9" s="37">
        <f t="shared" si="0"/>
        <v>4.9452100000000003</v>
      </c>
      <c r="D9" s="12">
        <f t="shared" si="1"/>
        <v>0.34863730500000001</v>
      </c>
      <c r="E9" s="12">
        <f t="shared" si="2"/>
        <v>1.5564165401785715E-2</v>
      </c>
      <c r="F9" s="12">
        <f>E9/Calculation!K$5*1000</f>
        <v>1.1022220985243095E-2</v>
      </c>
      <c r="G9" s="12">
        <f t="shared" si="3"/>
        <v>1.36088146263228</v>
      </c>
    </row>
    <row r="10" spans="1:7">
      <c r="A10" s="36">
        <v>2.5</v>
      </c>
      <c r="B10" s="12">
        <v>4845.8100000000004</v>
      </c>
      <c r="C10" s="37">
        <f t="shared" si="0"/>
        <v>4.8458100000000002</v>
      </c>
      <c r="D10" s="12">
        <f t="shared" si="1"/>
        <v>0.341629605</v>
      </c>
      <c r="E10" s="12">
        <f t="shared" si="2"/>
        <v>1.5251321651785716E-2</v>
      </c>
      <c r="F10" s="12">
        <f>E10/Calculation!K$5*1000</f>
        <v>1.0800671492717366E-2</v>
      </c>
      <c r="G10" s="12">
        <f t="shared" si="3"/>
        <v>1.688224849801687</v>
      </c>
    </row>
    <row r="11" spans="1:7">
      <c r="A11" s="36">
        <v>3</v>
      </c>
      <c r="B11" s="12">
        <v>4637.74</v>
      </c>
      <c r="C11" s="37">
        <f t="shared" si="0"/>
        <v>4.63774</v>
      </c>
      <c r="D11" s="12">
        <f t="shared" si="1"/>
        <v>0.32696066999999995</v>
      </c>
      <c r="E11" s="12">
        <f t="shared" si="2"/>
        <v>1.4596458482142857E-2</v>
      </c>
      <c r="F11" s="12">
        <f>E11/Calculation!K$5*1000</f>
        <v>1.0336910900063154E-2</v>
      </c>
      <c r="G11" s="12">
        <f t="shared" si="3"/>
        <v>2.0052885856933949</v>
      </c>
    </row>
    <row r="12" spans="1:7">
      <c r="A12" s="36">
        <v>3.5</v>
      </c>
      <c r="B12" s="12">
        <v>4510.8900000000003</v>
      </c>
      <c r="C12" s="37">
        <f t="shared" si="0"/>
        <v>4.5108900000000007</v>
      </c>
      <c r="D12" s="12">
        <f t="shared" si="1"/>
        <v>0.31801774500000007</v>
      </c>
      <c r="E12" s="12">
        <f t="shared" si="2"/>
        <v>1.4197220758928576E-2</v>
      </c>
      <c r="F12" s="12">
        <f>E12/Calculation!K$6*1000</f>
        <v>1.0392505409557247E-2</v>
      </c>
      <c r="G12" s="12">
        <f t="shared" si="3"/>
        <v>2.3162298303377007</v>
      </c>
    </row>
    <row r="13" spans="1:7">
      <c r="A13" s="36">
        <v>4</v>
      </c>
      <c r="B13" s="12">
        <v>4517.22</v>
      </c>
      <c r="C13" s="37">
        <f t="shared" si="0"/>
        <v>4.51722</v>
      </c>
      <c r="D13" s="12">
        <f t="shared" si="1"/>
        <v>0.31846400999999996</v>
      </c>
      <c r="E13" s="12">
        <f t="shared" si="2"/>
        <v>1.4217143303571428E-2</v>
      </c>
      <c r="F13" s="12">
        <f>E13/Calculation!K$6*1000</f>
        <v>1.0407088908432741E-2</v>
      </c>
      <c r="G13" s="12">
        <f t="shared" si="3"/>
        <v>2.6282237451075505</v>
      </c>
    </row>
    <row r="14" spans="1:7">
      <c r="A14" s="36">
        <v>4.5</v>
      </c>
      <c r="B14" s="12">
        <v>4771.09</v>
      </c>
      <c r="C14" s="37">
        <f t="shared" si="0"/>
        <v>4.7710900000000001</v>
      </c>
      <c r="D14" s="12">
        <f t="shared" si="1"/>
        <v>0.33636184500000005</v>
      </c>
      <c r="E14" s="12">
        <f t="shared" si="2"/>
        <v>1.5016153794642861E-2</v>
      </c>
      <c r="F14" s="12">
        <f>E14/Calculation!K$6*1000</f>
        <v>1.0991972456540612E-2</v>
      </c>
      <c r="G14" s="12">
        <f t="shared" si="3"/>
        <v>2.9492096655821509</v>
      </c>
    </row>
    <row r="15" spans="1:7">
      <c r="A15" s="36">
        <v>5</v>
      </c>
      <c r="B15" s="12">
        <v>5185.6000000000004</v>
      </c>
      <c r="C15" s="37">
        <f t="shared" si="0"/>
        <v>5.1856</v>
      </c>
      <c r="D15" s="12">
        <f t="shared" si="1"/>
        <v>0.36558480000000004</v>
      </c>
      <c r="E15" s="12">
        <f t="shared" si="2"/>
        <v>1.6320750000000002E-2</v>
      </c>
      <c r="F15" s="12">
        <f>E15/Calculation!K$7*1000</f>
        <v>1.2400172402018688E-2</v>
      </c>
      <c r="G15" s="12">
        <f t="shared" si="3"/>
        <v>3.3000918384605402</v>
      </c>
    </row>
    <row r="16" spans="1:7">
      <c r="A16" s="36">
        <v>5.5</v>
      </c>
      <c r="B16" s="12">
        <v>5610.83</v>
      </c>
      <c r="C16" s="37">
        <f t="shared" si="0"/>
        <v>5.61083</v>
      </c>
      <c r="D16" s="12">
        <f t="shared" si="1"/>
        <v>0.39556351499999998</v>
      </c>
      <c r="E16" s="12">
        <f t="shared" si="2"/>
        <v>1.7659085491071428E-2</v>
      </c>
      <c r="F16" s="12">
        <f>E16/Calculation!K$7*1000</f>
        <v>1.341701236470582E-2</v>
      </c>
      <c r="G16" s="12">
        <f t="shared" si="3"/>
        <v>3.6873496099614078</v>
      </c>
    </row>
    <row r="17" spans="1:7">
      <c r="A17" s="36">
        <v>6</v>
      </c>
      <c r="B17" s="12">
        <v>6443.75</v>
      </c>
      <c r="C17" s="37">
        <f t="shared" si="0"/>
        <v>6.4437499999999996</v>
      </c>
      <c r="D17" s="12">
        <f t="shared" si="1"/>
        <v>0.45428437499999996</v>
      </c>
      <c r="E17" s="12">
        <f t="shared" si="2"/>
        <v>2.0280552455357141E-2</v>
      </c>
      <c r="F17" s="12">
        <f>E17/Calculation!K$8*1000</f>
        <v>1.6118041044467377E-2</v>
      </c>
      <c r="G17" s="12">
        <f t="shared" si="3"/>
        <v>4.1303754110990054</v>
      </c>
    </row>
    <row r="18" spans="1:7">
      <c r="A18" s="36">
        <v>6.5</v>
      </c>
      <c r="B18" s="12">
        <v>6397.3</v>
      </c>
      <c r="C18" s="37">
        <f t="shared" si="0"/>
        <v>6.3973000000000004</v>
      </c>
      <c r="D18" s="12">
        <f t="shared" si="1"/>
        <v>0.45100965000000004</v>
      </c>
      <c r="E18" s="12">
        <f t="shared" si="2"/>
        <v>2.0134359375000004E-2</v>
      </c>
      <c r="F18" s="12">
        <f>E18/Calculation!K$8*1000</f>
        <v>1.6001853574979037E-2</v>
      </c>
      <c r="G18" s="12">
        <f t="shared" si="3"/>
        <v>4.6121738303907014</v>
      </c>
    </row>
    <row r="19" spans="1:7">
      <c r="A19" s="36">
        <v>7</v>
      </c>
      <c r="B19" s="12">
        <v>5992.21</v>
      </c>
      <c r="C19" s="37">
        <f t="shared" si="0"/>
        <v>5.99221</v>
      </c>
      <c r="D19" s="12">
        <f t="shared" si="1"/>
        <v>0.42245080500000004</v>
      </c>
      <c r="E19" s="12">
        <f t="shared" si="2"/>
        <v>1.8859410937500001E-2</v>
      </c>
      <c r="F19" s="12">
        <f>E19/Calculation!K$8*1000</f>
        <v>1.498858377917639E-2</v>
      </c>
      <c r="G19" s="12">
        <f t="shared" si="3"/>
        <v>5.0770303907030332</v>
      </c>
    </row>
    <row r="20" spans="1:7">
      <c r="A20" s="36">
        <v>7.5</v>
      </c>
      <c r="B20" s="12">
        <v>6096.81</v>
      </c>
      <c r="C20" s="37">
        <f t="shared" si="0"/>
        <v>6.0968100000000005</v>
      </c>
      <c r="D20" s="12">
        <f t="shared" si="1"/>
        <v>0.42982510500000004</v>
      </c>
      <c r="E20" s="12">
        <f t="shared" si="2"/>
        <v>1.9188620758928573E-2</v>
      </c>
      <c r="F20" s="12">
        <f>E20/Calculation!K$9*1000</f>
        <v>1.5853198731417367E-2</v>
      </c>
      <c r="G20" s="12">
        <f t="shared" si="3"/>
        <v>5.5396571283619398</v>
      </c>
    </row>
    <row r="21" spans="1:7">
      <c r="A21" s="36">
        <v>8</v>
      </c>
      <c r="B21" s="12">
        <v>6589.94</v>
      </c>
      <c r="C21" s="37">
        <f t="shared" si="0"/>
        <v>6.5899399999999995</v>
      </c>
      <c r="D21" s="12">
        <f t="shared" si="1"/>
        <v>0.46459076999999999</v>
      </c>
      <c r="E21" s="12">
        <f t="shared" si="2"/>
        <v>2.0740659375000001E-2</v>
      </c>
      <c r="F21" s="12">
        <f>E21/Calculation!K$9*1000</f>
        <v>1.7135457468432928E-2</v>
      </c>
      <c r="G21" s="12">
        <f t="shared" si="3"/>
        <v>6.0344869713596943</v>
      </c>
    </row>
    <row r="22" spans="1:7">
      <c r="A22" s="36">
        <v>8.5</v>
      </c>
      <c r="B22" s="12">
        <v>7458.75</v>
      </c>
      <c r="C22" s="37">
        <f t="shared" si="0"/>
        <v>7.4587500000000002</v>
      </c>
      <c r="D22" s="12">
        <f t="shared" si="1"/>
        <v>0.52584187500000001</v>
      </c>
      <c r="E22" s="12">
        <f t="shared" si="2"/>
        <v>2.3475083705357145E-2</v>
      </c>
      <c r="F22" s="12">
        <f>E22/Calculation!K$9*1000</f>
        <v>1.9394576186228415E-2</v>
      </c>
      <c r="G22" s="12">
        <f t="shared" si="3"/>
        <v>6.5824374761796145</v>
      </c>
    </row>
    <row r="23" spans="1:7">
      <c r="A23" s="36">
        <v>9</v>
      </c>
      <c r="B23" s="12">
        <v>8647.06</v>
      </c>
      <c r="C23" s="37">
        <f t="shared" si="0"/>
        <v>8.6470599999999997</v>
      </c>
      <c r="D23" s="12">
        <f t="shared" si="1"/>
        <v>0.60961772999999997</v>
      </c>
      <c r="E23" s="12">
        <f t="shared" si="2"/>
        <v>2.7215077232142858E-2</v>
      </c>
      <c r="F23" s="12">
        <f>E23/Calculation!K$10*1000</f>
        <v>2.3510012782018745E-2</v>
      </c>
      <c r="G23" s="12">
        <f t="shared" si="3"/>
        <v>7.2260063107033217</v>
      </c>
    </row>
    <row r="24" spans="1:7">
      <c r="A24" s="36">
        <v>9.5</v>
      </c>
      <c r="B24" s="12">
        <v>10181</v>
      </c>
      <c r="C24" s="37">
        <f t="shared" si="0"/>
        <v>10.180999999999999</v>
      </c>
      <c r="D24" s="12">
        <f t="shared" si="1"/>
        <v>0.71776049999999991</v>
      </c>
      <c r="E24" s="12">
        <f t="shared" si="2"/>
        <v>3.204287946428571E-2</v>
      </c>
      <c r="F24" s="12">
        <f>E24/Calculation!K$10*1000</f>
        <v>2.7680557337838852E-2</v>
      </c>
      <c r="G24" s="12">
        <f t="shared" si="3"/>
        <v>7.9938648625011854</v>
      </c>
    </row>
    <row r="25" spans="1:7">
      <c r="A25" s="36">
        <v>10</v>
      </c>
      <c r="B25" s="12">
        <v>12422.8</v>
      </c>
      <c r="C25" s="37">
        <f t="shared" si="0"/>
        <v>12.422799999999999</v>
      </c>
      <c r="D25" s="12">
        <f t="shared" si="1"/>
        <v>0.87580740000000001</v>
      </c>
      <c r="E25" s="12">
        <f t="shared" si="2"/>
        <v>3.9098544642857148E-2</v>
      </c>
      <c r="F25" s="12">
        <f>E25/Calculation!K$11*1000</f>
        <v>3.538982931778261E-2</v>
      </c>
      <c r="G25" s="12">
        <f t="shared" si="3"/>
        <v>8.9399206623355081</v>
      </c>
    </row>
    <row r="26" spans="1:7">
      <c r="A26" s="36">
        <v>10.5</v>
      </c>
      <c r="B26" s="12">
        <v>15530.66</v>
      </c>
      <c r="C26" s="37">
        <f t="shared" si="0"/>
        <v>15.530659999999999</v>
      </c>
      <c r="D26" s="12">
        <f t="shared" si="1"/>
        <v>1.0949115300000001</v>
      </c>
      <c r="E26" s="12">
        <f t="shared" si="2"/>
        <v>4.887997901785715E-2</v>
      </c>
      <c r="F26" s="12">
        <f>E26/Calculation!K$11*1000</f>
        <v>4.4243440012920889E-2</v>
      </c>
      <c r="G26" s="12">
        <f t="shared" si="3"/>
        <v>10.134419702296061</v>
      </c>
    </row>
    <row r="27" spans="1:7">
      <c r="A27" s="36">
        <v>11</v>
      </c>
      <c r="B27" s="12">
        <v>19267.580000000002</v>
      </c>
      <c r="C27" s="37">
        <f t="shared" si="0"/>
        <v>19.267580000000002</v>
      </c>
      <c r="D27" s="12">
        <f t="shared" si="1"/>
        <v>1.3583643900000002</v>
      </c>
      <c r="E27" s="12">
        <f t="shared" si="2"/>
        <v>6.0641267410714302E-2</v>
      </c>
      <c r="F27" s="12">
        <f>E27/Calculation!K$11*1000</f>
        <v>5.4889104514821284E-2</v>
      </c>
      <c r="G27" s="12">
        <f t="shared" si="3"/>
        <v>11.621407870212193</v>
      </c>
    </row>
    <row r="28" spans="1:7">
      <c r="A28" s="36">
        <v>11.5</v>
      </c>
      <c r="B28" s="12">
        <v>24975.71</v>
      </c>
      <c r="C28" s="37">
        <f t="shared" si="0"/>
        <v>24.975709999999999</v>
      </c>
      <c r="D28" s="12">
        <f t="shared" si="1"/>
        <v>1.7607875549999998</v>
      </c>
      <c r="E28" s="12">
        <f t="shared" si="2"/>
        <v>7.8606587276785711E-2</v>
      </c>
      <c r="F28" s="12">
        <f>E28/Calculation!K$12*1000</f>
        <v>7.428733478007872E-2</v>
      </c>
      <c r="G28" s="12">
        <f t="shared" si="3"/>
        <v>13.559054459635693</v>
      </c>
    </row>
    <row r="29" spans="1:7">
      <c r="A29" s="36">
        <v>12</v>
      </c>
      <c r="B29" s="12">
        <v>30749.29</v>
      </c>
      <c r="C29" s="37">
        <f t="shared" si="0"/>
        <v>30.749290000000002</v>
      </c>
      <c r="D29" s="12">
        <f t="shared" si="1"/>
        <v>2.167824945</v>
      </c>
      <c r="E29" s="12">
        <f t="shared" si="2"/>
        <v>9.6777899330357145E-2</v>
      </c>
      <c r="F29" s="12">
        <f>E29/Calculation!K$12*1000</f>
        <v>9.146017472495184E-2</v>
      </c>
      <c r="G29" s="12">
        <f t="shared" si="3"/>
        <v>16.045267102211152</v>
      </c>
    </row>
    <row r="30" spans="1:7">
      <c r="A30" s="36">
        <v>12.5</v>
      </c>
      <c r="B30" s="12">
        <v>36599.06</v>
      </c>
      <c r="C30" s="37">
        <f t="shared" si="0"/>
        <v>36.599059999999994</v>
      </c>
      <c r="D30" s="12">
        <f t="shared" si="1"/>
        <v>2.5802337299999998</v>
      </c>
      <c r="E30" s="12">
        <f t="shared" si="2"/>
        <v>0.11518900580357143</v>
      </c>
      <c r="F30" s="12">
        <f>E30/Calculation!K$12*1000</f>
        <v>0.1088596329336058</v>
      </c>
      <c r="G30" s="12">
        <f t="shared" si="3"/>
        <v>19.050064217089517</v>
      </c>
    </row>
    <row r="31" spans="1:7">
      <c r="A31" s="36">
        <v>13</v>
      </c>
      <c r="B31" s="12">
        <v>42947.63</v>
      </c>
      <c r="C31" s="37">
        <f t="shared" si="0"/>
        <v>42.947629999999997</v>
      </c>
      <c r="D31" s="12">
        <f t="shared" si="1"/>
        <v>3.0278079149999995</v>
      </c>
      <c r="E31" s="12">
        <f t="shared" si="2"/>
        <v>0.13516999620535713</v>
      </c>
      <c r="F31" s="12">
        <f>E31/Calculation!K$13*1000</f>
        <v>0.13360018430020015</v>
      </c>
      <c r="G31" s="12">
        <f t="shared" si="3"/>
        <v>22.686961475596604</v>
      </c>
    </row>
    <row r="32" spans="1:7">
      <c r="A32" s="36">
        <v>13.5</v>
      </c>
      <c r="B32" s="12">
        <v>46135.07</v>
      </c>
      <c r="C32" s="37">
        <f t="shared" si="0"/>
        <v>46.135069999999999</v>
      </c>
      <c r="D32" s="12">
        <f t="shared" si="1"/>
        <v>3.2525224349999999</v>
      </c>
      <c r="E32" s="12">
        <f t="shared" si="2"/>
        <v>0.14520189441964287</v>
      </c>
      <c r="F32" s="12">
        <f>E32/Calculation!K$13*1000</f>
        <v>0.14351557593987457</v>
      </c>
      <c r="G32" s="12">
        <f t="shared" si="3"/>
        <v>26.843697879197727</v>
      </c>
    </row>
    <row r="33" spans="1:7">
      <c r="A33" s="36">
        <v>14</v>
      </c>
      <c r="B33" s="12">
        <v>47373.4</v>
      </c>
      <c r="C33" s="37">
        <f t="shared" si="0"/>
        <v>47.373400000000004</v>
      </c>
      <c r="D33" s="12">
        <f t="shared" si="1"/>
        <v>3.3398247000000003</v>
      </c>
      <c r="E33" s="12">
        <f t="shared" si="2"/>
        <v>0.14909931696428574</v>
      </c>
      <c r="F33" s="12">
        <f>E33/Calculation!K$13*1000</f>
        <v>0.14736773533084604</v>
      </c>
      <c r="G33" s="12">
        <f t="shared" si="3"/>
        <v>31.206947548258537</v>
      </c>
    </row>
    <row r="34" spans="1:7">
      <c r="A34" s="36">
        <v>14.5</v>
      </c>
      <c r="B34" s="12">
        <v>51795.44</v>
      </c>
      <c r="C34" s="37">
        <f t="shared" si="0"/>
        <v>51.795439999999999</v>
      </c>
      <c r="D34" s="12">
        <f t="shared" si="1"/>
        <v>3.6515785199999997</v>
      </c>
      <c r="E34" s="12">
        <f t="shared" si="2"/>
        <v>0.16301689821428572</v>
      </c>
      <c r="F34" s="12">
        <f>E34/Calculation!K$14*1000</f>
        <v>0.16847719814358728</v>
      </c>
      <c r="G34" s="12">
        <f t="shared" si="3"/>
        <v>35.944621550375039</v>
      </c>
    </row>
    <row r="35" spans="1:7">
      <c r="A35" s="36">
        <v>15</v>
      </c>
      <c r="B35" s="12">
        <v>53347.26</v>
      </c>
      <c r="C35" s="37">
        <f t="shared" si="0"/>
        <v>53.347259999999999</v>
      </c>
      <c r="D35" s="12">
        <f t="shared" si="1"/>
        <v>3.76098183</v>
      </c>
      <c r="E35" s="12">
        <f t="shared" si="2"/>
        <v>0.16790097455357145</v>
      </c>
      <c r="F35" s="12">
        <f>E35/Calculation!K$14*1000</f>
        <v>0.17352486808563589</v>
      </c>
      <c r="G35" s="12">
        <f t="shared" si="3"/>
        <v>41.074652543813386</v>
      </c>
    </row>
    <row r="36" spans="1:7">
      <c r="A36" s="36">
        <v>15.5</v>
      </c>
      <c r="B36" s="12">
        <v>54821.919999999998</v>
      </c>
      <c r="C36" s="37">
        <f t="shared" si="0"/>
        <v>54.821919999999999</v>
      </c>
      <c r="D36" s="12">
        <f t="shared" si="1"/>
        <v>3.8649453599999997</v>
      </c>
      <c r="E36" s="12">
        <f t="shared" si="2"/>
        <v>0.17254220357142858</v>
      </c>
      <c r="F36" s="12">
        <f>E36/Calculation!K$15*1000</f>
        <v>0.18679512567121867</v>
      </c>
      <c r="G36" s="12">
        <f t="shared" si="3"/>
        <v>46.479452450166207</v>
      </c>
    </row>
    <row r="37" spans="1:7">
      <c r="A37" s="36">
        <v>16</v>
      </c>
      <c r="B37" s="12">
        <v>53983.31</v>
      </c>
      <c r="C37" s="37">
        <f t="shared" si="0"/>
        <v>53.983309999999996</v>
      </c>
      <c r="D37" s="12">
        <f t="shared" si="1"/>
        <v>3.8058233549999994</v>
      </c>
      <c r="E37" s="12">
        <f t="shared" si="2"/>
        <v>0.16990282834821427</v>
      </c>
      <c r="F37" s="12">
        <f>E37/Calculation!K$15*1000</f>
        <v>0.18393772373529335</v>
      </c>
      <c r="G37" s="12">
        <f t="shared" si="3"/>
        <v>52.040445191263885</v>
      </c>
    </row>
    <row r="38" spans="1:7">
      <c r="A38" s="36">
        <v>16.5</v>
      </c>
      <c r="B38" s="12">
        <v>54938.54</v>
      </c>
      <c r="C38" s="37">
        <f t="shared" si="0"/>
        <v>54.938540000000003</v>
      </c>
      <c r="D38" s="12">
        <f t="shared" si="1"/>
        <v>3.87316707</v>
      </c>
      <c r="E38" s="12">
        <f t="shared" si="2"/>
        <v>0.17290924419642859</v>
      </c>
      <c r="F38" s="12">
        <f>E38/Calculation!K$15*1000</f>
        <v>0.18719248584313125</v>
      </c>
      <c r="G38" s="12">
        <f t="shared" si="3"/>
        <v>57.607398334940257</v>
      </c>
    </row>
    <row r="39" spans="1:7">
      <c r="A39" s="36">
        <v>17</v>
      </c>
      <c r="B39" s="12">
        <v>55657.919999999998</v>
      </c>
      <c r="C39" s="37">
        <f t="shared" si="0"/>
        <v>55.657919999999997</v>
      </c>
      <c r="D39" s="12">
        <f t="shared" si="1"/>
        <v>3.92388336</v>
      </c>
      <c r="E39" s="12">
        <f t="shared" si="2"/>
        <v>0.17517336428571431</v>
      </c>
      <c r="F39" s="12">
        <f>E39/Calculation!K$16*1000</f>
        <v>0.1998889907559678</v>
      </c>
      <c r="G39" s="12">
        <f t="shared" si="3"/>
        <v>63.413620483926742</v>
      </c>
    </row>
    <row r="40" spans="1:7">
      <c r="A40" s="36">
        <v>17.5</v>
      </c>
      <c r="B40" s="12">
        <v>55651.43</v>
      </c>
      <c r="C40" s="37">
        <f t="shared" si="0"/>
        <v>55.651429999999998</v>
      </c>
      <c r="D40" s="12">
        <f t="shared" si="1"/>
        <v>3.9234258149999994</v>
      </c>
      <c r="E40" s="12">
        <f t="shared" si="2"/>
        <v>0.17515293816964284</v>
      </c>
      <c r="F40" s="12">
        <f>E40/Calculation!K$16*1000</f>
        <v>0.19986568267061336</v>
      </c>
      <c r="G40" s="12">
        <f t="shared" si="3"/>
        <v>69.409940585325458</v>
      </c>
    </row>
    <row r="41" spans="1:7">
      <c r="A41" s="36">
        <v>18</v>
      </c>
      <c r="B41" s="12">
        <v>54495.28</v>
      </c>
      <c r="C41" s="37">
        <f t="shared" si="0"/>
        <v>54.495280000000001</v>
      </c>
      <c r="D41" s="12">
        <f t="shared" si="1"/>
        <v>3.8419172399999999</v>
      </c>
      <c r="E41" s="12">
        <f t="shared" si="2"/>
        <v>0.17151416250000001</v>
      </c>
      <c r="F41" s="12">
        <f>E41/Calculation!K$17*1000</f>
        <v>0.20749255694074389</v>
      </c>
      <c r="G41" s="12">
        <f t="shared" si="3"/>
        <v>75.520314179495813</v>
      </c>
    </row>
    <row r="42" spans="1:7">
      <c r="A42" s="36">
        <v>18.5</v>
      </c>
      <c r="B42" s="12">
        <v>55079.040000000001</v>
      </c>
      <c r="C42" s="37">
        <f t="shared" si="0"/>
        <v>55.079039999999999</v>
      </c>
      <c r="D42" s="12">
        <f t="shared" si="1"/>
        <v>3.8830723199999997</v>
      </c>
      <c r="E42" s="12">
        <f t="shared" si="2"/>
        <v>0.17335144285714285</v>
      </c>
      <c r="F42" s="12">
        <f>E42/Calculation!K$17*1000</f>
        <v>0.20971524219054402</v>
      </c>
      <c r="G42" s="12">
        <f t="shared" si="3"/>
        <v>81.778431166465126</v>
      </c>
    </row>
    <row r="43" spans="1:7">
      <c r="A43" s="36">
        <v>19</v>
      </c>
      <c r="B43" s="12">
        <v>54098.31</v>
      </c>
      <c r="C43" s="37">
        <f t="shared" si="0"/>
        <v>54.098309999999998</v>
      </c>
      <c r="D43" s="12">
        <f t="shared" si="1"/>
        <v>3.8139308549999997</v>
      </c>
      <c r="E43" s="12">
        <f t="shared" si="2"/>
        <v>0.17026477031250001</v>
      </c>
      <c r="F43" s="12">
        <f>E43/Calculation!K$17*1000</f>
        <v>0.20598108071144905</v>
      </c>
      <c r="G43" s="12">
        <f t="shared" si="3"/>
        <v>88.013876009995016</v>
      </c>
    </row>
    <row r="44" spans="1:7">
      <c r="A44" s="36">
        <v>19.5</v>
      </c>
      <c r="B44" s="12">
        <v>53646.28</v>
      </c>
      <c r="C44" s="37">
        <f t="shared" si="0"/>
        <v>53.646279999999997</v>
      </c>
      <c r="D44" s="12">
        <f t="shared" si="1"/>
        <v>3.7820627399999998</v>
      </c>
      <c r="E44" s="12">
        <f t="shared" si="2"/>
        <v>0.16884208660714287</v>
      </c>
      <c r="F44" s="12">
        <f>E44/Calculation!K$17*1000</f>
        <v>0.20425996173538497</v>
      </c>
      <c r="G44" s="12">
        <f t="shared" si="3"/>
        <v>94.167491646697528</v>
      </c>
    </row>
    <row r="45" spans="1:7">
      <c r="A45" s="36">
        <v>20</v>
      </c>
      <c r="B45" s="12">
        <v>52449.04</v>
      </c>
      <c r="C45" s="37">
        <f t="shared" si="0"/>
        <v>52.449040000000004</v>
      </c>
      <c r="D45" s="12">
        <f t="shared" si="1"/>
        <v>3.6976573200000002</v>
      </c>
      <c r="E45" s="12">
        <f t="shared" si="2"/>
        <v>0.16507398750000002</v>
      </c>
      <c r="F45" s="12">
        <f>E45/Calculation!K$17*1000</f>
        <v>0.19970143136593399</v>
      </c>
      <c r="G45" s="12">
        <f t="shared" si="3"/>
        <v>100.22691254321731</v>
      </c>
    </row>
    <row r="46" spans="1:7">
      <c r="A46" s="36">
        <v>20.5</v>
      </c>
      <c r="B46" s="12">
        <v>50656.67</v>
      </c>
      <c r="C46" s="37">
        <f t="shared" si="0"/>
        <v>50.656669999999998</v>
      </c>
      <c r="D46" s="12">
        <f t="shared" si="1"/>
        <v>3.571295235</v>
      </c>
      <c r="E46" s="12">
        <f t="shared" si="2"/>
        <v>0.15943282299107145</v>
      </c>
      <c r="F46" s="12">
        <f>E46/Calculation!K$17*1000</f>
        <v>0.19287692410064641</v>
      </c>
      <c r="G46" s="12">
        <f t="shared" si="3"/>
        <v>106.11558787521602</v>
      </c>
    </row>
    <row r="47" spans="1:7">
      <c r="A47" s="36">
        <v>21</v>
      </c>
      <c r="B47" s="12">
        <v>32992.879999999997</v>
      </c>
      <c r="C47" s="37">
        <f t="shared" si="0"/>
        <v>32.99288</v>
      </c>
      <c r="D47" s="12">
        <f t="shared" si="1"/>
        <v>2.32599804</v>
      </c>
      <c r="E47" s="12">
        <f t="shared" si="2"/>
        <v>0.10383919821428572</v>
      </c>
      <c r="F47" s="12">
        <f>E47/Calculation!K$17*1000</f>
        <v>0.12562146725439582</v>
      </c>
      <c r="G47" s="12">
        <f t="shared" si="3"/>
        <v>110.89306374554165</v>
      </c>
    </row>
    <row r="48" spans="1:7">
      <c r="A48" s="36">
        <v>21.5</v>
      </c>
      <c r="B48" s="12">
        <v>19627.68</v>
      </c>
      <c r="C48" s="37">
        <f t="shared" si="0"/>
        <v>19.627680000000002</v>
      </c>
      <c r="D48" s="12">
        <f t="shared" si="1"/>
        <v>1.3837514400000002</v>
      </c>
      <c r="E48" s="12">
        <f t="shared" si="2"/>
        <v>6.1774617857142868E-2</v>
      </c>
      <c r="F48" s="12">
        <f>E48/Calculation!K$17*1000</f>
        <v>7.4733032108738606E-2</v>
      </c>
      <c r="G48" s="12">
        <f t="shared" si="3"/>
        <v>113.89838123598867</v>
      </c>
    </row>
    <row r="49" spans="1:7">
      <c r="A49" s="36">
        <v>22</v>
      </c>
      <c r="B49" s="12">
        <v>11766.93</v>
      </c>
      <c r="C49" s="37">
        <f t="shared" si="0"/>
        <v>11.76693</v>
      </c>
      <c r="D49" s="12">
        <f t="shared" si="1"/>
        <v>0.82956856499999998</v>
      </c>
      <c r="E49" s="12">
        <f t="shared" si="2"/>
        <v>3.7034310937500002E-2</v>
      </c>
      <c r="F49" s="12">
        <f>E49/Calculation!K$17*1000</f>
        <v>4.4802969964421645E-2</v>
      </c>
      <c r="G49" s="12">
        <f t="shared" si="3"/>
        <v>115.69142126708607</v>
      </c>
    </row>
    <row r="50" spans="1:7">
      <c r="A50" s="36">
        <v>22.5</v>
      </c>
      <c r="B50" s="12">
        <v>7032.55</v>
      </c>
      <c r="C50" s="37">
        <f t="shared" si="0"/>
        <v>7.0325500000000005</v>
      </c>
      <c r="D50" s="12">
        <f t="shared" si="1"/>
        <v>0.49579477500000002</v>
      </c>
      <c r="E50" s="12">
        <f t="shared" si="2"/>
        <v>2.2133695312500003E-2</v>
      </c>
      <c r="F50" s="12">
        <f>E50/Calculation!K$17*1000</f>
        <v>2.6776663617723014E-2</v>
      </c>
      <c r="G50" s="12">
        <f t="shared" si="3"/>
        <v>116.76511577081824</v>
      </c>
    </row>
    <row r="51" spans="1:7">
      <c r="A51" s="36">
        <v>23</v>
      </c>
      <c r="B51" s="12">
        <v>4486.68</v>
      </c>
      <c r="C51" s="37">
        <f t="shared" si="0"/>
        <v>4.4866800000000007</v>
      </c>
      <c r="D51" s="12">
        <f t="shared" si="1"/>
        <v>0.31631094000000004</v>
      </c>
      <c r="E51" s="12">
        <f t="shared" si="2"/>
        <v>1.412102410714286E-2</v>
      </c>
      <c r="F51" s="12">
        <f>E51/Calculation!K$17*1000</f>
        <v>1.7083180513521482E-2</v>
      </c>
      <c r="G51" s="12">
        <f t="shared" si="3"/>
        <v>117.4230134327869</v>
      </c>
    </row>
    <row r="52" spans="1:7">
      <c r="A52" s="36">
        <v>23.5</v>
      </c>
      <c r="B52" s="12">
        <v>2826.21</v>
      </c>
      <c r="C52" s="37">
        <f t="shared" si="0"/>
        <v>2.8262100000000001</v>
      </c>
      <c r="D52" s="12">
        <f t="shared" si="1"/>
        <v>0.199247805</v>
      </c>
      <c r="E52" s="12">
        <f t="shared" si="2"/>
        <v>8.8949912946428584E-3</v>
      </c>
      <c r="F52" s="12">
        <f>E52/Calculation!K$17*1000</f>
        <v>1.0760886802517574E-2</v>
      </c>
      <c r="G52" s="12">
        <f t="shared" si="3"/>
        <v>117.84067444252749</v>
      </c>
    </row>
    <row r="53" spans="1:7">
      <c r="A53" s="36">
        <v>24</v>
      </c>
      <c r="B53" s="12">
        <v>1874.07</v>
      </c>
      <c r="C53" s="37">
        <f t="shared" si="0"/>
        <v>1.8740699999999999</v>
      </c>
      <c r="D53" s="12">
        <f t="shared" si="1"/>
        <v>0.132121935</v>
      </c>
      <c r="E53" s="12">
        <f t="shared" si="2"/>
        <v>5.8983006696428572E-3</v>
      </c>
      <c r="F53" s="12">
        <f>E53/Calculation!K$18*1000</f>
        <v>7.6471250607449796E-3</v>
      </c>
      <c r="G53" s="12">
        <f t="shared" si="3"/>
        <v>118.11679462047643</v>
      </c>
    </row>
    <row r="54" spans="1:7">
      <c r="A54" s="36">
        <v>24.5</v>
      </c>
      <c r="B54" s="12">
        <v>1389.88</v>
      </c>
      <c r="C54" s="37">
        <f t="shared" si="0"/>
        <v>1.38988</v>
      </c>
      <c r="D54" s="12">
        <f t="shared" si="1"/>
        <v>9.7986539999999997E-2</v>
      </c>
      <c r="E54" s="12">
        <f t="shared" si="2"/>
        <v>4.3743991071428573E-3</v>
      </c>
      <c r="F54" s="12">
        <f>E54/Calculation!K$18*1000</f>
        <v>5.6713923062789717E-3</v>
      </c>
      <c r="G54" s="12">
        <f t="shared" si="3"/>
        <v>118.31657238098178</v>
      </c>
    </row>
    <row r="55" spans="1:7">
      <c r="A55" s="36">
        <v>25</v>
      </c>
      <c r="B55" s="12">
        <v>1063.24</v>
      </c>
      <c r="C55" s="37">
        <f t="shared" si="0"/>
        <v>1.06324</v>
      </c>
      <c r="D55" s="12">
        <f t="shared" si="1"/>
        <v>7.4958419999999998E-2</v>
      </c>
      <c r="E55" s="12">
        <f t="shared" si="2"/>
        <v>3.3463580357142859E-3</v>
      </c>
      <c r="F55" s="12">
        <f>E55/Calculation!K$18*1000</f>
        <v>4.3385408493740859E-3</v>
      </c>
      <c r="G55" s="12">
        <f t="shared" si="3"/>
        <v>118.46672137831658</v>
      </c>
    </row>
    <row r="56" spans="1:7">
      <c r="A56" s="36">
        <v>25.5</v>
      </c>
      <c r="B56" s="12">
        <v>817.16</v>
      </c>
      <c r="C56" s="37">
        <f t="shared" si="0"/>
        <v>0.81716</v>
      </c>
      <c r="D56" s="12">
        <f t="shared" si="1"/>
        <v>5.7609780000000006E-2</v>
      </c>
      <c r="E56" s="12">
        <f t="shared" si="2"/>
        <v>2.5718651785714289E-3</v>
      </c>
      <c r="F56" s="12">
        <f>E56/Calculation!K$18*1000</f>
        <v>3.3344137170107668E-3</v>
      </c>
      <c r="G56" s="12">
        <f t="shared" si="3"/>
        <v>118.58181569681236</v>
      </c>
    </row>
    <row r="57" spans="1:7">
      <c r="A57" s="36">
        <v>26</v>
      </c>
      <c r="B57" s="12">
        <v>693.56</v>
      </c>
      <c r="C57" s="37">
        <f t="shared" si="0"/>
        <v>0.69355999999999995</v>
      </c>
      <c r="D57" s="12">
        <f t="shared" si="1"/>
        <v>4.8895979999999999E-2</v>
      </c>
      <c r="E57" s="12">
        <f t="shared" si="2"/>
        <v>2.1828562500000002E-3</v>
      </c>
      <c r="F57" s="12">
        <f>E57/Calculation!K$18*1000</f>
        <v>2.8300650760805564E-3</v>
      </c>
      <c r="G57" s="12">
        <f t="shared" si="3"/>
        <v>118.67428287870872</v>
      </c>
    </row>
    <row r="58" spans="1:7">
      <c r="A58" s="36">
        <v>26.5</v>
      </c>
      <c r="B58" s="12">
        <v>593.66999999999996</v>
      </c>
      <c r="C58" s="37">
        <f t="shared" si="0"/>
        <v>0.59366999999999992</v>
      </c>
      <c r="D58" s="12">
        <f t="shared" si="1"/>
        <v>4.1853734999999996E-2</v>
      </c>
      <c r="E58" s="12">
        <f t="shared" si="2"/>
        <v>1.8684703124999999E-3</v>
      </c>
      <c r="F58" s="12">
        <f>E58/Calculation!K$18*1000</f>
        <v>2.4224648678077506E-3</v>
      </c>
      <c r="G58" s="12">
        <f t="shared" si="3"/>
        <v>118.75307082786705</v>
      </c>
    </row>
    <row r="59" spans="1:7">
      <c r="A59" s="36">
        <v>27</v>
      </c>
      <c r="B59" s="12">
        <v>539.74</v>
      </c>
      <c r="C59" s="37">
        <f t="shared" si="0"/>
        <v>0.53974</v>
      </c>
      <c r="D59" s="12">
        <f t="shared" si="1"/>
        <v>3.8051670000000003E-2</v>
      </c>
      <c r="E59" s="12">
        <f t="shared" si="2"/>
        <v>1.698735267857143E-3</v>
      </c>
      <c r="F59" s="12">
        <f>E59/Calculation!K$18*1000</f>
        <v>2.202404008541034E-3</v>
      </c>
      <c r="G59" s="12">
        <f t="shared" si="3"/>
        <v>118.82244386101227</v>
      </c>
    </row>
    <row r="60" spans="1:7">
      <c r="A60" s="36">
        <v>27.5</v>
      </c>
      <c r="B60" s="12">
        <v>510.02</v>
      </c>
      <c r="C60" s="37">
        <f t="shared" si="0"/>
        <v>0.51002000000000003</v>
      </c>
      <c r="D60" s="12">
        <f t="shared" si="1"/>
        <v>3.5956410000000001E-2</v>
      </c>
      <c r="E60" s="12">
        <f t="shared" si="2"/>
        <v>1.6051968750000001E-3</v>
      </c>
      <c r="F60" s="12">
        <f>E60/Calculation!K$18*1000</f>
        <v>2.0811318272429286E-3</v>
      </c>
      <c r="G60" s="12">
        <f t="shared" si="3"/>
        <v>118.88669689854903</v>
      </c>
    </row>
    <row r="61" spans="1:7">
      <c r="A61" s="36">
        <v>28</v>
      </c>
      <c r="B61" s="12">
        <v>498.65</v>
      </c>
      <c r="C61" s="37">
        <f t="shared" si="0"/>
        <v>0.49864999999999998</v>
      </c>
      <c r="D61" s="12">
        <f t="shared" si="1"/>
        <v>3.5154825000000001E-2</v>
      </c>
      <c r="E61" s="12">
        <f t="shared" si="2"/>
        <v>1.569411830357143E-3</v>
      </c>
      <c r="F61" s="12">
        <f>E61/Calculation!K$18*1000</f>
        <v>2.0347366488660959E-3</v>
      </c>
      <c r="G61" s="12">
        <f t="shared" si="3"/>
        <v>118.94843492569066</v>
      </c>
    </row>
    <row r="62" spans="1:7">
      <c r="A62" s="36">
        <v>28.5</v>
      </c>
      <c r="B62" s="12">
        <v>469.9</v>
      </c>
      <c r="C62" s="37">
        <f t="shared" si="0"/>
        <v>0.46989999999999998</v>
      </c>
      <c r="D62" s="12">
        <f t="shared" si="1"/>
        <v>3.3127949999999996E-2</v>
      </c>
      <c r="E62" s="12">
        <f t="shared" si="2"/>
        <v>1.4789263392857143E-3</v>
      </c>
      <c r="F62" s="12">
        <f>E62/Calculation!K$18*1000</f>
        <v>1.9174225434717307E-3</v>
      </c>
      <c r="G62" s="12">
        <f t="shared" si="3"/>
        <v>119.00771731357572</v>
      </c>
    </row>
    <row r="63" spans="1:7">
      <c r="A63" s="36">
        <v>29</v>
      </c>
      <c r="B63" s="12">
        <v>427.18</v>
      </c>
      <c r="C63" s="37">
        <f t="shared" si="0"/>
        <v>0.42718</v>
      </c>
      <c r="D63" s="12">
        <f t="shared" si="1"/>
        <v>3.0116189999999998E-2</v>
      </c>
      <c r="E63" s="12">
        <f t="shared" si="2"/>
        <v>1.3444727678571429E-3</v>
      </c>
      <c r="F63" s="12">
        <f>E63/Calculation!K$18*1000</f>
        <v>1.7431039840822597E-3</v>
      </c>
      <c r="G63" s="12">
        <f t="shared" si="3"/>
        <v>119.06262521148903</v>
      </c>
    </row>
    <row r="64" spans="1:7">
      <c r="A64" s="36">
        <v>29.5</v>
      </c>
      <c r="B64" s="12">
        <v>498.32</v>
      </c>
      <c r="C64" s="37">
        <f t="shared" si="0"/>
        <v>0.49831999999999999</v>
      </c>
      <c r="D64" s="12">
        <f t="shared" si="1"/>
        <v>3.5131559999999999E-2</v>
      </c>
      <c r="E64" s="12">
        <f t="shared" si="2"/>
        <v>1.5683732142857142E-3</v>
      </c>
      <c r="F64" s="12">
        <f>E64/Calculation!K$18*1000</f>
        <v>2.0333900869606994E-3</v>
      </c>
      <c r="G64" s="12">
        <f t="shared" si="3"/>
        <v>119.11927262255467</v>
      </c>
    </row>
    <row r="65" spans="1:7">
      <c r="A65" s="36">
        <v>30</v>
      </c>
      <c r="B65" s="12">
        <v>448.13</v>
      </c>
      <c r="C65" s="37">
        <f t="shared" si="0"/>
        <v>0.44812999999999997</v>
      </c>
      <c r="D65" s="12">
        <f t="shared" si="1"/>
        <v>3.1593164999999999E-2</v>
      </c>
      <c r="E65" s="12">
        <f t="shared" si="2"/>
        <v>1.4104091517857143E-3</v>
      </c>
      <c r="F65" s="12">
        <f>E65/Calculation!K$19*1000</f>
        <v>1.9440553694110693E-3</v>
      </c>
      <c r="G65" s="12">
        <f t="shared" si="3"/>
        <v>119.17893430440026</v>
      </c>
    </row>
    <row r="66" spans="1:7">
      <c r="A66" s="36">
        <v>30.5</v>
      </c>
      <c r="B66" s="12">
        <v>399.57</v>
      </c>
      <c r="C66" s="37">
        <f t="shared" si="0"/>
        <v>0.39956999999999998</v>
      </c>
      <c r="D66" s="12">
        <f t="shared" si="1"/>
        <v>2.8169684999999996E-2</v>
      </c>
      <c r="E66" s="12">
        <f t="shared" si="2"/>
        <v>1.2575752232142857E-3</v>
      </c>
      <c r="F66" s="12">
        <f>E66/Calculation!K$19*1000</f>
        <v>1.7333947826648093E-3</v>
      </c>
      <c r="G66" s="12">
        <f t="shared" si="3"/>
        <v>119.23409605668139</v>
      </c>
    </row>
    <row r="67" spans="1:7">
      <c r="A67" s="36">
        <v>31</v>
      </c>
      <c r="B67" s="12">
        <v>355.39</v>
      </c>
      <c r="C67" s="37">
        <f t="shared" si="0"/>
        <v>0.35538999999999998</v>
      </c>
      <c r="D67" s="12">
        <f t="shared" si="1"/>
        <v>2.5054994999999997E-2</v>
      </c>
      <c r="E67" s="12">
        <f t="shared" si="2"/>
        <v>1.1185265624999998E-3</v>
      </c>
      <c r="F67" s="12">
        <f>E67/Calculation!K$19*1000</f>
        <v>1.5417352949702093E-3</v>
      </c>
      <c r="G67" s="12">
        <f t="shared" si="3"/>
        <v>119.28322300784592</v>
      </c>
    </row>
    <row r="68" spans="1:7">
      <c r="A68" s="36">
        <v>31.5</v>
      </c>
      <c r="B68" s="12">
        <v>323.70999999999998</v>
      </c>
      <c r="C68" s="37">
        <f t="shared" si="0"/>
        <v>0.32371</v>
      </c>
      <c r="D68" s="12">
        <f t="shared" si="1"/>
        <v>2.2821555E-2</v>
      </c>
      <c r="E68" s="12">
        <f t="shared" si="2"/>
        <v>1.0188194196428572E-3</v>
      </c>
      <c r="F68" s="12">
        <f>E68/Calculation!K$19*1000</f>
        <v>1.4043026881308041E-3</v>
      </c>
      <c r="G68" s="12">
        <f t="shared" si="3"/>
        <v>119.32741357759244</v>
      </c>
    </row>
    <row r="69" spans="1:7">
      <c r="A69" s="36">
        <v>32</v>
      </c>
      <c r="B69" s="12">
        <v>299.83999999999997</v>
      </c>
      <c r="C69" s="37">
        <f t="shared" si="0"/>
        <v>0.29984</v>
      </c>
      <c r="D69" s="12">
        <f t="shared" si="1"/>
        <v>2.113872E-2</v>
      </c>
      <c r="E69" s="12">
        <f t="shared" si="2"/>
        <v>9.4369285714285722E-4</v>
      </c>
      <c r="F69" s="12">
        <f>E69/Calculation!K$19*1000</f>
        <v>1.3007510364497247E-3</v>
      </c>
      <c r="G69" s="12">
        <f t="shared" si="3"/>
        <v>119.36798938346115</v>
      </c>
    </row>
    <row r="70" spans="1:7">
      <c r="A70" s="36">
        <v>32.5</v>
      </c>
      <c r="B70" s="12">
        <v>288.47000000000003</v>
      </c>
      <c r="C70" s="37">
        <f t="shared" ref="C70:C101" si="4">B70/1000</f>
        <v>0.28847</v>
      </c>
      <c r="D70" s="12">
        <f t="shared" ref="D70:D101" si="5">C70/1000*$B$1</f>
        <v>2.0337134999999999E-2</v>
      </c>
      <c r="E70" s="12">
        <f t="shared" ref="E70:E101" si="6">D70/22.4</f>
        <v>9.0790781250000001E-4</v>
      </c>
      <c r="F70" s="12">
        <f>E70/Calculation!K$19*1000</f>
        <v>1.2514262656238395E-3</v>
      </c>
      <c r="G70" s="12">
        <f t="shared" si="3"/>
        <v>119.40627204299226</v>
      </c>
    </row>
    <row r="71" spans="1:7">
      <c r="A71" s="36">
        <v>33</v>
      </c>
      <c r="B71" s="12">
        <v>260.69</v>
      </c>
      <c r="C71" s="37">
        <f t="shared" si="4"/>
        <v>0.26068999999999998</v>
      </c>
      <c r="D71" s="12">
        <f t="shared" si="5"/>
        <v>1.8378644999999999E-2</v>
      </c>
      <c r="E71" s="12">
        <f t="shared" si="6"/>
        <v>8.2047522321428569E-4</v>
      </c>
      <c r="F71" s="12">
        <f>E71/Calculation!K$19*1000</f>
        <v>1.1309124456112549E-3</v>
      </c>
      <c r="G71" s="12">
        <f t="shared" ref="G71:G101" si="7">G70+(F71+F70)/2*30</f>
        <v>119.44200712366079</v>
      </c>
    </row>
    <row r="72" spans="1:7">
      <c r="A72" s="36">
        <v>33.5</v>
      </c>
      <c r="B72" s="12">
        <v>255.5</v>
      </c>
      <c r="C72" s="37">
        <f t="shared" si="4"/>
        <v>0.2555</v>
      </c>
      <c r="D72" s="12">
        <f t="shared" si="5"/>
        <v>1.8012750000000001E-2</v>
      </c>
      <c r="E72" s="12">
        <f t="shared" si="6"/>
        <v>8.0414062500000006E-4</v>
      </c>
      <c r="F72" s="12">
        <f>E72/Calculation!K$19*1000</f>
        <v>1.1083974446801782E-3</v>
      </c>
      <c r="G72" s="12">
        <f t="shared" si="7"/>
        <v>119.47559677201515</v>
      </c>
    </row>
    <row r="73" spans="1:7">
      <c r="A73" s="36">
        <v>34</v>
      </c>
      <c r="B73" s="12">
        <v>238.77</v>
      </c>
      <c r="C73" s="37">
        <f t="shared" si="4"/>
        <v>0.23877000000000001</v>
      </c>
      <c r="D73" s="12">
        <f t="shared" si="5"/>
        <v>1.6833285E-2</v>
      </c>
      <c r="E73" s="12">
        <f t="shared" si="6"/>
        <v>7.5148593750000003E-4</v>
      </c>
      <c r="F73" s="12">
        <f>E73/Calculation!K$19*1000</f>
        <v>1.0358201873435858E-3</v>
      </c>
      <c r="G73" s="12">
        <f t="shared" si="7"/>
        <v>119.50776003649551</v>
      </c>
    </row>
    <row r="74" spans="1:7">
      <c r="A74" s="36">
        <v>34.5</v>
      </c>
      <c r="B74" s="12">
        <v>235.19</v>
      </c>
      <c r="C74" s="37">
        <f t="shared" si="4"/>
        <v>0.23519000000000001</v>
      </c>
      <c r="D74" s="12">
        <f t="shared" si="5"/>
        <v>1.6580895000000002E-2</v>
      </c>
      <c r="E74" s="12">
        <f t="shared" si="6"/>
        <v>7.4021852678571439E-4</v>
      </c>
      <c r="F74" s="12">
        <f>E74/Calculation!K$19*1000</f>
        <v>1.0202896086666581E-3</v>
      </c>
      <c r="G74" s="12">
        <f t="shared" si="7"/>
        <v>119.53860168343567</v>
      </c>
    </row>
    <row r="75" spans="1:7">
      <c r="A75" s="36">
        <v>35</v>
      </c>
      <c r="B75" s="12">
        <v>227.4</v>
      </c>
      <c r="C75" s="37">
        <f t="shared" si="4"/>
        <v>0.22740000000000002</v>
      </c>
      <c r="D75" s="12">
        <f t="shared" si="5"/>
        <v>1.6031700000000003E-2</v>
      </c>
      <c r="E75" s="12">
        <f t="shared" si="6"/>
        <v>7.1570089285714303E-4</v>
      </c>
      <c r="F75" s="12">
        <f>E75/Calculation!K$19*1000</f>
        <v>9.8649541651770097E-4</v>
      </c>
      <c r="G75" s="12">
        <f t="shared" si="7"/>
        <v>119.56870345881343</v>
      </c>
    </row>
    <row r="76" spans="1:7">
      <c r="A76" s="36">
        <v>35.5</v>
      </c>
      <c r="B76" s="12">
        <v>210.02</v>
      </c>
      <c r="C76" s="37">
        <f t="shared" si="4"/>
        <v>0.21002000000000001</v>
      </c>
      <c r="D76" s="12">
        <f t="shared" si="5"/>
        <v>1.4806410000000002E-2</v>
      </c>
      <c r="E76" s="12">
        <f t="shared" si="6"/>
        <v>6.6100044642857154E-4</v>
      </c>
      <c r="F76" s="12">
        <f>E76/Calculation!K$19*1000</f>
        <v>9.1109836137663819E-4</v>
      </c>
      <c r="G76" s="12">
        <f t="shared" si="7"/>
        <v>119.59716736548185</v>
      </c>
    </row>
    <row r="77" spans="1:7">
      <c r="A77" s="36">
        <v>36</v>
      </c>
      <c r="B77" s="12">
        <v>202.71</v>
      </c>
      <c r="C77" s="37">
        <f t="shared" si="4"/>
        <v>0.20271</v>
      </c>
      <c r="D77" s="12">
        <f t="shared" si="5"/>
        <v>1.4291054999999999E-2</v>
      </c>
      <c r="E77" s="12">
        <f t="shared" si="6"/>
        <v>6.3799352678571423E-4</v>
      </c>
      <c r="F77" s="12">
        <f>E77/Calculation!K$19*1000</f>
        <v>8.7938648145252012E-4</v>
      </c>
      <c r="G77" s="12">
        <f t="shared" si="7"/>
        <v>119.62402463812428</v>
      </c>
    </row>
    <row r="78" spans="1:7">
      <c r="A78" s="36">
        <v>36.5</v>
      </c>
      <c r="B78" s="12">
        <v>186.95</v>
      </c>
      <c r="C78" s="37">
        <f t="shared" si="4"/>
        <v>0.18694999999999998</v>
      </c>
      <c r="D78" s="12">
        <f t="shared" si="5"/>
        <v>1.3179975E-2</v>
      </c>
      <c r="E78" s="12">
        <f t="shared" si="6"/>
        <v>5.8839174107142857E-4</v>
      </c>
      <c r="F78" s="12">
        <f>E78/Calculation!K$19*1000</f>
        <v>8.1101723007029076E-4</v>
      </c>
      <c r="G78" s="12">
        <f t="shared" si="7"/>
        <v>119.64938069379713</v>
      </c>
    </row>
    <row r="79" spans="1:7">
      <c r="A79" s="36">
        <v>37</v>
      </c>
      <c r="B79" s="12">
        <v>195.56</v>
      </c>
      <c r="C79" s="37">
        <f t="shared" si="4"/>
        <v>0.19556000000000001</v>
      </c>
      <c r="D79" s="12">
        <f t="shared" si="5"/>
        <v>1.3786980000000001E-2</v>
      </c>
      <c r="E79" s="12">
        <f t="shared" si="6"/>
        <v>6.154901785714287E-4</v>
      </c>
      <c r="F79" s="12">
        <f>E79/Calculation!K$19*1000</f>
        <v>8.4836870560334903E-4</v>
      </c>
      <c r="G79" s="12">
        <f t="shared" si="7"/>
        <v>119.67427148283222</v>
      </c>
    </row>
    <row r="80" spans="1:7">
      <c r="A80" s="36">
        <v>37.5</v>
      </c>
      <c r="B80" s="12">
        <v>190.36</v>
      </c>
      <c r="C80" s="37">
        <f t="shared" si="4"/>
        <v>0.19036</v>
      </c>
      <c r="D80" s="12">
        <f t="shared" si="5"/>
        <v>1.3420380000000001E-2</v>
      </c>
      <c r="E80" s="12">
        <f t="shared" si="6"/>
        <v>5.9912410714285723E-4</v>
      </c>
      <c r="F80" s="12">
        <f>E80/Calculation!K$19*1000</f>
        <v>8.2581032316758813E-4</v>
      </c>
      <c r="G80" s="12">
        <f t="shared" si="7"/>
        <v>119.69938416826379</v>
      </c>
    </row>
    <row r="81" spans="1:7">
      <c r="A81" s="36">
        <v>38</v>
      </c>
      <c r="B81" s="12">
        <v>194.75</v>
      </c>
      <c r="C81" s="37">
        <f t="shared" si="4"/>
        <v>0.19475000000000001</v>
      </c>
      <c r="D81" s="12">
        <f t="shared" si="5"/>
        <v>1.3729875000000001E-2</v>
      </c>
      <c r="E81" s="12">
        <f t="shared" si="6"/>
        <v>6.1294084821428578E-4</v>
      </c>
      <c r="F81" s="12">
        <f>E81/Calculation!K$19*1000</f>
        <v>8.4485480372393238E-4</v>
      </c>
      <c r="G81" s="12">
        <f t="shared" si="7"/>
        <v>119.72444414516717</v>
      </c>
    </row>
    <row r="82" spans="1:7">
      <c r="A82" s="36">
        <v>38.5</v>
      </c>
      <c r="B82" s="12">
        <v>218.14</v>
      </c>
      <c r="C82" s="37">
        <f t="shared" si="4"/>
        <v>0.21813999999999997</v>
      </c>
      <c r="D82" s="12">
        <f t="shared" si="5"/>
        <v>1.5378869999999998E-2</v>
      </c>
      <c r="E82" s="12">
        <f t="shared" si="6"/>
        <v>6.8655669642857134E-4</v>
      </c>
      <c r="F82" s="12">
        <f>E82/Calculation!K$19*1000</f>
        <v>9.4632414318017238E-4</v>
      </c>
      <c r="G82" s="12">
        <f t="shared" si="7"/>
        <v>119.75131182937074</v>
      </c>
    </row>
    <row r="83" spans="1:7">
      <c r="A83" s="36">
        <v>39</v>
      </c>
      <c r="B83" s="12">
        <v>202.71</v>
      </c>
      <c r="C83" s="37">
        <f t="shared" si="4"/>
        <v>0.20271</v>
      </c>
      <c r="D83" s="12">
        <f t="shared" si="5"/>
        <v>1.4291054999999999E-2</v>
      </c>
      <c r="E83" s="12">
        <f t="shared" si="6"/>
        <v>6.3799352678571423E-4</v>
      </c>
      <c r="F83" s="12">
        <f>E83/Calculation!K$19*1000</f>
        <v>8.7938648145252012E-4</v>
      </c>
      <c r="G83" s="12">
        <f t="shared" si="7"/>
        <v>119.77869748874022</v>
      </c>
    </row>
    <row r="84" spans="1:7">
      <c r="A84" s="36">
        <v>39.5</v>
      </c>
      <c r="B84" s="12">
        <v>184.19</v>
      </c>
      <c r="C84" s="37">
        <f t="shared" si="4"/>
        <v>0.18418999999999999</v>
      </c>
      <c r="D84" s="12">
        <f t="shared" si="5"/>
        <v>1.2985394999999999E-2</v>
      </c>
      <c r="E84" s="12">
        <f t="shared" si="6"/>
        <v>5.7970513392857138E-4</v>
      </c>
      <c r="F84" s="12">
        <f>E84/Calculation!K$19*1000</f>
        <v>7.9904393477746381E-4</v>
      </c>
      <c r="G84" s="12">
        <f t="shared" si="7"/>
        <v>119.80387394498366</v>
      </c>
    </row>
    <row r="85" spans="1:7">
      <c r="A85" s="36">
        <v>40</v>
      </c>
      <c r="B85" s="12">
        <v>173.47</v>
      </c>
      <c r="C85" s="37">
        <f t="shared" si="4"/>
        <v>0.17346999999999999</v>
      </c>
      <c r="D85" s="12">
        <f t="shared" si="5"/>
        <v>1.2229634999999999E-2</v>
      </c>
      <c r="E85" s="12">
        <f t="shared" si="6"/>
        <v>5.4596584821428574E-4</v>
      </c>
      <c r="F85" s="12">
        <f>E85/Calculation!K$19*1000</f>
        <v>7.5253896175604901E-4</v>
      </c>
      <c r="G85" s="12">
        <f t="shared" si="7"/>
        <v>119.82714768843167</v>
      </c>
    </row>
    <row r="86" spans="1:7">
      <c r="A86" s="36">
        <v>40.5</v>
      </c>
      <c r="B86" s="12">
        <v>168.76</v>
      </c>
      <c r="C86" s="37">
        <f t="shared" si="4"/>
        <v>0.16875999999999999</v>
      </c>
      <c r="D86" s="12">
        <f t="shared" si="5"/>
        <v>1.189758E-2</v>
      </c>
      <c r="E86" s="12">
        <f t="shared" si="6"/>
        <v>5.3114196428571427E-4</v>
      </c>
      <c r="F86" s="12">
        <f>E86/Calculation!K$19*1000</f>
        <v>7.3210627304981166E-4</v>
      </c>
      <c r="G86" s="12">
        <f t="shared" si="7"/>
        <v>119.84941736695376</v>
      </c>
    </row>
    <row r="87" spans="1:7">
      <c r="A87" s="36">
        <v>41</v>
      </c>
      <c r="B87" s="12">
        <v>159.01</v>
      </c>
      <c r="C87" s="37">
        <f t="shared" si="4"/>
        <v>0.15900999999999998</v>
      </c>
      <c r="D87" s="12">
        <f t="shared" si="5"/>
        <v>1.1210204999999999E-2</v>
      </c>
      <c r="E87" s="12">
        <f t="shared" si="6"/>
        <v>5.004555803571429E-4</v>
      </c>
      <c r="F87" s="12">
        <f>E87/Calculation!K$19*1000</f>
        <v>6.8980930598275985E-4</v>
      </c>
      <c r="G87" s="12">
        <f t="shared" si="7"/>
        <v>119.87074610063925</v>
      </c>
    </row>
    <row r="88" spans="1:7">
      <c r="A88" s="36">
        <v>41.5</v>
      </c>
      <c r="B88" s="12">
        <v>151.38</v>
      </c>
      <c r="C88" s="37">
        <f t="shared" si="4"/>
        <v>0.15137999999999999</v>
      </c>
      <c r="D88" s="12">
        <f t="shared" si="5"/>
        <v>1.0672289999999999E-2</v>
      </c>
      <c r="E88" s="12">
        <f t="shared" si="6"/>
        <v>4.7644151785714283E-4</v>
      </c>
      <c r="F88" s="12">
        <f>E88/Calculation!K$19*1000</f>
        <v>6.5670921790874899E-4</v>
      </c>
      <c r="G88" s="12">
        <f t="shared" si="7"/>
        <v>119.89094387849762</v>
      </c>
    </row>
    <row r="89" spans="1:7">
      <c r="A89" s="36">
        <v>42</v>
      </c>
      <c r="B89" s="12">
        <v>144.22999999999999</v>
      </c>
      <c r="C89" s="37">
        <f t="shared" si="4"/>
        <v>0.14423</v>
      </c>
      <c r="D89" s="12">
        <f t="shared" si="5"/>
        <v>1.0168215E-2</v>
      </c>
      <c r="E89" s="12">
        <f t="shared" si="6"/>
        <v>4.5393816964285714E-4</v>
      </c>
      <c r="F89" s="12">
        <f>E89/Calculation!K$19*1000</f>
        <v>6.2569144205957758E-4</v>
      </c>
      <c r="G89" s="12">
        <f t="shared" si="7"/>
        <v>119.91017988839715</v>
      </c>
    </row>
    <row r="90" spans="1:7">
      <c r="A90" s="36">
        <v>42.5</v>
      </c>
      <c r="B90" s="12">
        <v>138.06</v>
      </c>
      <c r="C90" s="37">
        <f t="shared" si="4"/>
        <v>0.13806000000000002</v>
      </c>
      <c r="D90" s="12">
        <f t="shared" si="5"/>
        <v>9.7332300000000007E-3</v>
      </c>
      <c r="E90" s="12">
        <f t="shared" si="6"/>
        <v>4.3451919642857151E-4</v>
      </c>
      <c r="F90" s="12">
        <f>E90/Calculation!K$19*1000</f>
        <v>5.9892505366945369E-4</v>
      </c>
      <c r="G90" s="12">
        <f t="shared" si="7"/>
        <v>119.92854913583309</v>
      </c>
    </row>
    <row r="91" spans="1:7">
      <c r="A91" s="36">
        <v>43</v>
      </c>
      <c r="B91" s="12">
        <v>0</v>
      </c>
      <c r="C91" s="37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E91/Calculation!K$19*1000</f>
        <v>0</v>
      </c>
      <c r="G91" s="12">
        <f t="shared" si="7"/>
        <v>119.93753301163814</v>
      </c>
    </row>
    <row r="92" spans="1:7">
      <c r="A92" s="36">
        <v>43.5</v>
      </c>
      <c r="B92" s="12">
        <v>0</v>
      </c>
      <c r="C92" s="37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E92/Calculation!K$19*1000</f>
        <v>0</v>
      </c>
      <c r="G92" s="12">
        <f t="shared" si="7"/>
        <v>119.93753301163814</v>
      </c>
    </row>
    <row r="93" spans="1:7">
      <c r="A93" s="36">
        <v>44</v>
      </c>
      <c r="B93" s="12">
        <v>0</v>
      </c>
      <c r="C93" s="37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E93/Calculation!K$19*1000</f>
        <v>0</v>
      </c>
      <c r="G93" s="12">
        <f t="shared" si="7"/>
        <v>119.93753301163814</v>
      </c>
    </row>
    <row r="94" spans="1:7">
      <c r="A94" s="36">
        <v>44.5</v>
      </c>
      <c r="B94" s="12">
        <v>0</v>
      </c>
      <c r="C94" s="37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E94/Calculation!K$19*1000</f>
        <v>0</v>
      </c>
      <c r="G94" s="12">
        <f t="shared" si="7"/>
        <v>119.93753301163814</v>
      </c>
    </row>
    <row r="95" spans="1:7">
      <c r="A95" s="36">
        <v>45</v>
      </c>
      <c r="B95" s="12">
        <v>148.29</v>
      </c>
      <c r="C95" s="37">
        <f t="shared" si="4"/>
        <v>0.14829000000000001</v>
      </c>
      <c r="D95" s="12">
        <f t="shared" si="5"/>
        <v>1.0454445E-2</v>
      </c>
      <c r="E95" s="12">
        <f t="shared" si="6"/>
        <v>4.6671629464285715E-4</v>
      </c>
      <c r="F95" s="12">
        <f>E95/Calculation!K$19*1000</f>
        <v>6.4330433296134494E-4</v>
      </c>
      <c r="G95" s="12">
        <f t="shared" si="7"/>
        <v>119.94718257663256</v>
      </c>
    </row>
    <row r="96" spans="1:7">
      <c r="A96" s="36">
        <v>45.5</v>
      </c>
      <c r="B96" s="12">
        <v>0</v>
      </c>
      <c r="C96" s="37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E96/Calculation!K$19*1000</f>
        <v>0</v>
      </c>
      <c r="G96" s="12">
        <f t="shared" si="7"/>
        <v>119.95683214162698</v>
      </c>
    </row>
    <row r="97" spans="1:7">
      <c r="A97" s="36">
        <v>46</v>
      </c>
      <c r="B97" s="12">
        <v>0</v>
      </c>
      <c r="C97" s="37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E97/Calculation!K$19*1000</f>
        <v>0</v>
      </c>
      <c r="G97" s="12">
        <f t="shared" si="7"/>
        <v>119.95683214162698</v>
      </c>
    </row>
    <row r="98" spans="1:7">
      <c r="A98" s="36">
        <v>46.5</v>
      </c>
      <c r="B98" s="12">
        <v>0</v>
      </c>
      <c r="C98" s="37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E98/Calculation!K$19*1000</f>
        <v>0</v>
      </c>
      <c r="G98" s="12">
        <f t="shared" si="7"/>
        <v>119.95683214162698</v>
      </c>
    </row>
    <row r="99" spans="1:7">
      <c r="A99" s="36">
        <v>47</v>
      </c>
      <c r="B99" s="12">
        <v>0</v>
      </c>
      <c r="C99" s="37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E99/Calculation!K$19*1000</f>
        <v>0</v>
      </c>
      <c r="G99" s="12">
        <f t="shared" si="7"/>
        <v>119.95683214162698</v>
      </c>
    </row>
    <row r="100" spans="1:7">
      <c r="A100" s="36">
        <v>47.5</v>
      </c>
      <c r="B100" s="12">
        <v>0</v>
      </c>
      <c r="C100" s="37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E100/Calculation!K$19*1000</f>
        <v>0</v>
      </c>
      <c r="G100" s="12">
        <f t="shared" si="7"/>
        <v>119.95683214162698</v>
      </c>
    </row>
    <row r="101" spans="1:7">
      <c r="A101" s="36">
        <v>48</v>
      </c>
      <c r="B101" s="12">
        <v>0</v>
      </c>
      <c r="C101" s="37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E101/Calculation!K$20*1000</f>
        <v>0</v>
      </c>
      <c r="G101" s="12">
        <f t="shared" si="7"/>
        <v>119.95683214162698</v>
      </c>
    </row>
    <row r="102" spans="1:7">
      <c r="B102" s="10"/>
    </row>
    <row r="103" spans="1:7">
      <c r="B103" s="10"/>
    </row>
    <row r="104" spans="1:7">
      <c r="A104" s="96" t="s">
        <v>5</v>
      </c>
      <c r="B104" s="96" t="s">
        <v>36</v>
      </c>
      <c r="C104" s="96"/>
      <c r="D104" s="96" t="s">
        <v>51</v>
      </c>
      <c r="E104" s="96"/>
      <c r="F104" s="96"/>
      <c r="G104" s="80" t="s">
        <v>52</v>
      </c>
    </row>
    <row r="105" spans="1:7">
      <c r="A105" s="96"/>
      <c r="B105" s="80" t="s">
        <v>53</v>
      </c>
      <c r="C105" s="80" t="s">
        <v>54</v>
      </c>
      <c r="D105" s="80" t="s">
        <v>55</v>
      </c>
      <c r="E105" s="80" t="s">
        <v>56</v>
      </c>
      <c r="F105" s="80" t="s">
        <v>57</v>
      </c>
      <c r="G105" s="80" t="s">
        <v>58</v>
      </c>
    </row>
    <row r="106" spans="1:7">
      <c r="A106" s="36">
        <v>0</v>
      </c>
      <c r="B106" s="12">
        <v>0</v>
      </c>
      <c r="C106" s="37">
        <f>B106/1000</f>
        <v>0</v>
      </c>
      <c r="D106" s="12">
        <f>C106/1000*$B$1</f>
        <v>0</v>
      </c>
      <c r="E106" s="12">
        <f>D106/22.4</f>
        <v>0</v>
      </c>
      <c r="F106" s="12">
        <f>E106/Calculation!K$4*1000</f>
        <v>0</v>
      </c>
      <c r="G106" s="12">
        <f>(0+F106)/2*30</f>
        <v>0</v>
      </c>
    </row>
    <row r="107" spans="1:7">
      <c r="A107" s="36">
        <v>0.5</v>
      </c>
      <c r="B107" s="12">
        <v>2661.12</v>
      </c>
      <c r="C107" s="37">
        <f t="shared" ref="C107:C170" si="8">B107/1000</f>
        <v>2.6611199999999999</v>
      </c>
      <c r="D107" s="12">
        <f t="shared" ref="D107:D170" si="9">C107/1000*$B$1</f>
        <v>0.18760895999999999</v>
      </c>
      <c r="E107" s="12">
        <f t="shared" ref="E107:E170" si="10">D107/22.4</f>
        <v>8.3753999999999999E-3</v>
      </c>
      <c r="F107" s="12">
        <f>E107/Calculation!K$4*1000</f>
        <v>5.7364178705514987E-3</v>
      </c>
      <c r="G107" s="12">
        <f>G106+(F107+F106)/2*30</f>
        <v>8.6046268058272479E-2</v>
      </c>
    </row>
    <row r="108" spans="1:7">
      <c r="A108" s="36">
        <v>1</v>
      </c>
      <c r="B108" s="12">
        <v>5643.51</v>
      </c>
      <c r="C108" s="37">
        <f t="shared" si="8"/>
        <v>5.64351</v>
      </c>
      <c r="D108" s="12">
        <f t="shared" si="9"/>
        <v>0.39786745499999998</v>
      </c>
      <c r="E108" s="12">
        <f t="shared" si="10"/>
        <v>1.7761939955357142E-2</v>
      </c>
      <c r="F108" s="12">
        <f>E108/Calculation!K$4*1000</f>
        <v>1.2165378343192371E-2</v>
      </c>
      <c r="G108" s="12">
        <f>G107+(F108+F107)/2*30</f>
        <v>0.35457321126443053</v>
      </c>
    </row>
    <row r="109" spans="1:7">
      <c r="A109" s="36">
        <v>1.5</v>
      </c>
      <c r="B109" s="12">
        <v>5409.21</v>
      </c>
      <c r="C109" s="37">
        <f t="shared" si="8"/>
        <v>5.4092099999999999</v>
      </c>
      <c r="D109" s="12">
        <f t="shared" si="9"/>
        <v>0.38134930500000003</v>
      </c>
      <c r="E109" s="12">
        <f t="shared" si="10"/>
        <v>1.7024522544642859E-2</v>
      </c>
      <c r="F109" s="12">
        <f>E109/Calculation!K$4*1000</f>
        <v>1.1660311789609591E-2</v>
      </c>
      <c r="G109" s="12">
        <f t="shared" ref="G109:G172" si="11">G108+(F109+F108)/2*30</f>
        <v>0.71195856325646001</v>
      </c>
    </row>
    <row r="110" spans="1:7">
      <c r="A110" s="36">
        <v>2</v>
      </c>
      <c r="B110" s="12">
        <v>5321.24</v>
      </c>
      <c r="C110" s="37">
        <f t="shared" si="8"/>
        <v>5.3212399999999995</v>
      </c>
      <c r="D110" s="12">
        <f t="shared" si="9"/>
        <v>0.37514741999999995</v>
      </c>
      <c r="E110" s="12">
        <f t="shared" si="10"/>
        <v>1.6747652678571427E-2</v>
      </c>
      <c r="F110" s="12">
        <f>E110/Calculation!K$5*1000</f>
        <v>1.1860342269694301E-2</v>
      </c>
      <c r="G110" s="12">
        <f t="shared" si="11"/>
        <v>1.0647683741460183</v>
      </c>
    </row>
    <row r="111" spans="1:7">
      <c r="A111" s="36">
        <v>2.5</v>
      </c>
      <c r="B111" s="12">
        <v>5091.78</v>
      </c>
      <c r="C111" s="37">
        <f t="shared" si="8"/>
        <v>5.09178</v>
      </c>
      <c r="D111" s="12">
        <f t="shared" si="9"/>
        <v>0.35897048999999998</v>
      </c>
      <c r="E111" s="12">
        <f t="shared" si="10"/>
        <v>1.6025468303571429E-2</v>
      </c>
      <c r="F111" s="12">
        <f>E111/Calculation!K$5*1000</f>
        <v>1.1348906187652514E-2</v>
      </c>
      <c r="G111" s="12">
        <f t="shared" si="11"/>
        <v>1.4129071010062204</v>
      </c>
    </row>
    <row r="112" spans="1:7">
      <c r="A112" s="36">
        <v>3</v>
      </c>
      <c r="B112" s="12">
        <v>4989.43</v>
      </c>
      <c r="C112" s="37">
        <f t="shared" si="8"/>
        <v>4.9894300000000005</v>
      </c>
      <c r="D112" s="12">
        <f t="shared" si="9"/>
        <v>0.35175481500000005</v>
      </c>
      <c r="E112" s="12">
        <f t="shared" si="10"/>
        <v>1.5703339955357148E-2</v>
      </c>
      <c r="F112" s="12">
        <f>E112/Calculation!K$5*1000</f>
        <v>1.1120781534131307E-2</v>
      </c>
      <c r="G112" s="12">
        <f t="shared" si="11"/>
        <v>1.7499524168329779</v>
      </c>
    </row>
    <row r="113" spans="1:7">
      <c r="A113" s="36">
        <v>3.5</v>
      </c>
      <c r="B113" s="12">
        <v>4775.2</v>
      </c>
      <c r="C113" s="37">
        <f t="shared" si="8"/>
        <v>4.7751999999999999</v>
      </c>
      <c r="D113" s="12">
        <f t="shared" si="9"/>
        <v>0.3366516</v>
      </c>
      <c r="E113" s="12">
        <f t="shared" si="10"/>
        <v>1.5029089285714286E-2</v>
      </c>
      <c r="F113" s="12">
        <f>E113/Calculation!K$6*1000</f>
        <v>1.100144136339342E-2</v>
      </c>
      <c r="G113" s="12">
        <f t="shared" si="11"/>
        <v>2.0817857602958485</v>
      </c>
    </row>
    <row r="114" spans="1:7">
      <c r="A114" s="36">
        <v>4</v>
      </c>
      <c r="B114" s="12">
        <v>4644.58</v>
      </c>
      <c r="C114" s="37">
        <f t="shared" si="8"/>
        <v>4.6445799999999995</v>
      </c>
      <c r="D114" s="12">
        <f t="shared" si="9"/>
        <v>0.32744288999999999</v>
      </c>
      <c r="E114" s="12">
        <f t="shared" si="10"/>
        <v>1.4617986160714287E-2</v>
      </c>
      <c r="F114" s="12">
        <f>E114/Calculation!K$6*1000</f>
        <v>1.0700509827355884E-2</v>
      </c>
      <c r="G114" s="12">
        <f t="shared" si="11"/>
        <v>2.4073150281570879</v>
      </c>
    </row>
    <row r="115" spans="1:7">
      <c r="A115" s="36">
        <v>4.5</v>
      </c>
      <c r="B115" s="12">
        <v>4651.1099999999997</v>
      </c>
      <c r="C115" s="37">
        <f t="shared" si="8"/>
        <v>4.6511100000000001</v>
      </c>
      <c r="D115" s="12">
        <f t="shared" si="9"/>
        <v>0.327903255</v>
      </c>
      <c r="E115" s="12">
        <f t="shared" si="10"/>
        <v>1.4638538169642858E-2</v>
      </c>
      <c r="F115" s="12">
        <f>E115/Calculation!K$6*1000</f>
        <v>1.071555410028748E-2</v>
      </c>
      <c r="G115" s="12">
        <f t="shared" si="11"/>
        <v>2.7285559870717382</v>
      </c>
    </row>
    <row r="116" spans="1:7">
      <c r="A116" s="36">
        <v>5</v>
      </c>
      <c r="B116" s="12">
        <v>4912.5</v>
      </c>
      <c r="C116" s="37">
        <f t="shared" si="8"/>
        <v>4.9124999999999996</v>
      </c>
      <c r="D116" s="12">
        <f t="shared" si="9"/>
        <v>0.34633124999999998</v>
      </c>
      <c r="E116" s="12">
        <f t="shared" si="10"/>
        <v>1.5461216517857142E-2</v>
      </c>
      <c r="F116" s="12">
        <f>E116/Calculation!K$7*1000</f>
        <v>1.1747116423348658E-2</v>
      </c>
      <c r="G116" s="12">
        <f t="shared" si="11"/>
        <v>3.06549604492628</v>
      </c>
    </row>
    <row r="117" spans="1:7">
      <c r="A117" s="36">
        <v>5.5</v>
      </c>
      <c r="B117" s="12">
        <v>5339.3</v>
      </c>
      <c r="C117" s="37">
        <f t="shared" si="8"/>
        <v>5.3393000000000006</v>
      </c>
      <c r="D117" s="12">
        <f t="shared" si="9"/>
        <v>0.37642065000000008</v>
      </c>
      <c r="E117" s="12">
        <f t="shared" si="10"/>
        <v>1.6804493303571432E-2</v>
      </c>
      <c r="F117" s="12">
        <f>E117/Calculation!K$7*1000</f>
        <v>1.2767710680750229E-2</v>
      </c>
      <c r="G117" s="12">
        <f t="shared" si="11"/>
        <v>3.4332184514877633</v>
      </c>
    </row>
    <row r="118" spans="1:7">
      <c r="A118" s="36">
        <v>6</v>
      </c>
      <c r="B118" s="12">
        <v>5777.13</v>
      </c>
      <c r="C118" s="37">
        <f t="shared" si="8"/>
        <v>5.7771300000000005</v>
      </c>
      <c r="D118" s="12">
        <f t="shared" si="9"/>
        <v>0.40728766500000002</v>
      </c>
      <c r="E118" s="12">
        <f t="shared" si="10"/>
        <v>1.8182485044642861E-2</v>
      </c>
      <c r="F118" s="12">
        <f>E118/Calculation!K$8*1000</f>
        <v>1.4450594523254911E-2</v>
      </c>
      <c r="G118" s="12">
        <f t="shared" si="11"/>
        <v>3.8414930295478404</v>
      </c>
    </row>
    <row r="119" spans="1:7">
      <c r="A119" s="36">
        <v>6.5</v>
      </c>
      <c r="B119" s="12">
        <v>6634.74</v>
      </c>
      <c r="C119" s="37">
        <f t="shared" si="8"/>
        <v>6.6347399999999999</v>
      </c>
      <c r="D119" s="12">
        <f t="shared" si="9"/>
        <v>0.46774916999999999</v>
      </c>
      <c r="E119" s="12">
        <f t="shared" si="10"/>
        <v>2.0881659375E-2</v>
      </c>
      <c r="F119" s="12">
        <f>E119/Calculation!K$8*1000</f>
        <v>1.6595772902326982E-2</v>
      </c>
      <c r="G119" s="12">
        <f t="shared" si="11"/>
        <v>4.3071885409315689</v>
      </c>
    </row>
    <row r="120" spans="1:7">
      <c r="A120" s="36">
        <v>7</v>
      </c>
      <c r="B120" s="12">
        <v>6586.91</v>
      </c>
      <c r="C120" s="37">
        <f t="shared" si="8"/>
        <v>6.5869099999999996</v>
      </c>
      <c r="D120" s="12">
        <f t="shared" si="9"/>
        <v>0.46437715499999999</v>
      </c>
      <c r="E120" s="12">
        <f t="shared" si="10"/>
        <v>2.0731122991071431E-2</v>
      </c>
      <c r="F120" s="12">
        <f>E120/Calculation!K$8*1000</f>
        <v>1.6476133576909812E-2</v>
      </c>
      <c r="G120" s="12">
        <f t="shared" si="11"/>
        <v>4.8032671381201206</v>
      </c>
    </row>
    <row r="121" spans="1:7">
      <c r="A121" s="36">
        <v>7.5</v>
      </c>
      <c r="B121" s="12">
        <v>6169.81</v>
      </c>
      <c r="C121" s="37">
        <f t="shared" si="8"/>
        <v>6.16981</v>
      </c>
      <c r="D121" s="12">
        <f t="shared" si="9"/>
        <v>0.43497160500000004</v>
      </c>
      <c r="E121" s="12">
        <f t="shared" si="10"/>
        <v>1.9418375223214289E-2</v>
      </c>
      <c r="F121" s="12">
        <f>E121/Calculation!K$9*1000</f>
        <v>1.6043016604599156E-2</v>
      </c>
      <c r="G121" s="12">
        <f t="shared" si="11"/>
        <v>5.2910543908427554</v>
      </c>
    </row>
    <row r="122" spans="1:7">
      <c r="A122" s="36">
        <v>8</v>
      </c>
      <c r="B122" s="12">
        <v>6277.51</v>
      </c>
      <c r="C122" s="37">
        <f t="shared" si="8"/>
        <v>6.2775100000000004</v>
      </c>
      <c r="D122" s="12">
        <f t="shared" si="9"/>
        <v>0.44256445500000002</v>
      </c>
      <c r="E122" s="12">
        <f t="shared" si="10"/>
        <v>1.9757341741071431E-2</v>
      </c>
      <c r="F122" s="12">
        <f>E122/Calculation!K$9*1000</f>
        <v>1.632306297366325E-2</v>
      </c>
      <c r="G122" s="12">
        <f t="shared" si="11"/>
        <v>5.7765455845166915</v>
      </c>
    </row>
    <row r="123" spans="1:7">
      <c r="A123" s="36">
        <v>8.5</v>
      </c>
      <c r="B123" s="12">
        <v>6785.25</v>
      </c>
      <c r="C123" s="37">
        <f t="shared" si="8"/>
        <v>6.7852499999999996</v>
      </c>
      <c r="D123" s="12">
        <f t="shared" si="9"/>
        <v>0.47836012499999997</v>
      </c>
      <c r="E123" s="12">
        <f t="shared" si="10"/>
        <v>2.1355362723214286E-2</v>
      </c>
      <c r="F123" s="12">
        <f>E123/Calculation!K$9*1000</f>
        <v>1.7643311287763547E-2</v>
      </c>
      <c r="G123" s="12">
        <f t="shared" si="11"/>
        <v>6.2860411984380935</v>
      </c>
    </row>
    <row r="124" spans="1:7">
      <c r="A124" s="36">
        <v>9</v>
      </c>
      <c r="B124" s="12">
        <v>7679.82</v>
      </c>
      <c r="C124" s="37">
        <f t="shared" si="8"/>
        <v>7.6798199999999994</v>
      </c>
      <c r="D124" s="12">
        <f t="shared" si="9"/>
        <v>0.54142730999999999</v>
      </c>
      <c r="E124" s="12">
        <f t="shared" si="10"/>
        <v>2.417086205357143E-2</v>
      </c>
      <c r="F124" s="12">
        <f>E124/Calculation!K$10*1000</f>
        <v>2.0880237486915001E-2</v>
      </c>
      <c r="G124" s="12">
        <f t="shared" si="11"/>
        <v>6.8638944300582718</v>
      </c>
    </row>
    <row r="125" spans="1:7">
      <c r="A125" s="36">
        <v>9.5</v>
      </c>
      <c r="B125" s="12">
        <v>8903.35</v>
      </c>
      <c r="C125" s="37">
        <f t="shared" si="8"/>
        <v>8.9033499999999997</v>
      </c>
      <c r="D125" s="12">
        <f t="shared" si="9"/>
        <v>0.6276861749999999</v>
      </c>
      <c r="E125" s="12">
        <f t="shared" si="10"/>
        <v>2.8021704241071425E-2</v>
      </c>
      <c r="F125" s="12">
        <f>E125/Calculation!K$10*1000</f>
        <v>2.4206825476264369E-2</v>
      </c>
      <c r="G125" s="12">
        <f t="shared" si="11"/>
        <v>7.5402003745059627</v>
      </c>
    </row>
    <row r="126" spans="1:7">
      <c r="A126" s="36">
        <v>10</v>
      </c>
      <c r="B126" s="12">
        <v>10482.76</v>
      </c>
      <c r="C126" s="37">
        <f t="shared" si="8"/>
        <v>10.482760000000001</v>
      </c>
      <c r="D126" s="12">
        <f t="shared" si="9"/>
        <v>0.73903458</v>
      </c>
      <c r="E126" s="12">
        <f t="shared" si="10"/>
        <v>3.2992615178571431E-2</v>
      </c>
      <c r="F126" s="12">
        <f>E126/Calculation!K$11*1000</f>
        <v>2.9863081364851624E-2</v>
      </c>
      <c r="G126" s="12">
        <f t="shared" si="11"/>
        <v>8.3512489771227028</v>
      </c>
    </row>
    <row r="127" spans="1:7">
      <c r="A127" s="36">
        <v>10.5</v>
      </c>
      <c r="B127" s="12">
        <v>12791</v>
      </c>
      <c r="C127" s="37">
        <f t="shared" si="8"/>
        <v>12.791</v>
      </c>
      <c r="D127" s="12">
        <f t="shared" si="9"/>
        <v>0.9017655</v>
      </c>
      <c r="E127" s="12">
        <f t="shared" si="10"/>
        <v>4.0257388392857148E-2</v>
      </c>
      <c r="F127" s="12">
        <f>E127/Calculation!K$11*1000</f>
        <v>3.6438750265943051E-2</v>
      </c>
      <c r="G127" s="12">
        <f t="shared" si="11"/>
        <v>9.3457764515846229</v>
      </c>
    </row>
    <row r="128" spans="1:7">
      <c r="A128" s="36">
        <v>11</v>
      </c>
      <c r="B128" s="12">
        <v>15990.97</v>
      </c>
      <c r="C128" s="37">
        <f t="shared" si="8"/>
        <v>15.990969999999999</v>
      </c>
      <c r="D128" s="12">
        <f t="shared" si="9"/>
        <v>1.127363385</v>
      </c>
      <c r="E128" s="12">
        <f t="shared" si="10"/>
        <v>5.0328722544642858E-2</v>
      </c>
      <c r="F128" s="12">
        <f>E128/Calculation!K$11*1000</f>
        <v>4.5554762124946233E-2</v>
      </c>
      <c r="G128" s="12">
        <f t="shared" si="11"/>
        <v>10.575679137447962</v>
      </c>
    </row>
    <row r="129" spans="1:7">
      <c r="A129" s="36">
        <v>11.5</v>
      </c>
      <c r="B129" s="12">
        <v>19838.66</v>
      </c>
      <c r="C129" s="37">
        <f t="shared" si="8"/>
        <v>19.838660000000001</v>
      </c>
      <c r="D129" s="12">
        <f t="shared" si="9"/>
        <v>1.3986255300000001</v>
      </c>
      <c r="E129" s="12">
        <f t="shared" si="10"/>
        <v>6.2438639732142864E-2</v>
      </c>
      <c r="F129" s="12">
        <f>E129/Calculation!K$12*1000</f>
        <v>5.9007779038440018E-2</v>
      </c>
      <c r="G129" s="12">
        <f t="shared" si="11"/>
        <v>12.144117254898756</v>
      </c>
    </row>
    <row r="130" spans="1:7">
      <c r="A130" s="36">
        <v>12</v>
      </c>
      <c r="B130" s="12">
        <v>25715.97</v>
      </c>
      <c r="C130" s="37">
        <f t="shared" si="8"/>
        <v>25.715970000000002</v>
      </c>
      <c r="D130" s="12">
        <f t="shared" si="9"/>
        <v>1.8129758850000002</v>
      </c>
      <c r="E130" s="12">
        <f t="shared" si="10"/>
        <v>8.0936423437500016E-2</v>
      </c>
      <c r="F130" s="12">
        <f>E130/Calculation!K$12*1000</f>
        <v>7.6489151763231608E-2</v>
      </c>
      <c r="G130" s="12">
        <f t="shared" si="11"/>
        <v>14.176571216923831</v>
      </c>
    </row>
    <row r="131" spans="1:7">
      <c r="A131" s="36">
        <v>12.5</v>
      </c>
      <c r="B131" s="12">
        <v>31660.67</v>
      </c>
      <c r="C131" s="37">
        <f t="shared" si="8"/>
        <v>31.66067</v>
      </c>
      <c r="D131" s="12">
        <f t="shared" si="9"/>
        <v>2.2320772350000002</v>
      </c>
      <c r="E131" s="12">
        <f t="shared" si="10"/>
        <v>9.9646305133928581E-2</v>
      </c>
      <c r="F131" s="12">
        <f>E131/Calculation!K$12*1000</f>
        <v>9.4170968178746275E-2</v>
      </c>
      <c r="G131" s="12">
        <f t="shared" si="11"/>
        <v>16.736473016053498</v>
      </c>
    </row>
    <row r="132" spans="1:7">
      <c r="A132" s="36">
        <v>13</v>
      </c>
      <c r="B132" s="12">
        <v>37683.82</v>
      </c>
      <c r="C132" s="37">
        <f t="shared" si="8"/>
        <v>37.683819999999997</v>
      </c>
      <c r="D132" s="12">
        <f t="shared" si="9"/>
        <v>2.6567093100000001</v>
      </c>
      <c r="E132" s="12">
        <f t="shared" si="10"/>
        <v>0.11860309419642859</v>
      </c>
      <c r="F132" s="12">
        <f>E132/Calculation!K$13*1000</f>
        <v>0.11722568386510662</v>
      </c>
      <c r="G132" s="12">
        <f t="shared" si="11"/>
        <v>19.907422796711291</v>
      </c>
    </row>
    <row r="133" spans="1:7">
      <c r="A133" s="36">
        <v>13.5</v>
      </c>
      <c r="B133" s="12">
        <v>44220.55</v>
      </c>
      <c r="C133" s="37">
        <f t="shared" si="8"/>
        <v>44.220550000000003</v>
      </c>
      <c r="D133" s="12">
        <f t="shared" si="9"/>
        <v>3.1175487750000004</v>
      </c>
      <c r="E133" s="12">
        <f t="shared" si="10"/>
        <v>0.13917628459821432</v>
      </c>
      <c r="F133" s="12">
        <f>E133/Calculation!K$13*1000</f>
        <v>0.13755994521365247</v>
      </c>
      <c r="G133" s="12">
        <f t="shared" si="11"/>
        <v>23.729207232892676</v>
      </c>
    </row>
    <row r="134" spans="1:7">
      <c r="A134" s="36">
        <v>14</v>
      </c>
      <c r="B134" s="12">
        <v>47502.47</v>
      </c>
      <c r="C134" s="37">
        <f t="shared" si="8"/>
        <v>47.502470000000002</v>
      </c>
      <c r="D134" s="12">
        <f t="shared" si="9"/>
        <v>3.3489241350000003</v>
      </c>
      <c r="E134" s="12">
        <f t="shared" si="10"/>
        <v>0.14950554174107145</v>
      </c>
      <c r="F134" s="12">
        <f>E134/Calculation!K$13*1000</f>
        <v>0.14776924237064373</v>
      </c>
      <c r="G134" s="12">
        <f t="shared" si="11"/>
        <v>28.009145046657117</v>
      </c>
    </row>
    <row r="135" spans="1:7">
      <c r="A135" s="36">
        <v>14.5</v>
      </c>
      <c r="B135" s="12">
        <v>48777.5</v>
      </c>
      <c r="C135" s="37">
        <f t="shared" si="8"/>
        <v>48.777500000000003</v>
      </c>
      <c r="D135" s="12">
        <f t="shared" si="9"/>
        <v>3.43881375</v>
      </c>
      <c r="E135" s="12">
        <f t="shared" si="10"/>
        <v>0.15351847098214286</v>
      </c>
      <c r="F135" s="12">
        <f>E135/Calculation!K$14*1000</f>
        <v>0.15866061824069508</v>
      </c>
      <c r="G135" s="12">
        <f t="shared" si="11"/>
        <v>32.605592955827198</v>
      </c>
    </row>
    <row r="136" spans="1:7">
      <c r="A136" s="36">
        <v>15</v>
      </c>
      <c r="B136" s="12">
        <v>53330.61</v>
      </c>
      <c r="C136" s="37">
        <f t="shared" si="8"/>
        <v>53.33061</v>
      </c>
      <c r="D136" s="12">
        <f t="shared" si="9"/>
        <v>3.759808005</v>
      </c>
      <c r="E136" s="12">
        <f t="shared" si="10"/>
        <v>0.16784857165178574</v>
      </c>
      <c r="F136" s="12">
        <f>E136/Calculation!K$14*1000</f>
        <v>0.17347070993292801</v>
      </c>
      <c r="G136" s="12">
        <f t="shared" si="11"/>
        <v>37.587562878431548</v>
      </c>
    </row>
    <row r="137" spans="1:7">
      <c r="A137" s="36">
        <v>15.5</v>
      </c>
      <c r="B137" s="12">
        <v>54928.42</v>
      </c>
      <c r="C137" s="37">
        <f t="shared" si="8"/>
        <v>54.928419999999996</v>
      </c>
      <c r="D137" s="12">
        <f t="shared" si="9"/>
        <v>3.87245361</v>
      </c>
      <c r="E137" s="12">
        <f t="shared" si="10"/>
        <v>0.17287739330357144</v>
      </c>
      <c r="F137" s="12">
        <f>E137/Calculation!K$15*1000</f>
        <v>0.187158003893725</v>
      </c>
      <c r="G137" s="12">
        <f t="shared" si="11"/>
        <v>42.996993585831341</v>
      </c>
    </row>
    <row r="138" spans="1:7">
      <c r="A138" s="36">
        <v>16</v>
      </c>
      <c r="B138" s="12">
        <v>56446.79</v>
      </c>
      <c r="C138" s="37">
        <f t="shared" si="8"/>
        <v>56.44679</v>
      </c>
      <c r="D138" s="12">
        <f t="shared" si="9"/>
        <v>3.9794986949999998</v>
      </c>
      <c r="E138" s="12">
        <f t="shared" si="10"/>
        <v>0.17765619174107142</v>
      </c>
      <c r="F138" s="12">
        <f>E138/Calculation!K$15*1000</f>
        <v>0.19233155700834426</v>
      </c>
      <c r="G138" s="12">
        <f t="shared" si="11"/>
        <v>48.689336999362382</v>
      </c>
    </row>
    <row r="139" spans="1:7">
      <c r="A139" s="36">
        <v>16.5</v>
      </c>
      <c r="B139" s="12">
        <v>55583.33</v>
      </c>
      <c r="C139" s="37">
        <f t="shared" si="8"/>
        <v>55.583330000000004</v>
      </c>
      <c r="D139" s="12">
        <f t="shared" si="9"/>
        <v>3.9186247650000001</v>
      </c>
      <c r="E139" s="12">
        <f t="shared" si="10"/>
        <v>0.17493860558035715</v>
      </c>
      <c r="F139" s="12">
        <f>E139/Calculation!K$15*1000</f>
        <v>0.18938948348716753</v>
      </c>
      <c r="G139" s="12">
        <f t="shared" si="11"/>
        <v>54.415152606795061</v>
      </c>
    </row>
    <row r="140" spans="1:7">
      <c r="A140" s="36">
        <v>17</v>
      </c>
      <c r="B140" s="12">
        <v>56566.87</v>
      </c>
      <c r="C140" s="37">
        <f t="shared" si="8"/>
        <v>56.566870000000002</v>
      </c>
      <c r="D140" s="12">
        <f t="shared" si="9"/>
        <v>3.987964335</v>
      </c>
      <c r="E140" s="12">
        <f t="shared" si="10"/>
        <v>0.17803412209821429</v>
      </c>
      <c r="F140" s="12">
        <f>E140/Calculation!K$16*1000</f>
        <v>0.20315337969015065</v>
      </c>
      <c r="G140" s="12">
        <f t="shared" si="11"/>
        <v>60.303295554454834</v>
      </c>
    </row>
    <row r="141" spans="1:7">
      <c r="A141" s="36">
        <v>17.5</v>
      </c>
      <c r="B141" s="12">
        <v>57307.57</v>
      </c>
      <c r="C141" s="37">
        <f t="shared" si="8"/>
        <v>57.307569999999998</v>
      </c>
      <c r="D141" s="12">
        <f t="shared" si="9"/>
        <v>4.0401836849999997</v>
      </c>
      <c r="E141" s="12">
        <f t="shared" si="10"/>
        <v>0.18036534308035715</v>
      </c>
      <c r="F141" s="12">
        <f>E141/Calculation!K$16*1000</f>
        <v>0.20581351818352134</v>
      </c>
      <c r="G141" s="12">
        <f t="shared" si="11"/>
        <v>66.437799022559915</v>
      </c>
    </row>
    <row r="142" spans="1:7">
      <c r="A142" s="36">
        <v>18</v>
      </c>
      <c r="B142" s="12">
        <v>57300.88</v>
      </c>
      <c r="C142" s="37">
        <f t="shared" si="8"/>
        <v>57.300879999999999</v>
      </c>
      <c r="D142" s="12">
        <f t="shared" si="9"/>
        <v>4.0397120399999995</v>
      </c>
      <c r="E142" s="12">
        <f t="shared" si="10"/>
        <v>0.18034428749999998</v>
      </c>
      <c r="F142" s="12">
        <f>E142/Calculation!K$17*1000</f>
        <v>0.2181749704956967</v>
      </c>
      <c r="G142" s="12">
        <f t="shared" si="11"/>
        <v>72.797626352748182</v>
      </c>
    </row>
    <row r="143" spans="1:7">
      <c r="A143" s="36">
        <v>18.5</v>
      </c>
      <c r="B143" s="12">
        <v>56110.47</v>
      </c>
      <c r="C143" s="37">
        <f t="shared" si="8"/>
        <v>56.110469999999999</v>
      </c>
      <c r="D143" s="12">
        <f t="shared" si="9"/>
        <v>3.9557881350000001</v>
      </c>
      <c r="E143" s="12">
        <f t="shared" si="10"/>
        <v>0.17659768459821432</v>
      </c>
      <c r="F143" s="12">
        <f>E143/Calculation!K$17*1000</f>
        <v>0.2136424455741287</v>
      </c>
      <c r="G143" s="12">
        <f t="shared" si="11"/>
        <v>79.274887593795569</v>
      </c>
    </row>
    <row r="144" spans="1:7">
      <c r="A144" s="36">
        <v>19</v>
      </c>
      <c r="B144" s="12">
        <v>56711.53</v>
      </c>
      <c r="C144" s="37">
        <f t="shared" si="8"/>
        <v>56.711529999999996</v>
      </c>
      <c r="D144" s="12">
        <f t="shared" si="9"/>
        <v>3.9981628649999998</v>
      </c>
      <c r="E144" s="12">
        <f t="shared" si="10"/>
        <v>0.17848941361607143</v>
      </c>
      <c r="F144" s="12">
        <f>E144/Calculation!K$17*1000</f>
        <v>0.21593100113847852</v>
      </c>
      <c r="G144" s="12">
        <f t="shared" si="11"/>
        <v>85.718489294484684</v>
      </c>
    </row>
    <row r="145" spans="1:7">
      <c r="A145" s="36">
        <v>19.5</v>
      </c>
      <c r="B145" s="12">
        <v>55701.74</v>
      </c>
      <c r="C145" s="37">
        <f t="shared" si="8"/>
        <v>55.701740000000001</v>
      </c>
      <c r="D145" s="12">
        <f t="shared" si="9"/>
        <v>3.9269726700000001</v>
      </c>
      <c r="E145" s="12">
        <f t="shared" si="10"/>
        <v>0.1753112799107143</v>
      </c>
      <c r="F145" s="12">
        <f>E145/Calculation!K$17*1000</f>
        <v>0.21208619276107055</v>
      </c>
      <c r="G145" s="12">
        <f t="shared" si="11"/>
        <v>92.138747202977925</v>
      </c>
    </row>
    <row r="146" spans="1:7">
      <c r="A146" s="36">
        <v>20</v>
      </c>
      <c r="B146" s="12">
        <v>55236.31</v>
      </c>
      <c r="C146" s="37">
        <f t="shared" si="8"/>
        <v>55.236309999999996</v>
      </c>
      <c r="D146" s="12">
        <f t="shared" si="9"/>
        <v>3.8941598549999998</v>
      </c>
      <c r="E146" s="12">
        <f t="shared" si="10"/>
        <v>0.1738464220982143</v>
      </c>
      <c r="F146" s="12">
        <f>E146/Calculation!K$17*1000</f>
        <v>0.2103140528477252</v>
      </c>
      <c r="G146" s="12">
        <f t="shared" si="11"/>
        <v>98.474750887109863</v>
      </c>
    </row>
    <row r="147" spans="1:7">
      <c r="A147" s="36">
        <v>20.5</v>
      </c>
      <c r="B147" s="12">
        <v>54003.58</v>
      </c>
      <c r="C147" s="37">
        <f t="shared" si="8"/>
        <v>54.003579999999999</v>
      </c>
      <c r="D147" s="12">
        <f t="shared" si="9"/>
        <v>3.8072523900000004</v>
      </c>
      <c r="E147" s="12">
        <f t="shared" si="10"/>
        <v>0.16996662455357145</v>
      </c>
      <c r="F147" s="12">
        <f>E147/Calculation!K$17*1000</f>
        <v>0.20562039314513145</v>
      </c>
      <c r="G147" s="12">
        <f t="shared" si="11"/>
        <v>104.71376757700271</v>
      </c>
    </row>
    <row r="148" spans="1:7">
      <c r="A148" s="36">
        <v>21</v>
      </c>
      <c r="B148" s="12">
        <v>52158.09</v>
      </c>
      <c r="C148" s="37">
        <f t="shared" si="8"/>
        <v>52.158089999999994</v>
      </c>
      <c r="D148" s="12">
        <f t="shared" si="9"/>
        <v>3.677145345</v>
      </c>
      <c r="E148" s="12">
        <f t="shared" si="10"/>
        <v>0.16415827433035715</v>
      </c>
      <c r="F148" s="12">
        <f>E148/Calculation!K$17*1000</f>
        <v>0.19859362974638253</v>
      </c>
      <c r="G148" s="12">
        <f t="shared" si="11"/>
        <v>110.77697792037543</v>
      </c>
    </row>
    <row r="149" spans="1:7">
      <c r="A149" s="36">
        <v>21.5</v>
      </c>
      <c r="B149" s="12">
        <v>33970.76</v>
      </c>
      <c r="C149" s="37">
        <f t="shared" si="8"/>
        <v>33.970759999999999</v>
      </c>
      <c r="D149" s="12">
        <f t="shared" si="9"/>
        <v>2.3949385799999998</v>
      </c>
      <c r="E149" s="12">
        <f t="shared" si="10"/>
        <v>0.10691690089285714</v>
      </c>
      <c r="F149" s="12">
        <f>E149/Calculation!K$17*1000</f>
        <v>0.12934477726548693</v>
      </c>
      <c r="G149" s="12">
        <f t="shared" si="11"/>
        <v>115.69605402555348</v>
      </c>
    </row>
    <row r="150" spans="1:7">
      <c r="A150" s="36">
        <v>22</v>
      </c>
      <c r="B150" s="12">
        <v>20209.43</v>
      </c>
      <c r="C150" s="37">
        <f t="shared" si="8"/>
        <v>20.209430000000001</v>
      </c>
      <c r="D150" s="12">
        <f t="shared" si="9"/>
        <v>1.4247648150000001</v>
      </c>
      <c r="E150" s="12">
        <f t="shared" si="10"/>
        <v>6.3605572098214297E-2</v>
      </c>
      <c r="F150" s="12">
        <f>E150/Calculation!K$17*1000</f>
        <v>7.6948064217946546E-2</v>
      </c>
      <c r="G150" s="12">
        <f t="shared" si="11"/>
        <v>118.79044664780498</v>
      </c>
    </row>
    <row r="151" spans="1:7">
      <c r="A151" s="36">
        <v>22.5</v>
      </c>
      <c r="B151" s="12">
        <v>12115.69</v>
      </c>
      <c r="C151" s="37">
        <f t="shared" si="8"/>
        <v>12.115690000000001</v>
      </c>
      <c r="D151" s="12">
        <f t="shared" si="9"/>
        <v>0.85415614500000003</v>
      </c>
      <c r="E151" s="12">
        <f t="shared" si="10"/>
        <v>3.8131970758928574E-2</v>
      </c>
      <c r="F151" s="12">
        <f>E151/Calculation!K$17*1000</f>
        <v>4.6130885045482864E-2</v>
      </c>
      <c r="G151" s="12">
        <f t="shared" si="11"/>
        <v>120.63663088675642</v>
      </c>
    </row>
    <row r="152" spans="1:7">
      <c r="A152" s="36">
        <v>23</v>
      </c>
      <c r="B152" s="12">
        <v>7240.98</v>
      </c>
      <c r="C152" s="37">
        <f t="shared" si="8"/>
        <v>7.2409799999999995</v>
      </c>
      <c r="D152" s="12">
        <f t="shared" si="9"/>
        <v>0.51048908999999998</v>
      </c>
      <c r="E152" s="12">
        <f t="shared" si="10"/>
        <v>2.2789691517857143E-2</v>
      </c>
      <c r="F152" s="12">
        <f>E152/Calculation!K$17*1000</f>
        <v>2.7570267644404942E-2</v>
      </c>
      <c r="G152" s="12">
        <f t="shared" si="11"/>
        <v>121.74214817710474</v>
      </c>
    </row>
    <row r="153" spans="1:7">
      <c r="A153" s="36">
        <v>23.5</v>
      </c>
      <c r="B153" s="12">
        <v>4619.67</v>
      </c>
      <c r="C153" s="37">
        <f t="shared" si="8"/>
        <v>4.6196700000000002</v>
      </c>
      <c r="D153" s="12">
        <f t="shared" si="9"/>
        <v>0.325686735</v>
      </c>
      <c r="E153" s="12">
        <f t="shared" si="10"/>
        <v>1.4539586383928573E-2</v>
      </c>
      <c r="F153" s="12">
        <f>E153/Calculation!K$17*1000</f>
        <v>1.7589544278375051E-2</v>
      </c>
      <c r="G153" s="12">
        <f t="shared" si="11"/>
        <v>122.41954535594644</v>
      </c>
    </row>
    <row r="154" spans="1:7">
      <c r="A154" s="36">
        <v>24</v>
      </c>
      <c r="B154" s="12">
        <v>2909.97</v>
      </c>
      <c r="C154" s="37">
        <f t="shared" si="8"/>
        <v>2.9099699999999999</v>
      </c>
      <c r="D154" s="12">
        <f t="shared" si="9"/>
        <v>0.20515288500000001</v>
      </c>
      <c r="E154" s="12">
        <f t="shared" si="10"/>
        <v>9.1586109375000006E-3</v>
      </c>
      <c r="F154" s="12">
        <f>E154/Calculation!K$18*1000</f>
        <v>1.1874105296502301E-2</v>
      </c>
      <c r="G154" s="12">
        <f t="shared" si="11"/>
        <v>122.8615000995696</v>
      </c>
    </row>
    <row r="155" spans="1:7">
      <c r="A155" s="36">
        <v>24.5</v>
      </c>
      <c r="B155" s="12">
        <v>1929.61</v>
      </c>
      <c r="C155" s="37">
        <f t="shared" si="8"/>
        <v>1.9296099999999998</v>
      </c>
      <c r="D155" s="12">
        <f t="shared" si="9"/>
        <v>0.13603750499999998</v>
      </c>
      <c r="E155" s="12">
        <f t="shared" si="10"/>
        <v>6.0731029017857133E-3</v>
      </c>
      <c r="F155" s="12">
        <f>E155/Calculation!K$18*1000</f>
        <v>7.8737555099137792E-3</v>
      </c>
      <c r="G155" s="12">
        <f t="shared" si="11"/>
        <v>123.15771801166584</v>
      </c>
    </row>
    <row r="156" spans="1:7">
      <c r="A156" s="36">
        <v>25</v>
      </c>
      <c r="B156" s="12">
        <v>1431.07</v>
      </c>
      <c r="C156" s="37">
        <f t="shared" si="8"/>
        <v>1.4310699999999998</v>
      </c>
      <c r="D156" s="12">
        <f t="shared" si="9"/>
        <v>0.10089043499999999</v>
      </c>
      <c r="E156" s="12">
        <f t="shared" si="10"/>
        <v>4.5040372767857139E-3</v>
      </c>
      <c r="F156" s="12">
        <f>E156/Calculation!K$18*1000</f>
        <v>5.8394677150161497E-3</v>
      </c>
      <c r="G156" s="12">
        <f t="shared" si="11"/>
        <v>123.36341636003978</v>
      </c>
    </row>
    <row r="157" spans="1:7">
      <c r="A157" s="36">
        <v>25.5</v>
      </c>
      <c r="B157" s="12">
        <v>1094.75</v>
      </c>
      <c r="C157" s="37">
        <f t="shared" si="8"/>
        <v>1.0947499999999999</v>
      </c>
      <c r="D157" s="12">
        <f t="shared" si="9"/>
        <v>7.7179874999999981E-2</v>
      </c>
      <c r="E157" s="12">
        <f t="shared" si="10"/>
        <v>3.445530133928571E-3</v>
      </c>
      <c r="F157" s="12">
        <f>E157/Calculation!K$18*1000</f>
        <v>4.4671171088863084E-3</v>
      </c>
      <c r="G157" s="12">
        <f t="shared" si="11"/>
        <v>123.51801513239832</v>
      </c>
    </row>
    <row r="158" spans="1:7">
      <c r="A158" s="36">
        <v>26</v>
      </c>
      <c r="B158" s="12">
        <v>841.38</v>
      </c>
      <c r="C158" s="37">
        <f t="shared" si="8"/>
        <v>0.84138000000000002</v>
      </c>
      <c r="D158" s="12">
        <f t="shared" si="9"/>
        <v>5.9317289999999995E-2</v>
      </c>
      <c r="E158" s="12">
        <f t="shared" si="10"/>
        <v>2.6480933035714286E-3</v>
      </c>
      <c r="F158" s="12">
        <f>E158/Calculation!K$18*1000</f>
        <v>3.4332431998856023E-3</v>
      </c>
      <c r="G158" s="12">
        <f t="shared" si="11"/>
        <v>123.6365205370299</v>
      </c>
    </row>
    <row r="159" spans="1:7">
      <c r="A159" s="36">
        <v>26.5</v>
      </c>
      <c r="B159" s="12">
        <v>714.11</v>
      </c>
      <c r="C159" s="37">
        <f t="shared" si="8"/>
        <v>0.71411000000000002</v>
      </c>
      <c r="D159" s="12">
        <f t="shared" si="9"/>
        <v>5.0344754999999998E-2</v>
      </c>
      <c r="E159" s="12">
        <f t="shared" si="10"/>
        <v>2.2475337053571428E-3</v>
      </c>
      <c r="F159" s="12">
        <f>E159/Calculation!K$18*1000</f>
        <v>2.9139191583711374E-3</v>
      </c>
      <c r="G159" s="12">
        <f t="shared" si="11"/>
        <v>123.73172797240375</v>
      </c>
    </row>
    <row r="160" spans="1:7">
      <c r="A160" s="36">
        <v>27</v>
      </c>
      <c r="B160" s="12">
        <v>611.26</v>
      </c>
      <c r="C160" s="37">
        <f t="shared" si="8"/>
        <v>0.61126000000000003</v>
      </c>
      <c r="D160" s="12">
        <f t="shared" si="9"/>
        <v>4.309383E-2</v>
      </c>
      <c r="E160" s="12">
        <f t="shared" si="10"/>
        <v>1.9238316964285715E-3</v>
      </c>
      <c r="F160" s="12">
        <f>E160/Calculation!K$18*1000</f>
        <v>2.4942406978559904E-3</v>
      </c>
      <c r="G160" s="12">
        <f t="shared" si="11"/>
        <v>123.81285037024715</v>
      </c>
    </row>
    <row r="161" spans="1:7">
      <c r="A161" s="36">
        <v>27.5</v>
      </c>
      <c r="B161" s="12">
        <v>555.74</v>
      </c>
      <c r="C161" s="37">
        <f t="shared" si="8"/>
        <v>0.55574000000000001</v>
      </c>
      <c r="D161" s="12">
        <f t="shared" si="9"/>
        <v>3.917967E-2</v>
      </c>
      <c r="E161" s="12">
        <f t="shared" si="10"/>
        <v>1.7490924107142858E-3</v>
      </c>
      <c r="F161" s="12">
        <f>E161/Calculation!K$18*1000</f>
        <v>2.2676918584996369E-3</v>
      </c>
      <c r="G161" s="12">
        <f t="shared" si="11"/>
        <v>123.88427935859248</v>
      </c>
    </row>
    <row r="162" spans="1:7">
      <c r="A162" s="36">
        <v>28</v>
      </c>
      <c r="B162" s="12">
        <v>525.13</v>
      </c>
      <c r="C162" s="37">
        <f t="shared" si="8"/>
        <v>0.52512999999999999</v>
      </c>
      <c r="D162" s="12">
        <f t="shared" si="9"/>
        <v>3.7021664999999995E-2</v>
      </c>
      <c r="E162" s="12">
        <f t="shared" si="10"/>
        <v>1.6527529017857142E-3</v>
      </c>
      <c r="F162" s="12">
        <f>E162/Calculation!K$18*1000</f>
        <v>2.142788040547584E-3</v>
      </c>
      <c r="G162" s="12">
        <f t="shared" si="11"/>
        <v>123.95043655707819</v>
      </c>
    </row>
    <row r="163" spans="1:7">
      <c r="A163" s="36">
        <v>28.5</v>
      </c>
      <c r="B163" s="12">
        <v>513.42999999999995</v>
      </c>
      <c r="C163" s="37">
        <f t="shared" si="8"/>
        <v>0.51342999999999994</v>
      </c>
      <c r="D163" s="12">
        <f t="shared" si="9"/>
        <v>3.6196814999999993E-2</v>
      </c>
      <c r="E163" s="12">
        <f t="shared" si="10"/>
        <v>1.6159292410714283E-3</v>
      </c>
      <c r="F163" s="12">
        <f>E163/Calculation!K$18*1000</f>
        <v>2.0950463002653553E-3</v>
      </c>
      <c r="G163" s="12">
        <f t="shared" si="11"/>
        <v>124.01400407219039</v>
      </c>
    </row>
    <row r="164" spans="1:7">
      <c r="A164" s="36">
        <v>29</v>
      </c>
      <c r="B164" s="12">
        <v>483.82</v>
      </c>
      <c r="C164" s="37">
        <f t="shared" si="8"/>
        <v>0.48381999999999997</v>
      </c>
      <c r="D164" s="12">
        <f t="shared" si="9"/>
        <v>3.4109309999999997E-2</v>
      </c>
      <c r="E164" s="12">
        <f t="shared" si="10"/>
        <v>1.5227370535714285E-3</v>
      </c>
      <c r="F164" s="12">
        <f>E164/Calculation!K$18*1000</f>
        <v>1.9742229729357154E-3</v>
      </c>
      <c r="G164" s="12">
        <f t="shared" si="11"/>
        <v>124.07504311128841</v>
      </c>
    </row>
    <row r="165" spans="1:7">
      <c r="A165" s="36">
        <v>29.5</v>
      </c>
      <c r="B165" s="12">
        <v>439.84</v>
      </c>
      <c r="C165" s="37">
        <f t="shared" si="8"/>
        <v>0.43983999999999995</v>
      </c>
      <c r="D165" s="12">
        <f t="shared" si="9"/>
        <v>3.1008719999999997E-2</v>
      </c>
      <c r="E165" s="12">
        <f t="shared" si="10"/>
        <v>1.3843178571428571E-3</v>
      </c>
      <c r="F165" s="12">
        <f>E165/Calculation!K$18*1000</f>
        <v>1.7947629953620043E-3</v>
      </c>
      <c r="G165" s="12">
        <f t="shared" si="11"/>
        <v>124.13157790081287</v>
      </c>
    </row>
    <row r="166" spans="1:7">
      <c r="A166" s="36">
        <v>30</v>
      </c>
      <c r="B166" s="12">
        <v>513.09</v>
      </c>
      <c r="C166" s="37">
        <f t="shared" si="8"/>
        <v>0.51309000000000005</v>
      </c>
      <c r="D166" s="12">
        <f t="shared" si="9"/>
        <v>3.6172845000000002E-2</v>
      </c>
      <c r="E166" s="12">
        <f t="shared" si="10"/>
        <v>1.6148591517857144E-3</v>
      </c>
      <c r="F166" s="12">
        <f>E166/Calculation!K$19*1000</f>
        <v>2.2258616238393448E-3</v>
      </c>
      <c r="G166" s="12">
        <f t="shared" si="11"/>
        <v>124.19188727010089</v>
      </c>
    </row>
    <row r="167" spans="1:7">
      <c r="A167" s="36">
        <v>30.5</v>
      </c>
      <c r="B167" s="12">
        <v>461.41</v>
      </c>
      <c r="C167" s="37">
        <f t="shared" si="8"/>
        <v>0.46141000000000004</v>
      </c>
      <c r="D167" s="12">
        <f t="shared" si="9"/>
        <v>3.2529405000000004E-2</v>
      </c>
      <c r="E167" s="12">
        <f t="shared" si="10"/>
        <v>1.4522055803571432E-3</v>
      </c>
      <c r="F167" s="12">
        <f>E167/Calculation!K$19*1000</f>
        <v>2.0016660076316284E-3</v>
      </c>
      <c r="G167" s="12">
        <f t="shared" si="11"/>
        <v>124.25530018457296</v>
      </c>
    </row>
    <row r="168" spans="1:7">
      <c r="A168" s="36">
        <v>31</v>
      </c>
      <c r="B168" s="12">
        <v>411.41</v>
      </c>
      <c r="C168" s="37">
        <f t="shared" si="8"/>
        <v>0.41141</v>
      </c>
      <c r="D168" s="12">
        <f t="shared" si="9"/>
        <v>2.9004405E-2</v>
      </c>
      <c r="E168" s="12">
        <f t="shared" si="10"/>
        <v>1.2948395089285715E-3</v>
      </c>
      <c r="F168" s="12">
        <f>E168/Calculation!K$19*1000</f>
        <v>1.7847584842108498E-3</v>
      </c>
      <c r="G168" s="12">
        <f t="shared" si="11"/>
        <v>124.3120965519506</v>
      </c>
    </row>
    <row r="169" spans="1:7">
      <c r="A169" s="36">
        <v>31.5</v>
      </c>
      <c r="B169" s="12">
        <v>365.92</v>
      </c>
      <c r="C169" s="37">
        <f t="shared" si="8"/>
        <v>0.36592000000000002</v>
      </c>
      <c r="D169" s="12">
        <f t="shared" si="9"/>
        <v>2.5797360000000002E-2</v>
      </c>
      <c r="E169" s="12">
        <f t="shared" si="10"/>
        <v>1.1516678571428572E-3</v>
      </c>
      <c r="F169" s="12">
        <f>E169/Calculation!K$19*1000</f>
        <v>1.5874160194026255E-3</v>
      </c>
      <c r="G169" s="12">
        <f t="shared" si="11"/>
        <v>124.3626791695048</v>
      </c>
    </row>
    <row r="170" spans="1:7">
      <c r="A170" s="36">
        <v>32</v>
      </c>
      <c r="B170" s="12">
        <v>333.31</v>
      </c>
      <c r="C170" s="37">
        <f t="shared" si="8"/>
        <v>0.33331</v>
      </c>
      <c r="D170" s="12">
        <f t="shared" si="9"/>
        <v>2.3498355000000002E-2</v>
      </c>
      <c r="E170" s="12">
        <f t="shared" si="10"/>
        <v>1.0490337053571429E-3</v>
      </c>
      <c r="F170" s="12">
        <f>E170/Calculation!K$19*1000</f>
        <v>1.4459489326275939E-3</v>
      </c>
      <c r="G170" s="12">
        <f t="shared" si="11"/>
        <v>124.40817964378526</v>
      </c>
    </row>
    <row r="171" spans="1:7">
      <c r="A171" s="36">
        <v>32.5</v>
      </c>
      <c r="B171" s="12">
        <v>308.72000000000003</v>
      </c>
      <c r="C171" s="37">
        <f t="shared" ref="C171:C202" si="12">B171/1000</f>
        <v>0.30872000000000005</v>
      </c>
      <c r="D171" s="12">
        <f t="shared" ref="D171:D202" si="13">C171/1000*$B$1</f>
        <v>2.1764760000000005E-2</v>
      </c>
      <c r="E171" s="12">
        <f t="shared" ref="E171:E202" si="14">D171/22.4</f>
        <v>9.7164107142857169E-4</v>
      </c>
      <c r="F171" s="12">
        <f>E171/Calculation!K$19*1000</f>
        <v>1.3392738126092553E-3</v>
      </c>
      <c r="G171" s="12">
        <f t="shared" si="11"/>
        <v>124.44995798496382</v>
      </c>
    </row>
    <row r="172" spans="1:7">
      <c r="A172" s="36">
        <v>33</v>
      </c>
      <c r="B172" s="12">
        <v>297.02</v>
      </c>
      <c r="C172" s="37">
        <f t="shared" si="12"/>
        <v>0.29702000000000001</v>
      </c>
      <c r="D172" s="12">
        <f t="shared" si="13"/>
        <v>2.0939909999999999E-2</v>
      </c>
      <c r="E172" s="12">
        <f t="shared" si="14"/>
        <v>9.3481741071428572E-4</v>
      </c>
      <c r="F172" s="12">
        <f>E172/Calculation!K$19*1000</f>
        <v>1.2885174521287926E-3</v>
      </c>
      <c r="G172" s="12">
        <f t="shared" si="11"/>
        <v>124.48937485393489</v>
      </c>
    </row>
    <row r="173" spans="1:7">
      <c r="A173" s="36">
        <v>33.5</v>
      </c>
      <c r="B173" s="12">
        <v>268.42</v>
      </c>
      <c r="C173" s="37">
        <f t="shared" si="12"/>
        <v>0.26841999999999999</v>
      </c>
      <c r="D173" s="12">
        <f t="shared" si="13"/>
        <v>1.892361E-2</v>
      </c>
      <c r="E173" s="12">
        <f t="shared" si="14"/>
        <v>8.4480401785714295E-4</v>
      </c>
      <c r="F173" s="12">
        <f>E173/Calculation!K$19*1000</f>
        <v>1.1644463487321076E-3</v>
      </c>
      <c r="G173" s="12">
        <f t="shared" ref="G173:G202" si="15">G172+(F173+F172)/2*30</f>
        <v>124.52616931094781</v>
      </c>
    </row>
    <row r="174" spans="1:7">
      <c r="A174" s="36">
        <v>34</v>
      </c>
      <c r="B174" s="12">
        <v>263.07</v>
      </c>
      <c r="C174" s="37">
        <f t="shared" si="12"/>
        <v>0.26306999999999997</v>
      </c>
      <c r="D174" s="12">
        <f t="shared" si="13"/>
        <v>1.8546434999999997E-2</v>
      </c>
      <c r="E174" s="12">
        <f t="shared" si="14"/>
        <v>8.2796584821428565E-4</v>
      </c>
      <c r="F174" s="12">
        <f>E174/Calculation!K$19*1000</f>
        <v>1.1412372437260838E-3</v>
      </c>
      <c r="G174" s="12">
        <f t="shared" si="15"/>
        <v>124.56075456483468</v>
      </c>
    </row>
    <row r="175" spans="1:7">
      <c r="A175" s="36">
        <v>34.5</v>
      </c>
      <c r="B175" s="12">
        <v>245.84</v>
      </c>
      <c r="C175" s="37">
        <f t="shared" si="12"/>
        <v>0.24584</v>
      </c>
      <c r="D175" s="12">
        <f t="shared" si="13"/>
        <v>1.7331719999999998E-2</v>
      </c>
      <c r="E175" s="12">
        <f t="shared" si="14"/>
        <v>7.7373749999999999E-4</v>
      </c>
      <c r="F175" s="12">
        <f>E175/Calculation!K$19*1000</f>
        <v>1.0664909111552838E-3</v>
      </c>
      <c r="G175" s="12">
        <f t="shared" si="15"/>
        <v>124.5938704871579</v>
      </c>
    </row>
    <row r="176" spans="1:7">
      <c r="A176" s="36">
        <v>35</v>
      </c>
      <c r="B176" s="12">
        <v>242.16</v>
      </c>
      <c r="C176" s="37">
        <f t="shared" si="12"/>
        <v>0.24215999999999999</v>
      </c>
      <c r="D176" s="12">
        <f t="shared" si="13"/>
        <v>1.7072279999999999E-2</v>
      </c>
      <c r="E176" s="12">
        <f t="shared" si="14"/>
        <v>7.621553571428571E-4</v>
      </c>
      <c r="F176" s="12">
        <f>E176/Calculation!K$19*1000</f>
        <v>1.0505265174315145E-3</v>
      </c>
      <c r="G176" s="12">
        <f t="shared" si="15"/>
        <v>124.6256257485867</v>
      </c>
    </row>
    <row r="177" spans="1:7">
      <c r="A177" s="36">
        <v>35.5</v>
      </c>
      <c r="B177" s="12">
        <v>234.14</v>
      </c>
      <c r="C177" s="37">
        <f t="shared" si="12"/>
        <v>0.23413999999999999</v>
      </c>
      <c r="D177" s="12">
        <f t="shared" si="13"/>
        <v>1.650687E-2</v>
      </c>
      <c r="E177" s="12">
        <f t="shared" si="14"/>
        <v>7.3691383928571434E-4</v>
      </c>
      <c r="F177" s="12">
        <f>E177/Calculation!K$19*1000</f>
        <v>1.0157345506748216E-3</v>
      </c>
      <c r="G177" s="12">
        <f t="shared" si="15"/>
        <v>124.6566196646083</v>
      </c>
    </row>
    <row r="178" spans="1:7">
      <c r="A178" s="36">
        <v>36</v>
      </c>
      <c r="B178" s="12">
        <v>216.24</v>
      </c>
      <c r="C178" s="37">
        <f t="shared" si="12"/>
        <v>0.21624000000000002</v>
      </c>
      <c r="D178" s="12">
        <f t="shared" si="13"/>
        <v>1.524492E-2</v>
      </c>
      <c r="E178" s="12">
        <f t="shared" si="14"/>
        <v>6.8057678571428575E-4</v>
      </c>
      <c r="F178" s="12">
        <f>E178/Calculation!K$19*1000</f>
        <v>9.380816572901829E-4</v>
      </c>
      <c r="G178" s="12">
        <f t="shared" si="15"/>
        <v>124.68592690772778</v>
      </c>
    </row>
    <row r="179" spans="1:7">
      <c r="A179" s="36">
        <v>36.5</v>
      </c>
      <c r="B179" s="12">
        <v>208.72</v>
      </c>
      <c r="C179" s="37">
        <f t="shared" si="12"/>
        <v>0.20871999999999999</v>
      </c>
      <c r="D179" s="12">
        <f t="shared" si="13"/>
        <v>1.471476E-2</v>
      </c>
      <c r="E179" s="12">
        <f t="shared" si="14"/>
        <v>6.5690892857142862E-4</v>
      </c>
      <c r="F179" s="12">
        <f>E179/Calculation!K$19*1000</f>
        <v>9.0545876576769778E-4</v>
      </c>
      <c r="G179" s="12">
        <f t="shared" si="15"/>
        <v>124.71358001407364</v>
      </c>
    </row>
    <row r="180" spans="1:7">
      <c r="A180" s="36">
        <v>37</v>
      </c>
      <c r="B180" s="12">
        <v>192.49</v>
      </c>
      <c r="C180" s="37">
        <f t="shared" si="12"/>
        <v>0.19249000000000002</v>
      </c>
      <c r="D180" s="12">
        <f t="shared" si="13"/>
        <v>1.3570545000000002E-2</v>
      </c>
      <c r="E180" s="12">
        <f t="shared" si="14"/>
        <v>6.0582790178571443E-4</v>
      </c>
      <c r="F180" s="12">
        <f>E180/Calculation!K$19*1000</f>
        <v>8.3505058366531329E-4</v>
      </c>
      <c r="G180" s="12">
        <f t="shared" si="15"/>
        <v>124.73968765431513</v>
      </c>
    </row>
    <row r="181" spans="1:7">
      <c r="A181" s="36">
        <v>37.5</v>
      </c>
      <c r="B181" s="12">
        <v>201.36</v>
      </c>
      <c r="C181" s="37">
        <f t="shared" si="12"/>
        <v>0.20136000000000001</v>
      </c>
      <c r="D181" s="12">
        <f t="shared" si="13"/>
        <v>1.4195880000000001E-2</v>
      </c>
      <c r="E181" s="12">
        <f t="shared" si="14"/>
        <v>6.3374464285714295E-4</v>
      </c>
      <c r="F181" s="12">
        <f>E181/Calculation!K$19*1000</f>
        <v>8.7352997832015932E-4</v>
      </c>
      <c r="G181" s="12">
        <f t="shared" si="15"/>
        <v>124.76531636274491</v>
      </c>
    </row>
    <row r="182" spans="1:7">
      <c r="A182" s="36">
        <v>38</v>
      </c>
      <c r="B182" s="12">
        <v>196.01</v>
      </c>
      <c r="C182" s="37">
        <f t="shared" si="12"/>
        <v>0.19600999999999999</v>
      </c>
      <c r="D182" s="12">
        <f t="shared" si="13"/>
        <v>1.3818704999999999E-2</v>
      </c>
      <c r="E182" s="12">
        <f t="shared" si="14"/>
        <v>6.1690647321428576E-4</v>
      </c>
      <c r="F182" s="12">
        <f>E182/Calculation!K$19*1000</f>
        <v>8.5032087331413596E-4</v>
      </c>
      <c r="G182" s="12">
        <f t="shared" si="15"/>
        <v>124.79117412551943</v>
      </c>
    </row>
    <row r="183" spans="1:7">
      <c r="A183" s="36">
        <v>38.5</v>
      </c>
      <c r="B183" s="12">
        <v>200.52</v>
      </c>
      <c r="C183" s="37">
        <f t="shared" si="12"/>
        <v>0.20052</v>
      </c>
      <c r="D183" s="12">
        <f t="shared" si="13"/>
        <v>1.4136660000000001E-2</v>
      </c>
      <c r="E183" s="12">
        <f t="shared" si="14"/>
        <v>6.3110089285714293E-4</v>
      </c>
      <c r="F183" s="12">
        <f>E183/Calculation!K$19*1000</f>
        <v>8.6988593192669015E-4</v>
      </c>
      <c r="G183" s="12">
        <f t="shared" si="15"/>
        <v>124.81697722759804</v>
      </c>
    </row>
    <row r="184" spans="1:7">
      <c r="A184" s="36">
        <v>39</v>
      </c>
      <c r="B184" s="12">
        <v>224.6</v>
      </c>
      <c r="C184" s="37">
        <f t="shared" si="12"/>
        <v>0.22459999999999999</v>
      </c>
      <c r="D184" s="12">
        <f t="shared" si="13"/>
        <v>1.5834299999999999E-2</v>
      </c>
      <c r="E184" s="12">
        <f t="shared" si="14"/>
        <v>7.0688839285714289E-4</v>
      </c>
      <c r="F184" s="12">
        <f>E184/Calculation!K$19*1000</f>
        <v>9.7434859520613708E-4</v>
      </c>
      <c r="G184" s="12">
        <f t="shared" si="15"/>
        <v>124.84464074550503</v>
      </c>
    </row>
    <row r="185" spans="1:7">
      <c r="A185" s="36">
        <v>39.5</v>
      </c>
      <c r="B185" s="12">
        <v>208.72</v>
      </c>
      <c r="C185" s="37">
        <f t="shared" si="12"/>
        <v>0.20871999999999999</v>
      </c>
      <c r="D185" s="12">
        <f t="shared" si="13"/>
        <v>1.471476E-2</v>
      </c>
      <c r="E185" s="12">
        <f t="shared" si="14"/>
        <v>6.5690892857142862E-4</v>
      </c>
      <c r="F185" s="12">
        <f>E185/Calculation!K$19*1000</f>
        <v>9.0545876576769778E-4</v>
      </c>
      <c r="G185" s="12">
        <f t="shared" si="15"/>
        <v>124.87283785591964</v>
      </c>
    </row>
    <row r="186" spans="1:7">
      <c r="A186" s="36">
        <v>40</v>
      </c>
      <c r="B186" s="12">
        <v>189.65</v>
      </c>
      <c r="C186" s="37">
        <f t="shared" si="12"/>
        <v>0.18965000000000001</v>
      </c>
      <c r="D186" s="12">
        <f t="shared" si="13"/>
        <v>1.3370325000000001E-2</v>
      </c>
      <c r="E186" s="12">
        <f t="shared" si="14"/>
        <v>5.9688950892857146E-4</v>
      </c>
      <c r="F186" s="12">
        <f>E186/Calculation!K$19*1000</f>
        <v>8.227302363350129E-4</v>
      </c>
      <c r="G186" s="12">
        <f t="shared" si="15"/>
        <v>124.89876069095118</v>
      </c>
    </row>
    <row r="187" spans="1:7">
      <c r="A187" s="36">
        <v>40.5</v>
      </c>
      <c r="B187" s="12">
        <v>178.61</v>
      </c>
      <c r="C187" s="37">
        <f t="shared" si="12"/>
        <v>0.17861000000000002</v>
      </c>
      <c r="D187" s="12">
        <f t="shared" si="13"/>
        <v>1.2592005000000002E-2</v>
      </c>
      <c r="E187" s="12">
        <f t="shared" si="14"/>
        <v>5.6214308035714301E-4</v>
      </c>
      <c r="F187" s="12">
        <f>E187/Calculation!K$19*1000</f>
        <v>7.748370551637051E-4</v>
      </c>
      <c r="G187" s="12">
        <f t="shared" si="15"/>
        <v>124.92272420032366</v>
      </c>
    </row>
    <row r="188" spans="1:7">
      <c r="A188" s="36">
        <v>41</v>
      </c>
      <c r="B188" s="12">
        <v>173.76</v>
      </c>
      <c r="C188" s="37">
        <f t="shared" si="12"/>
        <v>0.17376</v>
      </c>
      <c r="D188" s="12">
        <f t="shared" si="13"/>
        <v>1.225008E-2</v>
      </c>
      <c r="E188" s="12">
        <f t="shared" si="14"/>
        <v>5.4687857142857144E-4</v>
      </c>
      <c r="F188" s="12">
        <f>E188/Calculation!K$19*1000</f>
        <v>7.537970253918895E-4</v>
      </c>
      <c r="G188" s="12">
        <f t="shared" si="15"/>
        <v>124.94565371153199</v>
      </c>
    </row>
    <row r="189" spans="1:7">
      <c r="A189" s="36">
        <v>41.5</v>
      </c>
      <c r="B189" s="12">
        <v>163.72999999999999</v>
      </c>
      <c r="C189" s="37">
        <f t="shared" si="12"/>
        <v>0.16372999999999999</v>
      </c>
      <c r="D189" s="12">
        <f t="shared" si="13"/>
        <v>1.1542964999999999E-2</v>
      </c>
      <c r="E189" s="12">
        <f t="shared" si="14"/>
        <v>5.1531093749999999E-4</v>
      </c>
      <c r="F189" s="12">
        <f>E189/Calculation!K$19*1000</f>
        <v>7.102853761936813E-4</v>
      </c>
      <c r="G189" s="12">
        <f t="shared" si="15"/>
        <v>124.96761494755577</v>
      </c>
    </row>
    <row r="190" spans="1:7">
      <c r="A190" s="36">
        <v>42</v>
      </c>
      <c r="B190" s="12">
        <v>155.87</v>
      </c>
      <c r="C190" s="37">
        <f t="shared" si="12"/>
        <v>0.15587000000000001</v>
      </c>
      <c r="D190" s="12">
        <f t="shared" si="13"/>
        <v>1.0988835000000001E-2</v>
      </c>
      <c r="E190" s="12">
        <f t="shared" si="14"/>
        <v>4.9057299107142858E-4</v>
      </c>
      <c r="F190" s="12">
        <f>E190/Calculation!K$19*1000</f>
        <v>6.7618751351193498E-4</v>
      </c>
      <c r="G190" s="12">
        <f t="shared" si="15"/>
        <v>124.98841204090135</v>
      </c>
    </row>
    <row r="191" spans="1:7">
      <c r="A191" s="36">
        <v>42.5</v>
      </c>
      <c r="B191" s="12">
        <v>148.51</v>
      </c>
      <c r="C191" s="37">
        <f t="shared" si="12"/>
        <v>0.14851</v>
      </c>
      <c r="D191" s="12">
        <f t="shared" si="13"/>
        <v>1.0469955E-2</v>
      </c>
      <c r="E191" s="12">
        <f t="shared" si="14"/>
        <v>4.6740870535714286E-4</v>
      </c>
      <c r="F191" s="12">
        <f>E191/Calculation!K$19*1000</f>
        <v>6.4425872606439631E-4</v>
      </c>
      <c r="G191" s="12">
        <f t="shared" si="15"/>
        <v>125.008218734495</v>
      </c>
    </row>
    <row r="192" spans="1:7">
      <c r="A192" s="36">
        <v>43</v>
      </c>
      <c r="B192" s="12">
        <v>142.15</v>
      </c>
      <c r="C192" s="37">
        <f t="shared" si="12"/>
        <v>0.14215</v>
      </c>
      <c r="D192" s="12">
        <f t="shared" si="13"/>
        <v>1.0021575E-2</v>
      </c>
      <c r="E192" s="12">
        <f t="shared" si="14"/>
        <v>4.4739174107142856E-4</v>
      </c>
      <c r="F192" s="12">
        <f>E192/Calculation!K$19*1000</f>
        <v>6.1666808908527324E-4</v>
      </c>
      <c r="G192" s="12">
        <f t="shared" si="15"/>
        <v>125.02713263672224</v>
      </c>
    </row>
    <row r="193" spans="1:7">
      <c r="A193" s="36">
        <v>43.5</v>
      </c>
      <c r="B193" s="12">
        <v>0</v>
      </c>
      <c r="C193" s="37">
        <f t="shared" si="12"/>
        <v>0</v>
      </c>
      <c r="D193" s="12">
        <f t="shared" si="13"/>
        <v>0</v>
      </c>
      <c r="E193" s="12">
        <f t="shared" si="14"/>
        <v>0</v>
      </c>
      <c r="F193" s="12">
        <f>E193/Calculation!K$19*1000</f>
        <v>0</v>
      </c>
      <c r="G193" s="12">
        <f t="shared" si="15"/>
        <v>125.03638265805853</v>
      </c>
    </row>
    <row r="194" spans="1:7">
      <c r="A194" s="36">
        <v>44</v>
      </c>
      <c r="B194" s="12">
        <v>0</v>
      </c>
      <c r="C194" s="37">
        <f t="shared" si="12"/>
        <v>0</v>
      </c>
      <c r="D194" s="12">
        <f t="shared" si="13"/>
        <v>0</v>
      </c>
      <c r="E194" s="12">
        <f t="shared" si="14"/>
        <v>0</v>
      </c>
      <c r="F194" s="12">
        <f>E194/Calculation!K$19*1000</f>
        <v>0</v>
      </c>
      <c r="G194" s="12">
        <f t="shared" si="15"/>
        <v>125.03638265805853</v>
      </c>
    </row>
    <row r="195" spans="1:7">
      <c r="A195" s="36">
        <v>44.5</v>
      </c>
      <c r="B195" s="12">
        <v>0</v>
      </c>
      <c r="C195" s="37">
        <f t="shared" si="12"/>
        <v>0</v>
      </c>
      <c r="D195" s="12">
        <f t="shared" si="13"/>
        <v>0</v>
      </c>
      <c r="E195" s="12">
        <f t="shared" si="14"/>
        <v>0</v>
      </c>
      <c r="F195" s="12">
        <f>E195/Calculation!K$19*1000</f>
        <v>0</v>
      </c>
      <c r="G195" s="12">
        <f t="shared" si="15"/>
        <v>125.03638265805853</v>
      </c>
    </row>
    <row r="196" spans="1:7">
      <c r="A196" s="36">
        <v>45</v>
      </c>
      <c r="B196" s="12">
        <v>0</v>
      </c>
      <c r="C196" s="37">
        <f t="shared" si="12"/>
        <v>0</v>
      </c>
      <c r="D196" s="12">
        <f t="shared" si="13"/>
        <v>0</v>
      </c>
      <c r="E196" s="12">
        <f t="shared" si="14"/>
        <v>0</v>
      </c>
      <c r="F196" s="12">
        <f>E196/Calculation!K$19*1000</f>
        <v>0</v>
      </c>
      <c r="G196" s="12">
        <f t="shared" si="15"/>
        <v>125.03638265805853</v>
      </c>
    </row>
    <row r="197" spans="1:7">
      <c r="A197" s="36">
        <v>45.5</v>
      </c>
      <c r="B197" s="12">
        <v>152.69</v>
      </c>
      <c r="C197" s="37">
        <f t="shared" si="12"/>
        <v>0.15268999999999999</v>
      </c>
      <c r="D197" s="12">
        <f t="shared" si="13"/>
        <v>1.0764645E-2</v>
      </c>
      <c r="E197" s="12">
        <f t="shared" si="14"/>
        <v>4.8056450892857143E-4</v>
      </c>
      <c r="F197" s="12">
        <f>E197/Calculation!K$19*1000</f>
        <v>6.623921950223734E-4</v>
      </c>
      <c r="G197" s="12">
        <f t="shared" si="15"/>
        <v>125.04631854098386</v>
      </c>
    </row>
    <row r="198" spans="1:7">
      <c r="A198" s="36">
        <v>46</v>
      </c>
      <c r="B198" s="12">
        <v>0</v>
      </c>
      <c r="C198" s="37">
        <f t="shared" si="12"/>
        <v>0</v>
      </c>
      <c r="D198" s="12">
        <f t="shared" si="13"/>
        <v>0</v>
      </c>
      <c r="E198" s="12">
        <f t="shared" si="14"/>
        <v>0</v>
      </c>
      <c r="F198" s="12">
        <f>E198/Calculation!K$19*1000</f>
        <v>0</v>
      </c>
      <c r="G198" s="12">
        <f t="shared" si="15"/>
        <v>125.05625442390919</v>
      </c>
    </row>
    <row r="199" spans="1:7">
      <c r="A199" s="36">
        <v>46.5</v>
      </c>
      <c r="B199" s="12">
        <v>0</v>
      </c>
      <c r="C199" s="37">
        <f t="shared" si="12"/>
        <v>0</v>
      </c>
      <c r="D199" s="12">
        <f t="shared" si="13"/>
        <v>0</v>
      </c>
      <c r="E199" s="12">
        <f t="shared" si="14"/>
        <v>0</v>
      </c>
      <c r="F199" s="12">
        <f>E199/Calculation!K$19*1000</f>
        <v>0</v>
      </c>
      <c r="G199" s="12">
        <f t="shared" si="15"/>
        <v>125.05625442390919</v>
      </c>
    </row>
    <row r="200" spans="1:7">
      <c r="A200" s="36">
        <v>47</v>
      </c>
      <c r="B200" s="12">
        <v>0</v>
      </c>
      <c r="C200" s="37">
        <f t="shared" si="12"/>
        <v>0</v>
      </c>
      <c r="D200" s="12">
        <f t="shared" si="13"/>
        <v>0</v>
      </c>
      <c r="E200" s="12">
        <f t="shared" si="14"/>
        <v>0</v>
      </c>
      <c r="F200" s="12">
        <f>E200/Calculation!K$19*1000</f>
        <v>0</v>
      </c>
      <c r="G200" s="12">
        <f t="shared" si="15"/>
        <v>125.05625442390919</v>
      </c>
    </row>
    <row r="201" spans="1:7">
      <c r="A201" s="36">
        <v>47.5</v>
      </c>
      <c r="B201" s="12">
        <v>0</v>
      </c>
      <c r="C201" s="37">
        <f t="shared" si="12"/>
        <v>0</v>
      </c>
      <c r="D201" s="12">
        <f t="shared" si="13"/>
        <v>0</v>
      </c>
      <c r="E201" s="12">
        <f t="shared" si="14"/>
        <v>0</v>
      </c>
      <c r="F201" s="12">
        <f>E201/Calculation!K$19*1000</f>
        <v>0</v>
      </c>
      <c r="G201" s="12">
        <f t="shared" si="15"/>
        <v>125.05625442390919</v>
      </c>
    </row>
    <row r="202" spans="1:7">
      <c r="A202" s="36">
        <v>48</v>
      </c>
      <c r="B202" s="12">
        <v>0</v>
      </c>
      <c r="C202" s="37">
        <f t="shared" si="12"/>
        <v>0</v>
      </c>
      <c r="D202" s="12">
        <f t="shared" si="13"/>
        <v>0</v>
      </c>
      <c r="E202" s="12">
        <f t="shared" si="14"/>
        <v>0</v>
      </c>
      <c r="F202" s="12">
        <f>E202/Calculation!K$20*1000</f>
        <v>0</v>
      </c>
      <c r="G202" s="12">
        <f t="shared" si="15"/>
        <v>125.05625442390919</v>
      </c>
    </row>
  </sheetData>
  <mergeCells count="6">
    <mergeCell ref="D104:F104"/>
    <mergeCell ref="A3:A4"/>
    <mergeCell ref="B3:C3"/>
    <mergeCell ref="D3:F3"/>
    <mergeCell ref="A104:A105"/>
    <mergeCell ref="B104:C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R3" sqref="R3:S20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96" t="s">
        <v>40</v>
      </c>
      <c r="B1" s="96"/>
      <c r="D1" s="111" t="s">
        <v>4</v>
      </c>
      <c r="E1" s="111" t="s">
        <v>5</v>
      </c>
      <c r="F1" s="96" t="s">
        <v>144</v>
      </c>
      <c r="G1" s="96"/>
      <c r="H1" s="96"/>
      <c r="I1" s="96"/>
      <c r="J1" s="96" t="s">
        <v>41</v>
      </c>
      <c r="K1" s="96"/>
      <c r="L1" s="96"/>
      <c r="M1" s="96"/>
      <c r="N1" s="112" t="s">
        <v>42</v>
      </c>
      <c r="O1" s="94"/>
      <c r="P1" s="94"/>
      <c r="Q1" s="113"/>
      <c r="R1" s="96" t="s">
        <v>64</v>
      </c>
      <c r="S1" s="96"/>
      <c r="T1" s="96"/>
      <c r="U1" s="96"/>
    </row>
    <row r="2" spans="1:21">
      <c r="A2" s="96" t="s">
        <v>34</v>
      </c>
      <c r="B2" s="96"/>
      <c r="D2" s="111"/>
      <c r="E2" s="111"/>
      <c r="F2" s="14" t="s">
        <v>47</v>
      </c>
      <c r="G2" s="14" t="s">
        <v>23</v>
      </c>
      <c r="H2" s="14" t="s">
        <v>47</v>
      </c>
      <c r="I2" s="14" t="s">
        <v>23</v>
      </c>
      <c r="J2" s="14" t="s">
        <v>47</v>
      </c>
      <c r="K2" s="14" t="s">
        <v>23</v>
      </c>
      <c r="L2" s="14" t="s">
        <v>47</v>
      </c>
      <c r="M2" s="14" t="s">
        <v>23</v>
      </c>
      <c r="N2" s="14" t="s">
        <v>47</v>
      </c>
      <c r="O2" s="14" t="s">
        <v>23</v>
      </c>
      <c r="P2" s="14" t="s">
        <v>47</v>
      </c>
      <c r="Q2" s="14" t="s">
        <v>23</v>
      </c>
      <c r="R2" s="14" t="s">
        <v>47</v>
      </c>
      <c r="S2" s="14" t="s">
        <v>23</v>
      </c>
      <c r="T2" s="14" t="s">
        <v>47</v>
      </c>
      <c r="U2" s="14" t="s">
        <v>23</v>
      </c>
    </row>
    <row r="3" spans="1:21">
      <c r="A3" s="96" t="s">
        <v>35</v>
      </c>
      <c r="B3" s="14" t="s">
        <v>37</v>
      </c>
      <c r="D3" s="16">
        <v>0</v>
      </c>
      <c r="E3" s="69">
        <v>-0.16666666666666666</v>
      </c>
      <c r="F3" s="86">
        <v>81.449822380106568</v>
      </c>
      <c r="G3" s="75">
        <v>0.4527075600378288</v>
      </c>
      <c r="H3" s="13">
        <f>F3*Calculation!I3/Calculation!F22</f>
        <v>81.449822380106568</v>
      </c>
      <c r="I3" s="13">
        <f>G3*Calculation!I3/Calculation!F22</f>
        <v>0.4527075600378288</v>
      </c>
      <c r="J3" s="13">
        <v>2.1240378922439316</v>
      </c>
      <c r="K3" s="13">
        <v>1.2818611660515681E-2</v>
      </c>
      <c r="L3" s="13">
        <f>J3*Calculation!I3/Calculation!F22</f>
        <v>2.1240378922439316</v>
      </c>
      <c r="M3" s="13">
        <f>K3*Calculation!I3/Calculation!F22</f>
        <v>1.2818611660515681E-2</v>
      </c>
      <c r="N3" s="13">
        <v>50.091590341382194</v>
      </c>
      <c r="O3" s="13">
        <v>0.38409867092991506</v>
      </c>
      <c r="P3" s="13">
        <f>N3*Calculation!I3/Calculation!F22</f>
        <v>50.091590341382194</v>
      </c>
      <c r="Q3" s="13">
        <f>O3*Calculation!I3/Calculation!F22</f>
        <v>0.38409867092991506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96"/>
      <c r="B4" s="14" t="s">
        <v>38</v>
      </c>
      <c r="D4" s="16">
        <v>0</v>
      </c>
      <c r="E4" s="72">
        <v>0.16666666666666666</v>
      </c>
      <c r="F4" s="87">
        <v>78.219360568383649</v>
      </c>
      <c r="G4" s="88">
        <v>0.46320262089309716</v>
      </c>
      <c r="H4" s="13">
        <f>F4*Calculation!I4/Calculation!K3</f>
        <v>78.270786840946684</v>
      </c>
      <c r="I4" s="13">
        <f>G4*Calculation!I4/Calculation!K3</f>
        <v>0.46350715910538715</v>
      </c>
      <c r="J4" s="13">
        <v>2.3238602723505033</v>
      </c>
      <c r="K4" s="13">
        <v>1.2818611660515681E-2</v>
      </c>
      <c r="L4" s="13">
        <f>J4*Calculation!I4/Calculation!K3</f>
        <v>2.3253881226281825</v>
      </c>
      <c r="M4" s="13">
        <f>K4*Calculation!I4/Calculation!K3</f>
        <v>1.2827039413086697E-2</v>
      </c>
      <c r="N4" s="13">
        <v>47.58257008048848</v>
      </c>
      <c r="O4" s="13">
        <v>0.30036634490077596</v>
      </c>
      <c r="P4" s="13">
        <f>N4*Calculation!I4/Calculation!K3</f>
        <v>47.613853821501287</v>
      </c>
      <c r="Q4" s="13">
        <f>O4*Calculation!I4/Calculation!K3</f>
        <v>0.30056382441747603</v>
      </c>
      <c r="R4" s="13">
        <v>0</v>
      </c>
      <c r="S4" s="13">
        <v>0</v>
      </c>
      <c r="T4" s="13">
        <f>R4*Calculation!I4/Calculation!K3</f>
        <v>0</v>
      </c>
      <c r="U4" s="13">
        <f>S4*Calculation!I4/Calculation!K3</f>
        <v>0</v>
      </c>
    </row>
    <row r="5" spans="1:21">
      <c r="A5" s="15" t="s">
        <v>39</v>
      </c>
      <c r="B5" s="15">
        <v>180.16</v>
      </c>
      <c r="D5" s="16">
        <v>1</v>
      </c>
      <c r="E5" s="72">
        <v>2</v>
      </c>
      <c r="F5" s="87">
        <v>80.202782711663716</v>
      </c>
      <c r="G5" s="88">
        <v>0.71638150514487098</v>
      </c>
      <c r="H5" s="13">
        <f>F5*Calculation!I5/Calculation!K4</f>
        <v>80.255513009304522</v>
      </c>
      <c r="I5" s="13">
        <f>G5*Calculation!I5/Calculation!K4</f>
        <v>0.71685249890236269</v>
      </c>
      <c r="J5" s="13">
        <v>2.3164594434576671</v>
      </c>
      <c r="K5" s="13">
        <v>1.2818611660515681E-2</v>
      </c>
      <c r="L5" s="13">
        <f>J5*Calculation!I5/Calculation!K4</f>
        <v>2.3179824279701311</v>
      </c>
      <c r="M5" s="13">
        <f>K5*Calculation!I5/Calculation!K4</f>
        <v>1.2827039413086697E-2</v>
      </c>
      <c r="N5" s="13">
        <v>47.960033305578698</v>
      </c>
      <c r="O5" s="13">
        <v>0.55029847266805487</v>
      </c>
      <c r="P5" s="13">
        <f>N5*Calculation!I5/Calculation!K4</f>
        <v>47.991565214392359</v>
      </c>
      <c r="Q5" s="13">
        <f>O5*Calculation!I5/Calculation!K4</f>
        <v>0.55066027311030863</v>
      </c>
      <c r="R5" s="13">
        <v>0</v>
      </c>
      <c r="S5" s="13">
        <v>0</v>
      </c>
      <c r="T5" s="13">
        <f>R5*Calculation!I5/Calculation!K4</f>
        <v>0</v>
      </c>
      <c r="U5" s="13">
        <f>S5*Calculation!I5/Calculation!K4</f>
        <v>0</v>
      </c>
    </row>
    <row r="6" spans="1:21">
      <c r="A6" s="15" t="s">
        <v>39</v>
      </c>
      <c r="B6" s="15">
        <v>180.16</v>
      </c>
      <c r="D6" s="16">
        <v>2</v>
      </c>
      <c r="E6" s="72">
        <v>3.3333333333333335</v>
      </c>
      <c r="F6" s="87">
        <v>79.444197750148021</v>
      </c>
      <c r="G6" s="88">
        <v>0.83387507406609296</v>
      </c>
      <c r="H6" s="13">
        <f>F6*Calculation!I6/Calculation!K5</f>
        <v>79.496429306854239</v>
      </c>
      <c r="I6" s="13">
        <f>G6*Calculation!I6/Calculation!K5</f>
        <v>0.83442331540341452</v>
      </c>
      <c r="J6" s="13">
        <v>2.3164594434576671</v>
      </c>
      <c r="K6" s="13">
        <v>1.2818611660515681E-2</v>
      </c>
      <c r="L6" s="13">
        <f>J6*Calculation!I6/Calculation!K5</f>
        <v>2.3179824279701311</v>
      </c>
      <c r="M6" s="13">
        <f>K6*Calculation!I6/Calculation!K5</f>
        <v>1.2827039413086697E-2</v>
      </c>
      <c r="N6" s="13">
        <v>47.049680821537606</v>
      </c>
      <c r="O6" s="13">
        <v>0.47375161350767531</v>
      </c>
      <c r="P6" s="13">
        <f>N6*Calculation!I6/Calculation!K5</f>
        <v>47.080614208008051</v>
      </c>
      <c r="Q6" s="13">
        <f>O6*Calculation!I6/Calculation!K5</f>
        <v>0.47406308728381447</v>
      </c>
      <c r="R6" s="13">
        <v>0</v>
      </c>
      <c r="S6" s="13">
        <v>0</v>
      </c>
      <c r="T6" s="13">
        <f>R6*Calculation!I6/Calculation!K5</f>
        <v>0</v>
      </c>
      <c r="U6" s="13">
        <f>S6*Calculation!I6/Calculation!K5</f>
        <v>0</v>
      </c>
    </row>
    <row r="7" spans="1:21">
      <c r="A7" s="32" t="s">
        <v>103</v>
      </c>
      <c r="B7" s="32">
        <v>46.03</v>
      </c>
      <c r="D7" s="16">
        <v>3</v>
      </c>
      <c r="E7" s="72">
        <v>4.666666666666667</v>
      </c>
      <c r="F7" s="87">
        <v>80.002960331557134</v>
      </c>
      <c r="G7" s="88">
        <v>0.84328053008439907</v>
      </c>
      <c r="H7" s="13">
        <f>F7*Calculation!I7/Calculation!K6</f>
        <v>80.114122208367803</v>
      </c>
      <c r="I7" s="13">
        <f>G7*Calculation!I7/Calculation!K6</f>
        <v>0.84445224480612413</v>
      </c>
      <c r="J7" s="13">
        <v>2.3386619301361753</v>
      </c>
      <c r="K7" s="13">
        <v>1.2818611660515681E-2</v>
      </c>
      <c r="L7" s="13">
        <f>J7*Calculation!I7/Calculation!K6</f>
        <v>2.341911435508254</v>
      </c>
      <c r="M7" s="13">
        <f>K7*Calculation!I7/Calculation!K6</f>
        <v>1.2836422763059695E-2</v>
      </c>
      <c r="N7" s="13">
        <v>47.149597557590894</v>
      </c>
      <c r="O7" s="13">
        <v>0.47257944277086389</v>
      </c>
      <c r="P7" s="13">
        <f>N7*Calculation!I7/Calculation!K6</f>
        <v>47.215110605278731</v>
      </c>
      <c r="Q7" s="13">
        <f>O7*Calculation!I7/Calculation!K6</f>
        <v>0.47323607869512008</v>
      </c>
      <c r="R7" s="13">
        <v>0</v>
      </c>
      <c r="S7" s="13">
        <v>0</v>
      </c>
      <c r="T7" s="13">
        <f>R7*Calculation!I7/Calculation!K6</f>
        <v>0</v>
      </c>
      <c r="U7" s="13">
        <f>S7*Calculation!I7/Calculation!K6</f>
        <v>0</v>
      </c>
    </row>
    <row r="8" spans="1:21">
      <c r="A8" s="15" t="s">
        <v>42</v>
      </c>
      <c r="B8" s="15">
        <v>60.05</v>
      </c>
      <c r="D8" s="16">
        <v>4</v>
      </c>
      <c r="E8" s="72">
        <v>6</v>
      </c>
      <c r="F8" s="87">
        <v>79.299881586737726</v>
      </c>
      <c r="G8" s="88">
        <v>0.88923199694735688</v>
      </c>
      <c r="H8" s="13">
        <f>F8*Calculation!I8/Calculation!K7</f>
        <v>79.410066555287798</v>
      </c>
      <c r="I8" s="13">
        <f>G8*Calculation!I8/Calculation!K7</f>
        <v>0.89046755994766469</v>
      </c>
      <c r="J8" s="13">
        <v>2.3016577856719955</v>
      </c>
      <c r="K8" s="13">
        <v>1.2818611660515681E-2</v>
      </c>
      <c r="L8" s="13">
        <f>J8*Calculation!I8/Calculation!K7</f>
        <v>2.3048558748198325</v>
      </c>
      <c r="M8" s="13">
        <f>K8*Calculation!I8/Calculation!K7</f>
        <v>1.2836422763059695E-2</v>
      </c>
      <c r="N8" s="13">
        <v>46.550097141271159</v>
      </c>
      <c r="O8" s="13">
        <v>0.53323607920168026</v>
      </c>
      <c r="P8" s="13">
        <f>N8*Calculation!I8/Calculation!K7</f>
        <v>46.614777199890213</v>
      </c>
      <c r="Q8" s="13">
        <f>O8*Calculation!I8/Calculation!K7</f>
        <v>0.53397699582653468</v>
      </c>
      <c r="R8" s="13">
        <v>0</v>
      </c>
      <c r="S8" s="13">
        <v>0</v>
      </c>
      <c r="T8" s="13">
        <f>R8*Calculation!I8/Calculation!K7</f>
        <v>0</v>
      </c>
      <c r="U8" s="13">
        <f>S8*Calculation!I8/Calculation!K7</f>
        <v>0</v>
      </c>
    </row>
    <row r="9" spans="1:21">
      <c r="A9" s="32" t="s">
        <v>66</v>
      </c>
      <c r="B9" s="32">
        <v>74.08</v>
      </c>
      <c r="D9" s="16">
        <v>5</v>
      </c>
      <c r="E9" s="72">
        <v>7.333333333333333</v>
      </c>
      <c r="F9" s="87">
        <v>77.416370633510951</v>
      </c>
      <c r="G9" s="88">
        <v>0.85445926958851437</v>
      </c>
      <c r="H9" s="13">
        <f>F9*Calculation!I9/Calculation!K8</f>
        <v>77.646992386907826</v>
      </c>
      <c r="I9" s="13">
        <f>G9*Calculation!I9/Calculation!K8</f>
        <v>0.85700468593064161</v>
      </c>
      <c r="J9" s="13">
        <v>2.3164594434576671</v>
      </c>
      <c r="K9" s="13">
        <v>2.5637223321031362E-2</v>
      </c>
      <c r="L9" s="13">
        <f>J9*Calculation!I9/Calculation!K8</f>
        <v>2.3233601278239235</v>
      </c>
      <c r="M9" s="13">
        <f>K9*Calculation!I9/Calculation!K8</f>
        <v>2.571359607457355E-2</v>
      </c>
      <c r="N9" s="13">
        <v>46.228143213988346</v>
      </c>
      <c r="O9" s="13">
        <v>0.63280599500416224</v>
      </c>
      <c r="P9" s="13">
        <f>N9*Calculation!I9/Calculation!K8</f>
        <v>46.365855888414309</v>
      </c>
      <c r="Q9" s="13">
        <f>O9*Calculation!I9/Calculation!K8</f>
        <v>0.63469111086445995</v>
      </c>
      <c r="R9" s="13">
        <v>0</v>
      </c>
      <c r="S9" s="13">
        <v>0</v>
      </c>
      <c r="T9" s="13">
        <f>R9*Calculation!I9/Calculation!K8</f>
        <v>0</v>
      </c>
      <c r="U9" s="13">
        <f>S9*Calculation!I9/Calculation!K8</f>
        <v>0</v>
      </c>
    </row>
    <row r="10" spans="1:21">
      <c r="A10" s="32" t="s">
        <v>65</v>
      </c>
      <c r="B10" s="32">
        <v>88.11</v>
      </c>
      <c r="D10" s="16">
        <v>6</v>
      </c>
      <c r="E10" s="72">
        <v>8.6666666666666661</v>
      </c>
      <c r="F10" s="87">
        <v>76.546773238602725</v>
      </c>
      <c r="G10" s="88">
        <v>0.3596071821567926</v>
      </c>
      <c r="H10" s="13">
        <f>F10*Calculation!I10/Calculation!K9</f>
        <v>76.838045669349214</v>
      </c>
      <c r="I10" s="13">
        <f>G10*Calculation!I10/Calculation!K9</f>
        <v>0.36097554366478468</v>
      </c>
      <c r="J10" s="13">
        <v>2.2868561278863235</v>
      </c>
      <c r="K10" s="13">
        <v>0</v>
      </c>
      <c r="L10" s="13">
        <f>J10*Calculation!I10/Calculation!K9</f>
        <v>2.2955579727186413</v>
      </c>
      <c r="M10" s="13">
        <f>K10*Calculation!I10/Calculation!K9</f>
        <v>0</v>
      </c>
      <c r="N10" s="13">
        <v>45.584235359422706</v>
      </c>
      <c r="O10" s="13">
        <v>0.16429251831194969</v>
      </c>
      <c r="P10" s="13">
        <f>N10*Calculation!I10/Calculation!K9</f>
        <v>45.757690496394609</v>
      </c>
      <c r="Q10" s="13">
        <f>O10*Calculation!I10/Calculation!K9</f>
        <v>0.16491767701084115</v>
      </c>
      <c r="R10" s="13">
        <v>0</v>
      </c>
      <c r="S10" s="13">
        <v>0</v>
      </c>
      <c r="T10" s="13">
        <f>R10*Calculation!I10/Calculation!K9</f>
        <v>0</v>
      </c>
      <c r="U10" s="13">
        <f>S10*Calculation!I10/Calculation!K9</f>
        <v>0</v>
      </c>
    </row>
    <row r="11" spans="1:21">
      <c r="A11" s="15" t="s">
        <v>41</v>
      </c>
      <c r="B11" s="15">
        <v>90.08</v>
      </c>
      <c r="D11" s="16">
        <v>7</v>
      </c>
      <c r="E11" s="72">
        <v>10</v>
      </c>
      <c r="F11" s="87">
        <v>73.74925991711072</v>
      </c>
      <c r="G11" s="88">
        <v>1.0473676477403471</v>
      </c>
      <c r="H11" s="13">
        <f>F11*Calculation!I11/Calculation!K10</f>
        <v>74.029887372625439</v>
      </c>
      <c r="I11" s="13">
        <f>G11*Calculation!I11/Calculation!K10</f>
        <v>1.051353045265748</v>
      </c>
      <c r="J11" s="13">
        <v>2.2054470100651273</v>
      </c>
      <c r="K11" s="13">
        <v>1.2818611660515681E-2</v>
      </c>
      <c r="L11" s="13">
        <f>J11*Calculation!I11/Calculation!K10</f>
        <v>2.2138390804859389</v>
      </c>
      <c r="M11" s="13">
        <f>K11*Calculation!I11/Calculation!K10</f>
        <v>1.2867388480480585E-2</v>
      </c>
      <c r="N11" s="13">
        <v>44.185401054676653</v>
      </c>
      <c r="O11" s="13">
        <v>0.38601917625787002</v>
      </c>
      <c r="P11" s="13">
        <f>N11*Calculation!I11/Calculation!K10</f>
        <v>44.353533408585122</v>
      </c>
      <c r="Q11" s="13">
        <f>O11*Calculation!I11/Calculation!K10</f>
        <v>0.38748803952964911</v>
      </c>
      <c r="R11" s="13">
        <v>0</v>
      </c>
      <c r="S11" s="13">
        <v>0</v>
      </c>
      <c r="T11" s="13">
        <f>R11*Calculation!I11/Calculation!K10</f>
        <v>0</v>
      </c>
      <c r="U11" s="13">
        <f>S11*Calculation!I11/Calculation!K10</f>
        <v>0</v>
      </c>
    </row>
    <row r="12" spans="1:21">
      <c r="A12" s="15" t="s">
        <v>43</v>
      </c>
      <c r="B12" s="15">
        <v>46.07</v>
      </c>
      <c r="D12" s="16">
        <v>8</v>
      </c>
      <c r="E12" s="72">
        <v>11.333333333333334</v>
      </c>
      <c r="F12" s="87">
        <v>71.025754884547084</v>
      </c>
      <c r="G12" s="88">
        <v>0.58067037436154789</v>
      </c>
      <c r="H12" s="13">
        <f>F12*Calculation!I12/Calculation!K11</f>
        <v>71.553173239348652</v>
      </c>
      <c r="I12" s="13">
        <f>G12*Calculation!I12/Calculation!K11</f>
        <v>0.58498227803684988</v>
      </c>
      <c r="J12" s="13">
        <v>2.1462403789224398</v>
      </c>
      <c r="K12" s="13">
        <v>2.5637223321031362E-2</v>
      </c>
      <c r="L12" s="13">
        <f>J12*Calculation!I12/Calculation!K11</f>
        <v>2.1621777888309999</v>
      </c>
      <c r="M12" s="13">
        <f>K12*Calculation!I12/Calculation!K11</f>
        <v>2.5827598518980865E-2</v>
      </c>
      <c r="N12" s="13">
        <v>43.474882042742159</v>
      </c>
      <c r="O12" s="13">
        <v>0.27931713850478124</v>
      </c>
      <c r="P12" s="13">
        <f>N12*Calculation!I12/Calculation!K11</f>
        <v>43.797714947502506</v>
      </c>
      <c r="Q12" s="13">
        <f>O12*Calculation!I12/Calculation!K11</f>
        <v>0.28139127324502494</v>
      </c>
      <c r="R12" s="13">
        <v>0</v>
      </c>
      <c r="S12" s="13">
        <v>0</v>
      </c>
      <c r="T12" s="13">
        <f>R12*Calculation!I12/Calculation!K11</f>
        <v>0</v>
      </c>
      <c r="U12" s="13">
        <f>S12*Calculation!I12/Calculation!K11</f>
        <v>0</v>
      </c>
    </row>
    <row r="13" spans="1:21">
      <c r="D13" s="16">
        <v>9</v>
      </c>
      <c r="E13" s="72">
        <v>12.666666666666666</v>
      </c>
      <c r="F13" s="87">
        <v>63.550917702782719</v>
      </c>
      <c r="G13" s="88">
        <v>6.7829717213676574E-2</v>
      </c>
      <c r="H13" s="13">
        <f>F13*Calculation!I13/Calculation!K12</f>
        <v>64.383183545078623</v>
      </c>
      <c r="I13" s="13">
        <f>G13*Calculation!I13/Calculation!K12</f>
        <v>6.8718018417973134E-2</v>
      </c>
      <c r="J13" s="13">
        <v>2.1388395500296036</v>
      </c>
      <c r="K13" s="13">
        <v>2.5637223321031362E-2</v>
      </c>
      <c r="L13" s="13">
        <f>J13*Calculation!I13/Calculation!K12</f>
        <v>2.1668498945531294</v>
      </c>
      <c r="M13" s="13">
        <f>K13*Calculation!I13/Calculation!K12</f>
        <v>2.5972969617586762E-2</v>
      </c>
      <c r="N13" s="13">
        <v>41.554260338606724</v>
      </c>
      <c r="O13" s="13">
        <v>6.9331090739920637E-2</v>
      </c>
      <c r="P13" s="13">
        <f>N13*Calculation!I13/Calculation!K12</f>
        <v>42.098456909353956</v>
      </c>
      <c r="Q13" s="13">
        <f>O13*Calculation!I13/Calculation!K12</f>
        <v>7.0239054003359502E-2</v>
      </c>
      <c r="R13" s="13">
        <v>0</v>
      </c>
      <c r="S13" s="13">
        <v>0</v>
      </c>
      <c r="T13" s="13">
        <f>R13*Calculation!I13/Calculation!K12</f>
        <v>0</v>
      </c>
      <c r="U13" s="13">
        <f>S13*Calculation!I13/Calculation!K12</f>
        <v>0</v>
      </c>
    </row>
    <row r="14" spans="1:21">
      <c r="D14" s="16">
        <v>10</v>
      </c>
      <c r="E14" s="72">
        <v>14.116666666666667</v>
      </c>
      <c r="F14" s="87">
        <v>53.633806986382474</v>
      </c>
      <c r="G14" s="88">
        <v>0.19992514297276762</v>
      </c>
      <c r="H14" s="13">
        <f>F14*Calculation!I14/Calculation!K13</f>
        <v>54.65426342336788</v>
      </c>
      <c r="I14" s="13">
        <f>G14*Calculation!I14/Calculation!K13</f>
        <v>0.20372899189800961</v>
      </c>
      <c r="J14" s="13">
        <v>2.1832445233866196</v>
      </c>
      <c r="K14" s="13">
        <v>1.2818611660515681E-2</v>
      </c>
      <c r="L14" s="13">
        <f>J14*Calculation!I14/Calculation!K13</f>
        <v>2.2247837325643061</v>
      </c>
      <c r="M14" s="13">
        <f>K14*Calculation!I14/Calculation!K13</f>
        <v>1.3062503256454611E-2</v>
      </c>
      <c r="N14" s="13">
        <v>38.878712184290869</v>
      </c>
      <c r="O14" s="13">
        <v>0.30946122375278978</v>
      </c>
      <c r="P14" s="13">
        <f>N14*Calculation!I14/Calculation!K13</f>
        <v>39.618432788502972</v>
      </c>
      <c r="Q14" s="13">
        <f>O14*Calculation!I14/Calculation!K13</f>
        <v>0.31534914623153704</v>
      </c>
      <c r="R14" s="13">
        <v>0.34759939170106452</v>
      </c>
      <c r="S14" s="13">
        <v>4.3449923962633044E-2</v>
      </c>
      <c r="T14" s="13">
        <f>R14*Calculation!I14/Calculation!K13</f>
        <v>0.35421294491841532</v>
      </c>
      <c r="U14" s="13">
        <f>S14*Calculation!I14/Calculation!K13</f>
        <v>4.4276618114801894E-2</v>
      </c>
    </row>
    <row r="15" spans="1:21">
      <c r="D15" s="16">
        <v>11</v>
      </c>
      <c r="E15" s="72">
        <v>15.333333333333334</v>
      </c>
      <c r="F15" s="87">
        <v>44.874925991711066</v>
      </c>
      <c r="G15" s="88">
        <v>3.2046529151288493E-2</v>
      </c>
      <c r="H15" s="13">
        <f>F15*Calculation!I15/Calculation!K14</f>
        <v>46.007000904543048</v>
      </c>
      <c r="I15" s="13">
        <f>G15*Calculation!I15/Calculation!K14</f>
        <v>3.2854977764712696E-2</v>
      </c>
      <c r="J15" s="13">
        <v>2.3682652457075193</v>
      </c>
      <c r="K15" s="13">
        <v>1.2818611660515681E-2</v>
      </c>
      <c r="L15" s="13">
        <f>J15*Calculation!I15/Calculation!K14</f>
        <v>2.4280102728545851</v>
      </c>
      <c r="M15" s="13">
        <f>K15*Calculation!I15/Calculation!K14</f>
        <v>1.3141991105885369E-2</v>
      </c>
      <c r="N15" s="13">
        <v>37.985012489592002</v>
      </c>
      <c r="O15" s="13">
        <v>7.0651801617304444E-2</v>
      </c>
      <c r="P15" s="13">
        <f>N15*Calculation!I15/Calculation!K14</f>
        <v>38.943273227693709</v>
      </c>
      <c r="Q15" s="13">
        <f>O15*Calculation!I15/Calculation!K14</f>
        <v>7.2434158476725366E-2</v>
      </c>
      <c r="R15" s="13">
        <v>0.82554855529002824</v>
      </c>
      <c r="S15" s="13">
        <v>0</v>
      </c>
      <c r="T15" s="13">
        <f>R15*Calculation!I15/Calculation!K14</f>
        <v>0.84637494749268405</v>
      </c>
      <c r="U15" s="13">
        <f>S15*Calculation!I15/Calculation!K14</f>
        <v>0</v>
      </c>
    </row>
    <row r="16" spans="1:21">
      <c r="D16" s="16">
        <v>12</v>
      </c>
      <c r="E16" s="72">
        <v>16.666666666666668</v>
      </c>
      <c r="F16" s="87">
        <v>32.567347542924814</v>
      </c>
      <c r="G16" s="88">
        <v>0.16811451586146473</v>
      </c>
      <c r="H16" s="13">
        <f>F16*Calculation!I16/Calculation!K15</f>
        <v>33.706253302025985</v>
      </c>
      <c r="I16" s="13">
        <f>G16*Calculation!I16/Calculation!K15</f>
        <v>0.17399361270994979</v>
      </c>
      <c r="J16" s="13">
        <v>4.0482534043812901</v>
      </c>
      <c r="K16" s="13">
        <v>1.2818611660515681E-2</v>
      </c>
      <c r="L16" s="13">
        <f>J16*Calculation!I16/Calculation!K15</f>
        <v>4.1898240100461779</v>
      </c>
      <c r="M16" s="13">
        <f>K16*Calculation!I16/Calculation!K15</f>
        <v>1.3266888592636127E-2</v>
      </c>
      <c r="N16" s="13">
        <v>38.279211767971134</v>
      </c>
      <c r="O16" s="13">
        <v>0.19515288183454649</v>
      </c>
      <c r="P16" s="13">
        <f>N16*Calculation!I16/Calculation!K15</f>
        <v>39.617865911632485</v>
      </c>
      <c r="Q16" s="13">
        <f>O16*Calculation!I16/Calculation!K15</f>
        <v>0.20197753160786955</v>
      </c>
      <c r="R16" s="13">
        <v>1.4772974147295241</v>
      </c>
      <c r="S16" s="13">
        <v>0</v>
      </c>
      <c r="T16" s="13">
        <f>R16*Calculation!I16/Calculation!K15</f>
        <v>1.5289596672762853</v>
      </c>
      <c r="U16" s="13">
        <f>S16*Calculation!I16/Calculation!K15</f>
        <v>0</v>
      </c>
    </row>
    <row r="17" spans="4:21">
      <c r="D17" s="16">
        <v>13</v>
      </c>
      <c r="E17" s="72">
        <v>18</v>
      </c>
      <c r="F17" s="87">
        <v>20.585405565423333</v>
      </c>
      <c r="G17" s="88">
        <v>0.12378425609589737</v>
      </c>
      <c r="H17" s="13">
        <f>F17*Calculation!I17/Calculation!K16</f>
        <v>21.516702033729533</v>
      </c>
      <c r="I17" s="13">
        <f>G17*Calculation!I17/Calculation!K16</f>
        <v>0.12938433233280433</v>
      </c>
      <c r="J17" s="13">
        <v>8.0595026642984013</v>
      </c>
      <c r="K17" s="13">
        <v>4.4404973357016028E-2</v>
      </c>
      <c r="L17" s="13">
        <f>J17*Calculation!I17/Calculation!K16</f>
        <v>8.4241195451128732</v>
      </c>
      <c r="M17" s="13">
        <f>K17*Calculation!I17/Calculation!K16</f>
        <v>4.6413881791255537E-2</v>
      </c>
      <c r="N17" s="13">
        <v>40.177629752983634</v>
      </c>
      <c r="O17" s="13">
        <v>0.24093848919468033</v>
      </c>
      <c r="P17" s="13">
        <f>N17*Calculation!I17/Calculation!K16</f>
        <v>41.995290550335923</v>
      </c>
      <c r="Q17" s="13">
        <f>O17*Calculation!I17/Calculation!K16</f>
        <v>0.25183869533115455</v>
      </c>
      <c r="R17" s="13">
        <v>1.9262799623433993</v>
      </c>
      <c r="S17" s="13">
        <v>2.5085825296094995E-2</v>
      </c>
      <c r="T17" s="13">
        <f>R17*Calculation!I17/Calculation!K16</f>
        <v>2.0134260581634704</v>
      </c>
      <c r="U17" s="13">
        <f>S17*Calculation!I17/Calculation!K16</f>
        <v>2.6220723534001979E-2</v>
      </c>
    </row>
    <row r="18" spans="4:21">
      <c r="D18" s="16">
        <v>14</v>
      </c>
      <c r="E18" s="72">
        <v>24</v>
      </c>
      <c r="F18" s="87">
        <v>0</v>
      </c>
      <c r="G18" s="88">
        <v>0</v>
      </c>
      <c r="H18" s="13">
        <f>F18*Calculation!I18/Calculation!K17</f>
        <v>0</v>
      </c>
      <c r="I18" s="13">
        <f>G18*Calculation!I18/Calculation!K17</f>
        <v>0</v>
      </c>
      <c r="J18" s="13">
        <v>16.489046773238602</v>
      </c>
      <c r="K18" s="13">
        <v>0.13009469975760035</v>
      </c>
      <c r="L18" s="13">
        <f>J18*Calculation!I18/Calculation!K17</f>
        <v>17.594084385121338</v>
      </c>
      <c r="M18" s="13">
        <f>K18*Calculation!I18/Calculation!K17</f>
        <v>0.13881318653950814</v>
      </c>
      <c r="N18" s="13">
        <v>45.351096308631696</v>
      </c>
      <c r="O18" s="13">
        <v>0.421724560937497</v>
      </c>
      <c r="P18" s="13">
        <f>N18*Calculation!I18/Calculation!K17</f>
        <v>48.390366428387154</v>
      </c>
      <c r="Q18" s="13">
        <f>O18*Calculation!I18/Calculation!K17</f>
        <v>0.44998704985511051</v>
      </c>
      <c r="R18" s="13">
        <v>3.0559779853718592</v>
      </c>
      <c r="S18" s="13">
        <v>5.0171650592189629E-2</v>
      </c>
      <c r="T18" s="13">
        <f>R18*Calculation!I18/Calculation!K17</f>
        <v>3.2607788244599187</v>
      </c>
      <c r="U18" s="13">
        <f>S18*Calculation!I18/Calculation!K17</f>
        <v>5.3533977215253659E-2</v>
      </c>
    </row>
    <row r="19" spans="4:21">
      <c r="D19" s="16">
        <v>15</v>
      </c>
      <c r="E19" s="72">
        <v>30</v>
      </c>
      <c r="F19" s="87">
        <v>0</v>
      </c>
      <c r="G19" s="88">
        <v>0</v>
      </c>
      <c r="H19" s="13">
        <f>F19*Calculation!I19/Calculation!K18</f>
        <v>0</v>
      </c>
      <c r="I19" s="13">
        <f>G19*Calculation!I19/Calculation!K18</f>
        <v>0</v>
      </c>
      <c r="J19" s="13">
        <v>17.340142095914743</v>
      </c>
      <c r="K19" s="13">
        <v>0.28346237421855497</v>
      </c>
      <c r="L19" s="13">
        <f>J19*Calculation!I19/Calculation!K18</f>
        <v>18.547179967501823</v>
      </c>
      <c r="M19" s="13">
        <f>K19*Calculation!I19/Calculation!K18</f>
        <v>0.30319403610224821</v>
      </c>
      <c r="N19" s="13">
        <v>45.15126283652512</v>
      </c>
      <c r="O19" s="13">
        <v>0.39734732541045259</v>
      </c>
      <c r="P19" s="13">
        <f>N19*Calculation!I19/Calculation!K18</f>
        <v>48.294217714992229</v>
      </c>
      <c r="Q19" s="13">
        <f>O19*Calculation!I19/Calculation!K18</f>
        <v>0.42500645688073313</v>
      </c>
      <c r="R19" s="13">
        <v>3.0414946773843146</v>
      </c>
      <c r="S19" s="13">
        <v>4.3449923962632801E-2</v>
      </c>
      <c r="T19" s="13">
        <f>R19*Calculation!I19/Calculation!K18</f>
        <v>3.2532114696416468</v>
      </c>
      <c r="U19" s="13">
        <f>S19*Calculation!I19/Calculation!K18</f>
        <v>4.6474449566308959E-2</v>
      </c>
    </row>
    <row r="20" spans="4:21">
      <c r="D20" s="71">
        <v>16</v>
      </c>
      <c r="E20" s="72">
        <v>48</v>
      </c>
      <c r="F20" s="87">
        <v>0</v>
      </c>
      <c r="G20" s="88">
        <v>0</v>
      </c>
      <c r="H20" s="13">
        <f>F20*Calculation!I20/Calculation!K19</f>
        <v>0</v>
      </c>
      <c r="I20" s="13">
        <f>G20*Calculation!I20/Calculation!K19</f>
        <v>0</v>
      </c>
      <c r="J20" s="73">
        <v>18.228241563055064</v>
      </c>
      <c r="K20" s="73">
        <v>0.11748451647711336</v>
      </c>
      <c r="L20" s="13">
        <f>J20*Calculation!I20/Calculation!K19</f>
        <v>19.497099556106274</v>
      </c>
      <c r="M20" s="13">
        <f>K20*Calculation!I20/Calculation!K19</f>
        <v>0.1256625498478077</v>
      </c>
      <c r="N20" s="73">
        <v>45.095753538717737</v>
      </c>
      <c r="O20" s="73">
        <v>0.2664446294754374</v>
      </c>
      <c r="P20" s="13">
        <f>N20*Calculation!I20/Calculation!K19</f>
        <v>48.234844445118881</v>
      </c>
      <c r="Q20" s="13">
        <f>O20*Calculation!I20/Calculation!K19</f>
        <v>0.28499169539213542</v>
      </c>
      <c r="R20" s="73">
        <v>3.0414946773843146</v>
      </c>
      <c r="S20" s="73">
        <v>7.5257475888284631E-2</v>
      </c>
      <c r="T20" s="13">
        <f>R20*Calculation!I20/Calculation!K19</f>
        <v>3.2532114696416472</v>
      </c>
      <c r="U20" s="13">
        <f>S20*Calculation!I20/Calculation!K19</f>
        <v>8.0496107902644679E-2</v>
      </c>
    </row>
    <row r="22" spans="4:21">
      <c r="D22" s="111" t="s">
        <v>4</v>
      </c>
      <c r="E22" s="111" t="s">
        <v>59</v>
      </c>
      <c r="F22" s="96" t="s">
        <v>43</v>
      </c>
      <c r="G22" s="96"/>
      <c r="H22" s="96"/>
      <c r="I22" s="96"/>
      <c r="J22" s="96" t="s">
        <v>65</v>
      </c>
      <c r="K22" s="96"/>
      <c r="L22" s="96"/>
      <c r="M22" s="96"/>
      <c r="N22" s="112" t="s">
        <v>66</v>
      </c>
      <c r="O22" s="94"/>
      <c r="P22" s="94"/>
      <c r="Q22" s="113"/>
    </row>
    <row r="23" spans="4:21">
      <c r="D23" s="111"/>
      <c r="E23" s="111"/>
      <c r="F23" s="20" t="s">
        <v>47</v>
      </c>
      <c r="G23" s="20" t="s">
        <v>23</v>
      </c>
      <c r="H23" s="20" t="s">
        <v>47</v>
      </c>
      <c r="I23" s="20" t="s">
        <v>23</v>
      </c>
      <c r="J23" s="20" t="s">
        <v>47</v>
      </c>
      <c r="K23" s="20" t="s">
        <v>23</v>
      </c>
      <c r="L23" s="20" t="s">
        <v>47</v>
      </c>
      <c r="M23" s="20" t="s">
        <v>23</v>
      </c>
      <c r="N23" s="20" t="s">
        <v>47</v>
      </c>
      <c r="O23" s="20" t="s">
        <v>23</v>
      </c>
      <c r="P23" s="20" t="s">
        <v>47</v>
      </c>
      <c r="Q23" s="20" t="s">
        <v>23</v>
      </c>
    </row>
    <row r="24" spans="4:21">
      <c r="D24" s="16">
        <v>0</v>
      </c>
      <c r="E24" s="69">
        <v>-0.16666666666666666</v>
      </c>
      <c r="F24" s="13">
        <v>0</v>
      </c>
      <c r="G24" s="13">
        <v>0.18377049907003357</v>
      </c>
      <c r="H24" s="13">
        <f>F24*Calculation!I3/Calculation!F22</f>
        <v>0</v>
      </c>
      <c r="I24" s="13">
        <f>G24*Calculation!I3/Calculation!F22</f>
        <v>0.18377049907003357</v>
      </c>
      <c r="J24" s="13">
        <v>0</v>
      </c>
      <c r="K24" s="13">
        <v>0</v>
      </c>
      <c r="L24" s="13">
        <f>J24*Calculation!I3/Calculation!F22</f>
        <v>0</v>
      </c>
      <c r="M24" s="13">
        <f>K24*Calculation!I3/Calculation!F22</f>
        <v>0</v>
      </c>
      <c r="N24" s="13">
        <v>0</v>
      </c>
      <c r="O24" s="13">
        <v>0.18377049907003357</v>
      </c>
      <c r="P24" s="13">
        <f>N24*Calculation!I3/Calculation!F22</f>
        <v>0</v>
      </c>
      <c r="Q24" s="13">
        <f>O24*Calculation!I3/Calculation!F22</f>
        <v>0.18377049907003357</v>
      </c>
    </row>
    <row r="25" spans="4:21">
      <c r="D25" s="16">
        <v>0</v>
      </c>
      <c r="E25" s="72">
        <v>0.16666666666666666</v>
      </c>
      <c r="F25" s="13">
        <v>0</v>
      </c>
      <c r="G25" s="13">
        <v>0.18377049907003357</v>
      </c>
      <c r="H25" s="13">
        <f>F25*Calculation!I4/Calculation!K3</f>
        <v>0</v>
      </c>
      <c r="I25" s="13">
        <f>G25*Calculation!I4/Calculation!K3</f>
        <v>0.18389132122589816</v>
      </c>
      <c r="J25" s="13">
        <v>2.5044452010744149</v>
      </c>
      <c r="K25" s="13">
        <v>0.25513131767241498</v>
      </c>
      <c r="L25" s="13">
        <f>J25*Calculation!I4/Calculation!K3</f>
        <v>2.5060917791158839</v>
      </c>
      <c r="M25" s="13">
        <f>K25*Calculation!I4/Calculation!K3</f>
        <v>0.25529905686878079</v>
      </c>
      <c r="N25" s="13">
        <v>0</v>
      </c>
      <c r="O25" s="13">
        <v>0.18377049907003357</v>
      </c>
      <c r="P25" s="13">
        <f>N25*Calculation!I4/Calculation!K3</f>
        <v>0</v>
      </c>
      <c r="Q25" s="13">
        <f>O25*Calculation!I4/Calculation!K3</f>
        <v>0.18389132122589816</v>
      </c>
    </row>
    <row r="26" spans="4:21">
      <c r="D26" s="16">
        <v>1</v>
      </c>
      <c r="E26" s="72">
        <v>2</v>
      </c>
      <c r="F26" s="13">
        <v>0</v>
      </c>
      <c r="G26" s="13">
        <v>0.18377049907003357</v>
      </c>
      <c r="H26" s="13">
        <f>F26*Calculation!I5/Calculation!K4</f>
        <v>0</v>
      </c>
      <c r="I26" s="13">
        <f>G26*Calculation!I5/Calculation!K4</f>
        <v>0.18389132122589816</v>
      </c>
      <c r="J26" s="13">
        <v>3.5258956607271208</v>
      </c>
      <c r="K26" s="13">
        <v>0.10235500517132899</v>
      </c>
      <c r="L26" s="13">
        <f>J26*Calculation!I5/Calculation!K4</f>
        <v>3.5282138038308202</v>
      </c>
      <c r="M26" s="13">
        <f>K26*Calculation!I5/Calculation!K4</f>
        <v>0.10242229971779272</v>
      </c>
      <c r="N26" s="13">
        <v>0</v>
      </c>
      <c r="O26" s="13">
        <v>0.18377049907003357</v>
      </c>
      <c r="P26" s="13">
        <f>N26*Calculation!I5/Calculation!K4</f>
        <v>0</v>
      </c>
      <c r="Q26" s="13">
        <f>O26*Calculation!I5/Calculation!K4</f>
        <v>0.18389132122589816</v>
      </c>
    </row>
    <row r="27" spans="4:21">
      <c r="D27" s="16">
        <v>2</v>
      </c>
      <c r="E27" s="72">
        <v>3.3333333333333335</v>
      </c>
      <c r="F27" s="13">
        <v>0</v>
      </c>
      <c r="G27" s="13">
        <v>0.18377049907003357</v>
      </c>
      <c r="H27" s="13">
        <f>F27*Calculation!I6/Calculation!K5</f>
        <v>0</v>
      </c>
      <c r="I27" s="13">
        <f>G27*Calculation!I6/Calculation!K5</f>
        <v>0.18389132122589816</v>
      </c>
      <c r="J27" s="13">
        <v>4.2371278326334512</v>
      </c>
      <c r="K27" s="13">
        <v>4.7251526488846542E-2</v>
      </c>
      <c r="L27" s="13">
        <f>J27*Calculation!I6/Calculation!K5</f>
        <v>4.2399135840027045</v>
      </c>
      <c r="M27" s="13">
        <f>K27*Calculation!I6/Calculation!K5</f>
        <v>4.7282592581212653E-2</v>
      </c>
      <c r="N27" s="13">
        <v>0</v>
      </c>
      <c r="O27" s="13">
        <v>0.18377049907003357</v>
      </c>
      <c r="P27" s="13">
        <f>N27*Calculation!I6/Calculation!K5</f>
        <v>0</v>
      </c>
      <c r="Q27" s="13">
        <f>O27*Calculation!I6/Calculation!K5</f>
        <v>0.18389132122589816</v>
      </c>
    </row>
    <row r="28" spans="4:21">
      <c r="D28" s="16">
        <v>3</v>
      </c>
      <c r="E28" s="72">
        <v>4.666666666666667</v>
      </c>
      <c r="F28" s="13">
        <v>0</v>
      </c>
      <c r="G28" s="13">
        <v>0.18377049907003357</v>
      </c>
      <c r="H28" s="13">
        <f>F28*Calculation!I7/Calculation!K6</f>
        <v>0</v>
      </c>
      <c r="I28" s="13">
        <f>G28*Calculation!I7/Calculation!K6</f>
        <v>0.1840258430409866</v>
      </c>
      <c r="J28" s="13">
        <v>5.1072522982635347</v>
      </c>
      <c r="K28" s="13">
        <v>6.0055642062526227E-2</v>
      </c>
      <c r="L28" s="13">
        <f>J28*Calculation!I7/Calculation!K6</f>
        <v>5.1143486825531621</v>
      </c>
      <c r="M28" s="13">
        <f>K28*Calculation!I7/Calculation!K6</f>
        <v>6.0139087698251111E-2</v>
      </c>
      <c r="N28" s="13">
        <v>0</v>
      </c>
      <c r="O28" s="13">
        <v>0.18377049907003357</v>
      </c>
      <c r="P28" s="13">
        <f>N28*Calculation!I7/Calculation!K6</f>
        <v>0</v>
      </c>
      <c r="Q28" s="13">
        <f>O28*Calculation!I7/Calculation!K6</f>
        <v>0.1840258430409866</v>
      </c>
    </row>
    <row r="29" spans="4:21">
      <c r="D29" s="16">
        <v>4</v>
      </c>
      <c r="E29" s="72">
        <v>6</v>
      </c>
      <c r="F29" s="13">
        <v>0</v>
      </c>
      <c r="G29" s="13">
        <v>0.18377049907003357</v>
      </c>
      <c r="H29" s="13">
        <f>F29*Calculation!I8/Calculation!K7</f>
        <v>0</v>
      </c>
      <c r="I29" s="13">
        <f>G29*Calculation!I8/Calculation!K7</f>
        <v>0.1840258430409866</v>
      </c>
      <c r="J29" s="13">
        <v>5.8336170695721261</v>
      </c>
      <c r="K29" s="13">
        <v>6.0055642062526227E-2</v>
      </c>
      <c r="L29" s="13">
        <f>J29*Calculation!I8/Calculation!K7</f>
        <v>5.841722717405168</v>
      </c>
      <c r="M29" s="13">
        <f>K29*Calculation!I8/Calculation!K7</f>
        <v>6.0139087698251117E-2</v>
      </c>
      <c r="N29" s="13">
        <v>0</v>
      </c>
      <c r="O29" s="13">
        <v>0.18377049907003357</v>
      </c>
      <c r="P29" s="13">
        <f>N29*Calculation!I8/Calculation!K7</f>
        <v>0</v>
      </c>
      <c r="Q29" s="13">
        <f>O29*Calculation!I8/Calculation!K7</f>
        <v>0.1840258430409866</v>
      </c>
    </row>
    <row r="30" spans="4:21">
      <c r="D30" s="16">
        <v>5</v>
      </c>
      <c r="E30" s="72">
        <v>7.333333333333333</v>
      </c>
      <c r="F30" s="13">
        <v>0</v>
      </c>
      <c r="G30" s="13">
        <v>0.18377049907003357</v>
      </c>
      <c r="H30" s="13">
        <f>F30*Calculation!I9/Calculation!K8</f>
        <v>0</v>
      </c>
      <c r="I30" s="13">
        <f>G30*Calculation!I9/Calculation!K8</f>
        <v>0.18431794755375008</v>
      </c>
      <c r="J30" s="13">
        <v>6.5826807399841112</v>
      </c>
      <c r="K30" s="13">
        <v>0.11794693956887156</v>
      </c>
      <c r="L30" s="13">
        <f>J30*Calculation!I9/Calculation!K8</f>
        <v>6.6022904086095462</v>
      </c>
      <c r="M30" s="13">
        <f>K30*Calculation!I9/Calculation!K8</f>
        <v>0.11829830104175615</v>
      </c>
      <c r="N30" s="13">
        <v>0</v>
      </c>
      <c r="O30" s="13">
        <v>0.18377049907003357</v>
      </c>
      <c r="P30" s="13">
        <f>N30*Calculation!I9/Calculation!K8</f>
        <v>0</v>
      </c>
      <c r="Q30" s="13">
        <f>O30*Calculation!I9/Calculation!K8</f>
        <v>0.18431794755375008</v>
      </c>
    </row>
    <row r="31" spans="4:21">
      <c r="D31" s="16">
        <v>6</v>
      </c>
      <c r="E31" s="72">
        <v>8.6666666666666661</v>
      </c>
      <c r="F31" s="13">
        <v>0</v>
      </c>
      <c r="G31" s="13">
        <v>0.18377049907003357</v>
      </c>
      <c r="H31" s="13">
        <f>F31*Calculation!I10/Calculation!K9</f>
        <v>0</v>
      </c>
      <c r="I31" s="13">
        <f>G31*Calculation!I10/Calculation!K9</f>
        <v>0.18446977452867078</v>
      </c>
      <c r="J31" s="13">
        <v>7.9294820867854572</v>
      </c>
      <c r="K31" s="13">
        <v>8.5936645039159806E-2</v>
      </c>
      <c r="L31" s="13">
        <f>J31*Calculation!I10/Calculation!K9</f>
        <v>7.9596550049146044</v>
      </c>
      <c r="M31" s="13">
        <f>K31*Calculation!I10/Calculation!K9</f>
        <v>8.6263647399046753E-2</v>
      </c>
      <c r="N31" s="13">
        <v>0</v>
      </c>
      <c r="O31" s="13">
        <v>0.18377049907003357</v>
      </c>
      <c r="P31" s="13">
        <f>N31*Calculation!I10/Calculation!K9</f>
        <v>0</v>
      </c>
      <c r="Q31" s="13">
        <f>O31*Calculation!I10/Calculation!K9</f>
        <v>0.18446977452867078</v>
      </c>
    </row>
    <row r="32" spans="4:21">
      <c r="D32" s="16">
        <v>7</v>
      </c>
      <c r="E32" s="72">
        <v>10</v>
      </c>
      <c r="F32" s="13">
        <v>0</v>
      </c>
      <c r="G32" s="13">
        <v>0.18377049907003357</v>
      </c>
      <c r="H32" s="13">
        <f>F32*Calculation!I11/Calculation!K10</f>
        <v>0</v>
      </c>
      <c r="I32" s="13">
        <f>G32*Calculation!I11/Calculation!K10</f>
        <v>0.18446977452867078</v>
      </c>
      <c r="J32" s="13">
        <v>9.9723830060908725</v>
      </c>
      <c r="K32" s="13">
        <v>0.21090848355867842</v>
      </c>
      <c r="L32" s="13">
        <f>J32*Calculation!I11/Calculation!K10</f>
        <v>10.010329481371611</v>
      </c>
      <c r="M32" s="13">
        <f>K32*Calculation!I11/Calculation!K10</f>
        <v>0.21171102328794569</v>
      </c>
      <c r="N32" s="13">
        <v>0</v>
      </c>
      <c r="O32" s="13">
        <v>0.18377049907003357</v>
      </c>
      <c r="P32" s="13">
        <f>N32*Calculation!I11/Calculation!K10</f>
        <v>0</v>
      </c>
      <c r="Q32" s="13">
        <f>O32*Calculation!I11/Calculation!K10</f>
        <v>0.18446977452867078</v>
      </c>
    </row>
    <row r="33" spans="4:17">
      <c r="D33" s="16">
        <v>8</v>
      </c>
      <c r="E33" s="72">
        <v>11.333333333333334</v>
      </c>
      <c r="F33" s="13">
        <v>0</v>
      </c>
      <c r="G33" s="13">
        <v>0.18377049907003357</v>
      </c>
      <c r="H33" s="13">
        <f>F33*Calculation!I12/Calculation!K11</f>
        <v>0</v>
      </c>
      <c r="I33" s="13">
        <f>G33*Calculation!I12/Calculation!K11</f>
        <v>0.18513512989216463</v>
      </c>
      <c r="J33" s="13">
        <v>13.536110165323647</v>
      </c>
      <c r="K33" s="13">
        <v>0.42607069119059049</v>
      </c>
      <c r="L33" s="13">
        <f>J33*Calculation!I12/Calculation!K11</f>
        <v>13.63662571725847</v>
      </c>
      <c r="M33" s="13">
        <f>K33*Calculation!I12/Calculation!K11</f>
        <v>0.42923457875985582</v>
      </c>
      <c r="N33" s="13">
        <v>0</v>
      </c>
      <c r="O33" s="13">
        <v>0.18377049907003357</v>
      </c>
      <c r="P33" s="13">
        <f>N33*Calculation!I12/Calculation!K11</f>
        <v>0</v>
      </c>
      <c r="Q33" s="13">
        <f>O33*Calculation!I12/Calculation!K11</f>
        <v>0.18513512989216463</v>
      </c>
    </row>
    <row r="34" spans="4:17">
      <c r="D34" s="16">
        <v>9</v>
      </c>
      <c r="E34" s="72">
        <v>12.666666666666666</v>
      </c>
      <c r="F34" s="13">
        <v>0</v>
      </c>
      <c r="G34" s="13">
        <v>0.18377049907003357</v>
      </c>
      <c r="H34" s="13">
        <f>F34*Calculation!I13/Calculation!K12</f>
        <v>0</v>
      </c>
      <c r="I34" s="13">
        <f>G34*Calculation!I13/Calculation!K12</f>
        <v>0.18617716627054456</v>
      </c>
      <c r="J34" s="13">
        <v>19.649680323837629</v>
      </c>
      <c r="K34" s="13">
        <v>0.40115661912946915</v>
      </c>
      <c r="L34" s="13">
        <f>J34*Calculation!I13/Calculation!K12</f>
        <v>19.907013472385504</v>
      </c>
      <c r="M34" s="13">
        <f>K34*Calculation!I13/Calculation!K12</f>
        <v>0.40641018530256223</v>
      </c>
      <c r="N34" s="13">
        <v>0</v>
      </c>
      <c r="O34" s="13">
        <v>0.18377049907003357</v>
      </c>
      <c r="P34" s="13">
        <f>N34*Calculation!I13/Calculation!K12</f>
        <v>0</v>
      </c>
      <c r="Q34" s="13">
        <f>O34*Calculation!I13/Calculation!K12</f>
        <v>0.18617716627054456</v>
      </c>
    </row>
    <row r="35" spans="4:17">
      <c r="D35" s="16">
        <v>10</v>
      </c>
      <c r="E35" s="72">
        <v>14.116666666666667</v>
      </c>
      <c r="F35" s="13">
        <v>0</v>
      </c>
      <c r="G35" s="13">
        <v>0.18377049907003357</v>
      </c>
      <c r="H35" s="13">
        <f>F35*Calculation!I14/Calculation!K13</f>
        <v>0</v>
      </c>
      <c r="I35" s="13">
        <f>G35*Calculation!I14/Calculation!K13</f>
        <v>0.1872669838292014</v>
      </c>
      <c r="J35" s="13">
        <v>28.002875193886432</v>
      </c>
      <c r="K35" s="13">
        <v>0.26111956912552486</v>
      </c>
      <c r="L35" s="13">
        <f>J35*Calculation!I14/Calculation!K13</f>
        <v>28.535668143918034</v>
      </c>
      <c r="M35" s="13">
        <f>K35*Calculation!I14/Calculation!K13</f>
        <v>0.26608772559453425</v>
      </c>
      <c r="N35" s="13">
        <v>0</v>
      </c>
      <c r="O35" s="13">
        <v>0.18377049907003357</v>
      </c>
      <c r="P35" s="13">
        <f>N35*Calculation!I14/Calculation!K13</f>
        <v>0</v>
      </c>
      <c r="Q35" s="13">
        <f>O35*Calculation!I14/Calculation!K13</f>
        <v>0.1872669838292014</v>
      </c>
    </row>
    <row r="36" spans="4:17">
      <c r="D36" s="16">
        <v>11</v>
      </c>
      <c r="E36" s="72">
        <v>15.333333333333334</v>
      </c>
      <c r="F36" s="13">
        <v>0</v>
      </c>
      <c r="G36" s="13">
        <v>0.18377049907003357</v>
      </c>
      <c r="H36" s="13">
        <f>F36*Calculation!I15/Calculation!K14</f>
        <v>0</v>
      </c>
      <c r="I36" s="13">
        <f>G36*Calculation!I15/Calculation!K14</f>
        <v>0.18840653951173203</v>
      </c>
      <c r="J36" s="13">
        <v>35.5464759959142</v>
      </c>
      <c r="K36" s="13">
        <v>2.2698899103393507E-2</v>
      </c>
      <c r="L36" s="13">
        <f>J36*Calculation!I15/Calculation!K14</f>
        <v>36.443218950364788</v>
      </c>
      <c r="M36" s="13">
        <f>K36*Calculation!I15/Calculation!K14</f>
        <v>2.327153189678469E-2</v>
      </c>
      <c r="N36" s="13">
        <v>0</v>
      </c>
      <c r="O36" s="13">
        <v>0.18377049907003357</v>
      </c>
      <c r="P36" s="13">
        <f>N36*Calculation!I15/Calculation!K14</f>
        <v>0</v>
      </c>
      <c r="Q36" s="13">
        <f>O36*Calculation!I15/Calculation!K14</f>
        <v>0.18840653951173203</v>
      </c>
    </row>
    <row r="37" spans="4:17">
      <c r="D37" s="16">
        <v>12</v>
      </c>
      <c r="E37" s="72">
        <v>16.666666666666668</v>
      </c>
      <c r="F37" s="13">
        <v>0</v>
      </c>
      <c r="G37" s="13">
        <v>0.18377049907003357</v>
      </c>
      <c r="H37" s="13">
        <f>F37*Calculation!I16/Calculation!K15</f>
        <v>0</v>
      </c>
      <c r="I37" s="13">
        <f>G37*Calculation!I16/Calculation!K15</f>
        <v>0.19019709796538103</v>
      </c>
      <c r="J37" s="13">
        <v>44.323383649226344</v>
      </c>
      <c r="K37" s="13">
        <v>0.26600682224865829</v>
      </c>
      <c r="L37" s="13">
        <f>J37*Calculation!I16/Calculation!K15</f>
        <v>45.873407237558801</v>
      </c>
      <c r="M37" s="13">
        <f>K37*Calculation!I16/Calculation!K15</f>
        <v>0.27530929004772886</v>
      </c>
      <c r="N37" s="13">
        <v>0</v>
      </c>
      <c r="O37" s="13">
        <v>0.18377049907003357</v>
      </c>
      <c r="P37" s="13">
        <f>N37*Calculation!I16/Calculation!K15</f>
        <v>0</v>
      </c>
      <c r="Q37" s="13">
        <f>O37*Calculation!I16/Calculation!K15</f>
        <v>0.19019709796538103</v>
      </c>
    </row>
    <row r="38" spans="4:17">
      <c r="D38" s="16">
        <v>13</v>
      </c>
      <c r="E38" s="72">
        <v>18</v>
      </c>
      <c r="F38" s="13">
        <v>0</v>
      </c>
      <c r="G38" s="13">
        <v>0.18377049907003357</v>
      </c>
      <c r="H38" s="13">
        <f>F38*Calculation!I17/Calculation!K16</f>
        <v>0</v>
      </c>
      <c r="I38" s="13">
        <f>G38*Calculation!I17/Calculation!K16</f>
        <v>0.19208439000693386</v>
      </c>
      <c r="J38" s="13">
        <v>51.866984451254105</v>
      </c>
      <c r="K38" s="13">
        <v>0.27520952566070056</v>
      </c>
      <c r="L38" s="13">
        <f>J38*Calculation!I17/Calculation!K16</f>
        <v>54.213478878465168</v>
      </c>
      <c r="M38" s="13">
        <f>K38*Calculation!I17/Calculation!K16</f>
        <v>0.28766017466431004</v>
      </c>
      <c r="N38" s="13">
        <v>0</v>
      </c>
      <c r="O38" s="13">
        <v>0.18377049907003357</v>
      </c>
      <c r="P38" s="13">
        <f>N38*Calculation!I17/Calculation!K16</f>
        <v>0</v>
      </c>
      <c r="Q38" s="13">
        <f>O38*Calculation!I17/Calculation!K16</f>
        <v>0.19208439000693386</v>
      </c>
    </row>
    <row r="39" spans="4:17">
      <c r="D39" s="16">
        <v>14</v>
      </c>
      <c r="E39" s="72">
        <v>24</v>
      </c>
      <c r="F39" s="13">
        <v>0</v>
      </c>
      <c r="G39" s="13">
        <v>0.18377049907003357</v>
      </c>
      <c r="H39" s="13">
        <f>F39*Calculation!I18/Calculation!K17</f>
        <v>0</v>
      </c>
      <c r="I39" s="13">
        <f>G39*Calculation!I18/Calculation!K17</f>
        <v>0.19608614813207834</v>
      </c>
      <c r="J39" s="13">
        <v>63.413157795180275</v>
      </c>
      <c r="K39" s="13">
        <v>0.71648503619929893</v>
      </c>
      <c r="L39" s="13">
        <f>J39*Calculation!I18/Calculation!K17</f>
        <v>67.662883410954365</v>
      </c>
      <c r="M39" s="13">
        <f>K39*Calculation!I18/Calculation!K17</f>
        <v>0.76450132993899356</v>
      </c>
      <c r="N39" s="13">
        <v>0</v>
      </c>
      <c r="O39" s="13">
        <v>0.18377049907003357</v>
      </c>
      <c r="P39" s="13">
        <f>N39*Calculation!I18/Calculation!K17</f>
        <v>0</v>
      </c>
      <c r="Q39" s="13">
        <f>O39*Calculation!I18/Calculation!K17</f>
        <v>0.19608614813207834</v>
      </c>
    </row>
    <row r="40" spans="4:17">
      <c r="D40" s="16">
        <v>15</v>
      </c>
      <c r="E40" s="72">
        <v>30</v>
      </c>
      <c r="F40" s="13">
        <v>0</v>
      </c>
      <c r="G40" s="13">
        <v>0.18377049907003357</v>
      </c>
      <c r="H40" s="13">
        <f>F40*Calculation!I19/Calculation!K18</f>
        <v>0</v>
      </c>
      <c r="I40" s="13">
        <f>G40*Calculation!I19/Calculation!K18</f>
        <v>0.19656266368039441</v>
      </c>
      <c r="J40" s="13">
        <v>64.495138652442023</v>
      </c>
      <c r="K40" s="13">
        <v>0.51628561598704636</v>
      </c>
      <c r="L40" s="13">
        <f>J40*Calculation!I19/Calculation!K18</f>
        <v>68.984610218254517</v>
      </c>
      <c r="M40" s="13">
        <f>K40*Calculation!I19/Calculation!K18</f>
        <v>0.55222397725335037</v>
      </c>
      <c r="N40" s="13">
        <v>0</v>
      </c>
      <c r="O40" s="13">
        <v>0.18377049907003357</v>
      </c>
      <c r="P40" s="13">
        <f>N40*Calculation!I19/Calculation!K18</f>
        <v>0</v>
      </c>
      <c r="Q40" s="13">
        <f>O40*Calculation!I19/Calculation!K18</f>
        <v>0.19656266368039441</v>
      </c>
    </row>
    <row r="41" spans="4:17">
      <c r="D41" s="74">
        <v>16</v>
      </c>
      <c r="E41" s="72">
        <v>48</v>
      </c>
      <c r="F41" s="13">
        <v>0</v>
      </c>
      <c r="G41" s="13">
        <v>0.18377049907003401</v>
      </c>
      <c r="H41" s="13">
        <f>F41*Calculation!I20/Calculation!K19</f>
        <v>0</v>
      </c>
      <c r="I41" s="13">
        <f>G41*Calculation!I20/Calculation!K19</f>
        <v>0.19656266368039491</v>
      </c>
      <c r="J41" s="69">
        <v>66.81042636098816</v>
      </c>
      <c r="K41" s="69">
        <v>0.42968322519579533</v>
      </c>
      <c r="L41" s="13">
        <f>J41*Calculation!I20/Calculation!K19</f>
        <v>71.461063846455573</v>
      </c>
      <c r="M41" s="13">
        <f>K41*Calculation!I20/Calculation!K19</f>
        <v>0.4595932410842577</v>
      </c>
      <c r="N41" s="13">
        <v>0</v>
      </c>
      <c r="O41" s="13">
        <v>0.18377049907003401</v>
      </c>
      <c r="P41" s="13">
        <f>N41*Calculation!I20/Calculation!K19</f>
        <v>0</v>
      </c>
      <c r="Q41" s="13">
        <f>O41*Calculation!I20/Calculation!K19</f>
        <v>0.19656266368039491</v>
      </c>
    </row>
  </sheetData>
  <mergeCells count="14">
    <mergeCell ref="F22:I22"/>
    <mergeCell ref="J22:M22"/>
    <mergeCell ref="N22:Q22"/>
    <mergeCell ref="N1:Q1"/>
    <mergeCell ref="A1:B1"/>
    <mergeCell ref="A2:B2"/>
    <mergeCell ref="A3:A4"/>
    <mergeCell ref="D22:D23"/>
    <mergeCell ref="E22:E23"/>
    <mergeCell ref="R1:U1"/>
    <mergeCell ref="D1:D2"/>
    <mergeCell ref="E1:E2"/>
    <mergeCell ref="F1:I1"/>
    <mergeCell ref="J1:M1"/>
  </mergeCells>
  <pageMargins left="0.7" right="0.7" top="0.75" bottom="0.75" header="0.3" footer="0.3"/>
  <ignoredErrors>
    <ignoredError sqref="H24:I4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Fermentation</vt:lpstr>
      <vt:lpstr>Calculation</vt:lpstr>
      <vt:lpstr>Plate Count</vt:lpstr>
      <vt:lpstr>Flow cytometer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Lefeber</dc:creator>
  <cp:keywords/>
  <dc:description/>
  <cp:lastModifiedBy>Kevin D'hoe</cp:lastModifiedBy>
  <cp:lastPrinted>2009-02-16T08:48:51Z</cp:lastPrinted>
  <dcterms:created xsi:type="dcterms:W3CDTF">2009-02-15T16:08:16Z</dcterms:created>
  <dcterms:modified xsi:type="dcterms:W3CDTF">2015-03-19T15:36:57Z</dcterms:modified>
  <cp:category/>
</cp:coreProperties>
</file>