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2" activeTab="23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 F. prausnitzii" sheetId="27" r:id="rId7"/>
    <sheet name="Determination cell counts FP" sheetId="28" r:id="rId8"/>
    <sheet name="CalibrationB. hydrogenotrophica" sheetId="29" r:id="rId9"/>
    <sheet name="Determination cell counts BH" sheetId="30" r:id="rId10"/>
    <sheet name="Total cell count" sheetId="31" r:id="rId11"/>
    <sheet name="OD600nm" sheetId="4" r:id="rId12"/>
    <sheet name="CDM" sheetId="5" r:id="rId13"/>
    <sheet name="H2" sheetId="17" r:id="rId14"/>
    <sheet name="CO2" sheetId="7" r:id="rId15"/>
    <sheet name="Metabolites" sheetId="8" r:id="rId16"/>
    <sheet name="D-Fructose" sheetId="19" r:id="rId17"/>
    <sheet name="Formic acid" sheetId="18" r:id="rId18"/>
    <sheet name="Acetic acid" sheetId="15" r:id="rId19"/>
    <sheet name="Propionic acid" sheetId="20" r:id="rId20"/>
    <sheet name="Butyric acid" sheetId="21" r:id="rId21"/>
    <sheet name="Lactic acid" sheetId="14" r:id="rId22"/>
    <sheet name="Ethanol" sheetId="16" r:id="rId23"/>
    <sheet name="Graph" sheetId="13" r:id="rId24"/>
    <sheet name="Graph (2)" sheetId="24" r:id="rId25"/>
    <sheet name="Carbon recovery" sheetId="23" r:id="rId26"/>
  </sheets>
  <externalReferences>
    <externalReference r:id="rId27"/>
  </externalReferences>
  <definedNames>
    <definedName name="_2012_05_10_FPRAU_fruc1" localSheetId="14">'CO2'!$I$5:$I$293</definedName>
    <definedName name="_2012_06_08_BIF_REC_OLI_1" localSheetId="14">'CO2'!$N$5:$N$201</definedName>
    <definedName name="_2012_06_08_BIF_REC_OLI_1" localSheetId="13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30" l="1"/>
  <c r="H65" i="30"/>
  <c r="H64" i="30"/>
  <c r="H63" i="30"/>
  <c r="H62" i="30"/>
  <c r="H61" i="30"/>
  <c r="H60" i="30"/>
  <c r="H59" i="30"/>
  <c r="H58" i="30"/>
  <c r="H57" i="30"/>
  <c r="H56" i="30"/>
  <c r="H55" i="30"/>
  <c r="H78" i="28"/>
  <c r="H75" i="28"/>
  <c r="H74" i="28"/>
  <c r="H73" i="28"/>
  <c r="H72" i="28"/>
  <c r="H71" i="28"/>
  <c r="H73" i="26"/>
  <c r="H70" i="26"/>
  <c r="H69" i="26"/>
  <c r="H68" i="26"/>
  <c r="H67" i="26"/>
  <c r="H66" i="26"/>
  <c r="H65" i="26"/>
  <c r="H64" i="26"/>
  <c r="H54" i="30"/>
  <c r="H51" i="30"/>
  <c r="H52" i="30"/>
  <c r="H53" i="30"/>
  <c r="H4" i="30"/>
  <c r="H5" i="30"/>
  <c r="B25" i="30"/>
  <c r="B24" i="30"/>
  <c r="K5" i="30"/>
  <c r="I5" i="30"/>
  <c r="L5" i="30"/>
  <c r="J5" i="30"/>
  <c r="M5" i="30"/>
  <c r="P5" i="30"/>
  <c r="R5" i="30"/>
  <c r="L6" i="31"/>
  <c r="H63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5" i="26"/>
  <c r="B25" i="26"/>
  <c r="B24" i="26"/>
  <c r="K5" i="26"/>
  <c r="I5" i="26"/>
  <c r="L5" i="26"/>
  <c r="J5" i="26"/>
  <c r="M5" i="26"/>
  <c r="P5" i="26"/>
  <c r="R5" i="26"/>
  <c r="E6" i="31"/>
  <c r="H70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5" i="28"/>
  <c r="B28" i="28"/>
  <c r="B27" i="28"/>
  <c r="K5" i="28"/>
  <c r="I5" i="28"/>
  <c r="L5" i="28"/>
  <c r="J5" i="28"/>
  <c r="M5" i="28"/>
  <c r="P5" i="28"/>
  <c r="R5" i="28"/>
  <c r="E27" i="31"/>
  <c r="O6" i="31"/>
  <c r="H6" i="30"/>
  <c r="K6" i="30"/>
  <c r="I6" i="30"/>
  <c r="L6" i="30"/>
  <c r="J6" i="30"/>
  <c r="M6" i="30"/>
  <c r="P6" i="30"/>
  <c r="R6" i="30"/>
  <c r="L7" i="31"/>
  <c r="H6" i="26"/>
  <c r="K6" i="26"/>
  <c r="I6" i="26"/>
  <c r="L6" i="26"/>
  <c r="J6" i="26"/>
  <c r="M6" i="26"/>
  <c r="P6" i="26"/>
  <c r="R6" i="26"/>
  <c r="E7" i="31"/>
  <c r="H6" i="28"/>
  <c r="K6" i="28"/>
  <c r="I6" i="28"/>
  <c r="L6" i="28"/>
  <c r="J6" i="28"/>
  <c r="M6" i="28"/>
  <c r="P6" i="28"/>
  <c r="R6" i="28"/>
  <c r="E28" i="31"/>
  <c r="O7" i="31"/>
  <c r="H7" i="30"/>
  <c r="K7" i="30"/>
  <c r="I7" i="30"/>
  <c r="L7" i="30"/>
  <c r="J7" i="30"/>
  <c r="M7" i="30"/>
  <c r="P7" i="30"/>
  <c r="R7" i="30"/>
  <c r="L8" i="31"/>
  <c r="H7" i="26"/>
  <c r="K7" i="26"/>
  <c r="I7" i="26"/>
  <c r="L7" i="26"/>
  <c r="J7" i="26"/>
  <c r="M7" i="26"/>
  <c r="P7" i="26"/>
  <c r="R7" i="26"/>
  <c r="E8" i="31"/>
  <c r="H7" i="28"/>
  <c r="K7" i="28"/>
  <c r="I7" i="28"/>
  <c r="L7" i="28"/>
  <c r="J7" i="28"/>
  <c r="M7" i="28"/>
  <c r="P7" i="28"/>
  <c r="R7" i="28"/>
  <c r="E29" i="31"/>
  <c r="O8" i="31"/>
  <c r="H8" i="30"/>
  <c r="K8" i="30"/>
  <c r="I8" i="30"/>
  <c r="L8" i="30"/>
  <c r="J8" i="30"/>
  <c r="M8" i="30"/>
  <c r="P8" i="30"/>
  <c r="R8" i="30"/>
  <c r="L9" i="31"/>
  <c r="H8" i="26"/>
  <c r="K8" i="26"/>
  <c r="I8" i="26"/>
  <c r="L8" i="26"/>
  <c r="J8" i="26"/>
  <c r="M8" i="26"/>
  <c r="P8" i="26"/>
  <c r="R8" i="26"/>
  <c r="E9" i="31"/>
  <c r="H8" i="28"/>
  <c r="K8" i="28"/>
  <c r="I8" i="28"/>
  <c r="L8" i="28"/>
  <c r="J8" i="28"/>
  <c r="M8" i="28"/>
  <c r="P8" i="28"/>
  <c r="R8" i="28"/>
  <c r="E30" i="31"/>
  <c r="O9" i="31"/>
  <c r="H9" i="30"/>
  <c r="K9" i="30"/>
  <c r="I9" i="30"/>
  <c r="L9" i="30"/>
  <c r="J9" i="30"/>
  <c r="M9" i="30"/>
  <c r="P9" i="30"/>
  <c r="R9" i="30"/>
  <c r="L10" i="31"/>
  <c r="H9" i="26"/>
  <c r="K9" i="26"/>
  <c r="I9" i="26"/>
  <c r="L9" i="26"/>
  <c r="J9" i="26"/>
  <c r="M9" i="26"/>
  <c r="P9" i="26"/>
  <c r="R9" i="26"/>
  <c r="E10" i="31"/>
  <c r="H9" i="28"/>
  <c r="K9" i="28"/>
  <c r="I9" i="28"/>
  <c r="L9" i="28"/>
  <c r="J9" i="28"/>
  <c r="M9" i="28"/>
  <c r="P9" i="28"/>
  <c r="R9" i="28"/>
  <c r="E31" i="31"/>
  <c r="O10" i="31"/>
  <c r="H10" i="30"/>
  <c r="K10" i="30"/>
  <c r="I10" i="30"/>
  <c r="L10" i="30"/>
  <c r="J10" i="30"/>
  <c r="M10" i="30"/>
  <c r="P10" i="30"/>
  <c r="R10" i="30"/>
  <c r="L11" i="31"/>
  <c r="H10" i="26"/>
  <c r="K10" i="26"/>
  <c r="I10" i="26"/>
  <c r="L10" i="26"/>
  <c r="J10" i="26"/>
  <c r="M10" i="26"/>
  <c r="P10" i="26"/>
  <c r="R10" i="26"/>
  <c r="E11" i="31"/>
  <c r="H10" i="28"/>
  <c r="K10" i="28"/>
  <c r="I10" i="28"/>
  <c r="L10" i="28"/>
  <c r="J10" i="28"/>
  <c r="M10" i="28"/>
  <c r="P10" i="28"/>
  <c r="R10" i="28"/>
  <c r="E32" i="31"/>
  <c r="O11" i="31"/>
  <c r="H11" i="30"/>
  <c r="K11" i="30"/>
  <c r="I11" i="30"/>
  <c r="L11" i="30"/>
  <c r="J11" i="30"/>
  <c r="M11" i="30"/>
  <c r="P11" i="30"/>
  <c r="R11" i="30"/>
  <c r="L12" i="31"/>
  <c r="H11" i="26"/>
  <c r="K11" i="26"/>
  <c r="I11" i="26"/>
  <c r="L11" i="26"/>
  <c r="J11" i="26"/>
  <c r="M11" i="26"/>
  <c r="P11" i="26"/>
  <c r="R11" i="26"/>
  <c r="E12" i="31"/>
  <c r="H11" i="28"/>
  <c r="K11" i="28"/>
  <c r="I11" i="28"/>
  <c r="L11" i="28"/>
  <c r="J11" i="28"/>
  <c r="M11" i="28"/>
  <c r="P11" i="28"/>
  <c r="R11" i="28"/>
  <c r="E33" i="31"/>
  <c r="O12" i="31"/>
  <c r="H12" i="30"/>
  <c r="K12" i="30"/>
  <c r="I12" i="30"/>
  <c r="L12" i="30"/>
  <c r="J12" i="30"/>
  <c r="M12" i="30"/>
  <c r="P12" i="30"/>
  <c r="R12" i="30"/>
  <c r="L13" i="31"/>
  <c r="H12" i="26"/>
  <c r="K12" i="26"/>
  <c r="I12" i="26"/>
  <c r="L12" i="26"/>
  <c r="J12" i="26"/>
  <c r="M12" i="26"/>
  <c r="P12" i="26"/>
  <c r="R12" i="26"/>
  <c r="E13" i="31"/>
  <c r="H12" i="28"/>
  <c r="K12" i="28"/>
  <c r="I12" i="28"/>
  <c r="L12" i="28"/>
  <c r="J12" i="28"/>
  <c r="M12" i="28"/>
  <c r="P12" i="28"/>
  <c r="R12" i="28"/>
  <c r="E34" i="31"/>
  <c r="O13" i="31"/>
  <c r="H13" i="30"/>
  <c r="K13" i="30"/>
  <c r="I13" i="30"/>
  <c r="L13" i="30"/>
  <c r="J13" i="30"/>
  <c r="M13" i="30"/>
  <c r="P13" i="30"/>
  <c r="R13" i="30"/>
  <c r="L14" i="31"/>
  <c r="H13" i="26"/>
  <c r="K13" i="26"/>
  <c r="I13" i="26"/>
  <c r="L13" i="26"/>
  <c r="J13" i="26"/>
  <c r="M13" i="26"/>
  <c r="P13" i="26"/>
  <c r="R13" i="26"/>
  <c r="E14" i="31"/>
  <c r="H13" i="28"/>
  <c r="K13" i="28"/>
  <c r="I13" i="28"/>
  <c r="L13" i="28"/>
  <c r="J13" i="28"/>
  <c r="M13" i="28"/>
  <c r="P13" i="28"/>
  <c r="R13" i="28"/>
  <c r="E35" i="31"/>
  <c r="O14" i="31"/>
  <c r="H14" i="30"/>
  <c r="K14" i="30"/>
  <c r="I14" i="30"/>
  <c r="L14" i="30"/>
  <c r="J14" i="30"/>
  <c r="M14" i="30"/>
  <c r="P14" i="30"/>
  <c r="R14" i="30"/>
  <c r="L15" i="31"/>
  <c r="H14" i="26"/>
  <c r="K14" i="26"/>
  <c r="I14" i="26"/>
  <c r="L14" i="26"/>
  <c r="J14" i="26"/>
  <c r="M14" i="26"/>
  <c r="P14" i="26"/>
  <c r="R14" i="26"/>
  <c r="E15" i="31"/>
  <c r="H14" i="28"/>
  <c r="K14" i="28"/>
  <c r="I14" i="28"/>
  <c r="L14" i="28"/>
  <c r="J14" i="28"/>
  <c r="M14" i="28"/>
  <c r="P14" i="28"/>
  <c r="R14" i="28"/>
  <c r="E36" i="31"/>
  <c r="O15" i="31"/>
  <c r="H15" i="30"/>
  <c r="K15" i="30"/>
  <c r="I15" i="30"/>
  <c r="L15" i="30"/>
  <c r="J15" i="30"/>
  <c r="M15" i="30"/>
  <c r="P15" i="30"/>
  <c r="R15" i="30"/>
  <c r="L16" i="31"/>
  <c r="H15" i="26"/>
  <c r="K15" i="26"/>
  <c r="I15" i="26"/>
  <c r="L15" i="26"/>
  <c r="J15" i="26"/>
  <c r="M15" i="26"/>
  <c r="P15" i="26"/>
  <c r="R15" i="26"/>
  <c r="E16" i="31"/>
  <c r="H15" i="28"/>
  <c r="K15" i="28"/>
  <c r="I15" i="28"/>
  <c r="L15" i="28"/>
  <c r="J15" i="28"/>
  <c r="M15" i="28"/>
  <c r="P15" i="28"/>
  <c r="R15" i="28"/>
  <c r="E37" i="31"/>
  <c r="O16" i="31"/>
  <c r="H16" i="30"/>
  <c r="K16" i="30"/>
  <c r="I16" i="30"/>
  <c r="L16" i="30"/>
  <c r="J16" i="30"/>
  <c r="M16" i="30"/>
  <c r="P16" i="30"/>
  <c r="R16" i="30"/>
  <c r="L17" i="31"/>
  <c r="H16" i="26"/>
  <c r="K16" i="26"/>
  <c r="I16" i="26"/>
  <c r="L16" i="26"/>
  <c r="J16" i="26"/>
  <c r="M16" i="26"/>
  <c r="P16" i="26"/>
  <c r="R16" i="26"/>
  <c r="E17" i="31"/>
  <c r="H16" i="28"/>
  <c r="K16" i="28"/>
  <c r="I16" i="28"/>
  <c r="L16" i="28"/>
  <c r="J16" i="28"/>
  <c r="M16" i="28"/>
  <c r="P16" i="28"/>
  <c r="R16" i="28"/>
  <c r="E38" i="31"/>
  <c r="O17" i="31"/>
  <c r="H17" i="30"/>
  <c r="K17" i="30"/>
  <c r="I17" i="30"/>
  <c r="L17" i="30"/>
  <c r="J17" i="30"/>
  <c r="M17" i="30"/>
  <c r="P17" i="30"/>
  <c r="R17" i="30"/>
  <c r="L18" i="31"/>
  <c r="H17" i="26"/>
  <c r="K17" i="26"/>
  <c r="I17" i="26"/>
  <c r="L17" i="26"/>
  <c r="J17" i="26"/>
  <c r="M17" i="26"/>
  <c r="P17" i="26"/>
  <c r="R17" i="26"/>
  <c r="E18" i="31"/>
  <c r="H17" i="28"/>
  <c r="K17" i="28"/>
  <c r="I17" i="28"/>
  <c r="L17" i="28"/>
  <c r="J17" i="28"/>
  <c r="M17" i="28"/>
  <c r="P17" i="28"/>
  <c r="R17" i="28"/>
  <c r="E39" i="31"/>
  <c r="O18" i="31"/>
  <c r="H18" i="30"/>
  <c r="K18" i="30"/>
  <c r="I18" i="30"/>
  <c r="L18" i="30"/>
  <c r="J18" i="30"/>
  <c r="M18" i="30"/>
  <c r="P18" i="30"/>
  <c r="R18" i="30"/>
  <c r="L19" i="31"/>
  <c r="H18" i="26"/>
  <c r="K18" i="26"/>
  <c r="I18" i="26"/>
  <c r="L18" i="26"/>
  <c r="J18" i="26"/>
  <c r="M18" i="26"/>
  <c r="P18" i="26"/>
  <c r="R18" i="26"/>
  <c r="E19" i="31"/>
  <c r="H18" i="28"/>
  <c r="K18" i="28"/>
  <c r="I18" i="28"/>
  <c r="L18" i="28"/>
  <c r="J18" i="28"/>
  <c r="M18" i="28"/>
  <c r="P18" i="28"/>
  <c r="R18" i="28"/>
  <c r="E40" i="31"/>
  <c r="O19" i="31"/>
  <c r="H19" i="30"/>
  <c r="K19" i="30"/>
  <c r="I19" i="30"/>
  <c r="L19" i="30"/>
  <c r="J19" i="30"/>
  <c r="M19" i="30"/>
  <c r="P19" i="30"/>
  <c r="R19" i="30"/>
  <c r="L20" i="31"/>
  <c r="H19" i="26"/>
  <c r="K19" i="26"/>
  <c r="I19" i="26"/>
  <c r="L19" i="26"/>
  <c r="J19" i="26"/>
  <c r="M19" i="26"/>
  <c r="P19" i="26"/>
  <c r="R19" i="26"/>
  <c r="E20" i="31"/>
  <c r="H19" i="28"/>
  <c r="K19" i="28"/>
  <c r="I19" i="28"/>
  <c r="L19" i="28"/>
  <c r="J19" i="28"/>
  <c r="M19" i="28"/>
  <c r="P19" i="28"/>
  <c r="R19" i="28"/>
  <c r="E41" i="31"/>
  <c r="O20" i="31"/>
  <c r="H20" i="30"/>
  <c r="K20" i="30"/>
  <c r="I20" i="30"/>
  <c r="L20" i="30"/>
  <c r="J20" i="30"/>
  <c r="M20" i="30"/>
  <c r="P20" i="30"/>
  <c r="R20" i="30"/>
  <c r="L21" i="31"/>
  <c r="H20" i="26"/>
  <c r="K20" i="26"/>
  <c r="I20" i="26"/>
  <c r="L20" i="26"/>
  <c r="J20" i="26"/>
  <c r="M20" i="26"/>
  <c r="P20" i="26"/>
  <c r="R20" i="26"/>
  <c r="E21" i="31"/>
  <c r="H20" i="28"/>
  <c r="K20" i="28"/>
  <c r="I20" i="28"/>
  <c r="L20" i="28"/>
  <c r="J20" i="28"/>
  <c r="M20" i="28"/>
  <c r="P20" i="28"/>
  <c r="R20" i="28"/>
  <c r="E42" i="31"/>
  <c r="O21" i="31"/>
  <c r="K4" i="30"/>
  <c r="I4" i="30"/>
  <c r="L4" i="30"/>
  <c r="J4" i="30"/>
  <c r="M4" i="30"/>
  <c r="P4" i="30"/>
  <c r="R4" i="30"/>
  <c r="L5" i="31"/>
  <c r="H4" i="26"/>
  <c r="K4" i="26"/>
  <c r="I4" i="26"/>
  <c r="L4" i="26"/>
  <c r="J4" i="26"/>
  <c r="M4" i="26"/>
  <c r="P4" i="26"/>
  <c r="R4" i="26"/>
  <c r="E5" i="31"/>
  <c r="H4" i="28"/>
  <c r="K4" i="28"/>
  <c r="I4" i="28"/>
  <c r="L4" i="28"/>
  <c r="J4" i="28"/>
  <c r="M4" i="28"/>
  <c r="P4" i="28"/>
  <c r="R4" i="28"/>
  <c r="E26" i="31"/>
  <c r="O5" i="31"/>
  <c r="O5" i="30"/>
  <c r="S5" i="30"/>
  <c r="M6" i="31"/>
  <c r="O6" i="30"/>
  <c r="S6" i="30"/>
  <c r="M7" i="31"/>
  <c r="O7" i="30"/>
  <c r="S7" i="30"/>
  <c r="M8" i="31"/>
  <c r="O8" i="30"/>
  <c r="S8" i="30"/>
  <c r="M9" i="31"/>
  <c r="O9" i="30"/>
  <c r="S9" i="30"/>
  <c r="M10" i="31"/>
  <c r="O10" i="30"/>
  <c r="S10" i="30"/>
  <c r="M11" i="31"/>
  <c r="O11" i="30"/>
  <c r="S11" i="30"/>
  <c r="M12" i="31"/>
  <c r="O12" i="30"/>
  <c r="S12" i="30"/>
  <c r="M13" i="31"/>
  <c r="O13" i="30"/>
  <c r="S13" i="30"/>
  <c r="M14" i="31"/>
  <c r="O14" i="30"/>
  <c r="S14" i="30"/>
  <c r="M15" i="31"/>
  <c r="O15" i="30"/>
  <c r="S15" i="30"/>
  <c r="M16" i="31"/>
  <c r="O16" i="30"/>
  <c r="S16" i="30"/>
  <c r="M17" i="31"/>
  <c r="O17" i="30"/>
  <c r="S17" i="30"/>
  <c r="M18" i="31"/>
  <c r="O18" i="30"/>
  <c r="S18" i="30"/>
  <c r="M19" i="31"/>
  <c r="O19" i="30"/>
  <c r="S19" i="30"/>
  <c r="M20" i="31"/>
  <c r="O20" i="30"/>
  <c r="S20" i="30"/>
  <c r="M21" i="31"/>
  <c r="O4" i="30"/>
  <c r="S4" i="30"/>
  <c r="M5" i="31"/>
  <c r="O5" i="28"/>
  <c r="S5" i="28"/>
  <c r="F27" i="31"/>
  <c r="O6" i="28"/>
  <c r="S6" i="28"/>
  <c r="F28" i="31"/>
  <c r="O7" i="28"/>
  <c r="S7" i="28"/>
  <c r="F29" i="31"/>
  <c r="O8" i="28"/>
  <c r="S8" i="28"/>
  <c r="F30" i="31"/>
  <c r="O9" i="28"/>
  <c r="S9" i="28"/>
  <c r="F31" i="31"/>
  <c r="O10" i="28"/>
  <c r="S10" i="28"/>
  <c r="F32" i="31"/>
  <c r="O11" i="28"/>
  <c r="S11" i="28"/>
  <c r="F33" i="31"/>
  <c r="O12" i="28"/>
  <c r="S12" i="28"/>
  <c r="F34" i="31"/>
  <c r="O13" i="28"/>
  <c r="S13" i="28"/>
  <c r="F35" i="31"/>
  <c r="O14" i="28"/>
  <c r="S14" i="28"/>
  <c r="F36" i="31"/>
  <c r="O15" i="28"/>
  <c r="S15" i="28"/>
  <c r="F37" i="31"/>
  <c r="O16" i="28"/>
  <c r="S16" i="28"/>
  <c r="F38" i="31"/>
  <c r="O17" i="28"/>
  <c r="S17" i="28"/>
  <c r="F39" i="31"/>
  <c r="O18" i="28"/>
  <c r="S18" i="28"/>
  <c r="F40" i="31"/>
  <c r="O19" i="28"/>
  <c r="S19" i="28"/>
  <c r="F41" i="31"/>
  <c r="O20" i="28"/>
  <c r="S20" i="28"/>
  <c r="F42" i="31"/>
  <c r="O4" i="28"/>
  <c r="S4" i="28"/>
  <c r="F26" i="31"/>
  <c r="O5" i="26"/>
  <c r="S5" i="26"/>
  <c r="F6" i="31"/>
  <c r="O6" i="26"/>
  <c r="S6" i="26"/>
  <c r="F7" i="31"/>
  <c r="O7" i="26"/>
  <c r="S7" i="26"/>
  <c r="F8" i="31"/>
  <c r="O8" i="26"/>
  <c r="S8" i="26"/>
  <c r="F9" i="31"/>
  <c r="O9" i="26"/>
  <c r="S9" i="26"/>
  <c r="F10" i="31"/>
  <c r="O10" i="26"/>
  <c r="S10" i="26"/>
  <c r="F11" i="31"/>
  <c r="O11" i="26"/>
  <c r="S11" i="26"/>
  <c r="F12" i="31"/>
  <c r="O12" i="26"/>
  <c r="S12" i="26"/>
  <c r="F13" i="31"/>
  <c r="O13" i="26"/>
  <c r="S13" i="26"/>
  <c r="F14" i="31"/>
  <c r="O14" i="26"/>
  <c r="S14" i="26"/>
  <c r="F15" i="31"/>
  <c r="O15" i="26"/>
  <c r="S15" i="26"/>
  <c r="F16" i="31"/>
  <c r="O16" i="26"/>
  <c r="S16" i="26"/>
  <c r="F17" i="31"/>
  <c r="O17" i="26"/>
  <c r="S17" i="26"/>
  <c r="F18" i="31"/>
  <c r="O18" i="26"/>
  <c r="S18" i="26"/>
  <c r="F19" i="31"/>
  <c r="O19" i="26"/>
  <c r="S19" i="26"/>
  <c r="F20" i="31"/>
  <c r="O20" i="26"/>
  <c r="S20" i="26"/>
  <c r="F21" i="31"/>
  <c r="O4" i="26"/>
  <c r="S4" i="26"/>
  <c r="F5" i="31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4" i="30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Q21" i="31"/>
  <c r="P21" i="31"/>
  <c r="Q20" i="31"/>
  <c r="P20" i="31"/>
  <c r="Q19" i="31"/>
  <c r="P19" i="31"/>
  <c r="Q18" i="31"/>
  <c r="P18" i="31"/>
  <c r="Q17" i="31"/>
  <c r="P17" i="31"/>
  <c r="Q16" i="31"/>
  <c r="P16" i="31"/>
  <c r="Q15" i="31"/>
  <c r="P15" i="31"/>
  <c r="Q14" i="31"/>
  <c r="P14" i="31"/>
  <c r="Q13" i="31"/>
  <c r="P13" i="31"/>
  <c r="Q12" i="31"/>
  <c r="P12" i="31"/>
  <c r="Q11" i="31"/>
  <c r="P11" i="31"/>
  <c r="Q10" i="31"/>
  <c r="P10" i="31"/>
  <c r="Q9" i="31"/>
  <c r="P9" i="31"/>
  <c r="Q8" i="31"/>
  <c r="P8" i="31"/>
  <c r="Q7" i="31"/>
  <c r="P7" i="31"/>
  <c r="Q6" i="31"/>
  <c r="P6" i="31"/>
  <c r="Q5" i="31"/>
  <c r="P5" i="31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D48" i="29"/>
  <c r="F40" i="29"/>
  <c r="G38" i="29"/>
  <c r="H38" i="29"/>
  <c r="I38" i="29"/>
  <c r="J38" i="29"/>
  <c r="K38" i="29"/>
  <c r="L38" i="29"/>
  <c r="F38" i="29"/>
  <c r="G37" i="29"/>
  <c r="H37" i="29"/>
  <c r="I37" i="29"/>
  <c r="J37" i="29"/>
  <c r="K37" i="29"/>
  <c r="L37" i="29"/>
  <c r="F37" i="29"/>
  <c r="G36" i="29"/>
  <c r="H36" i="29"/>
  <c r="I36" i="29"/>
  <c r="J36" i="29"/>
  <c r="K36" i="29"/>
  <c r="L36" i="29"/>
  <c r="F36" i="29"/>
  <c r="G35" i="29"/>
  <c r="H35" i="29"/>
  <c r="I35" i="29"/>
  <c r="J35" i="29"/>
  <c r="K35" i="29"/>
  <c r="L35" i="29"/>
  <c r="F35" i="29"/>
  <c r="G34" i="29"/>
  <c r="H34" i="29"/>
  <c r="I34" i="29"/>
  <c r="J34" i="29"/>
  <c r="K34" i="29"/>
  <c r="L34" i="29"/>
  <c r="F34" i="29"/>
  <c r="G33" i="29"/>
  <c r="H33" i="29"/>
  <c r="I33" i="29"/>
  <c r="J33" i="29"/>
  <c r="K33" i="29"/>
  <c r="L33" i="29"/>
  <c r="F33" i="29"/>
  <c r="G32" i="29"/>
  <c r="H32" i="29"/>
  <c r="I32" i="29"/>
  <c r="J32" i="29"/>
  <c r="K32" i="29"/>
  <c r="L32" i="29"/>
  <c r="F32" i="29"/>
  <c r="G31" i="29"/>
  <c r="H31" i="29"/>
  <c r="I31" i="29"/>
  <c r="J31" i="29"/>
  <c r="K31" i="29"/>
  <c r="L31" i="29"/>
  <c r="F31" i="29"/>
  <c r="G30" i="29"/>
  <c r="H30" i="29"/>
  <c r="I30" i="29"/>
  <c r="J30" i="29"/>
  <c r="K30" i="29"/>
  <c r="L30" i="29"/>
  <c r="F30" i="29"/>
  <c r="G29" i="29"/>
  <c r="H29" i="29"/>
  <c r="I29" i="29"/>
  <c r="J29" i="29"/>
  <c r="K29" i="29"/>
  <c r="L29" i="29"/>
  <c r="F29" i="29"/>
  <c r="G28" i="29"/>
  <c r="H28" i="29"/>
  <c r="I28" i="29"/>
  <c r="J28" i="29"/>
  <c r="K28" i="29"/>
  <c r="L28" i="29"/>
  <c r="F28" i="29"/>
  <c r="G27" i="29"/>
  <c r="H27" i="29"/>
  <c r="I27" i="29"/>
  <c r="J27" i="29"/>
  <c r="K27" i="29"/>
  <c r="L27" i="29"/>
  <c r="F27" i="29"/>
  <c r="G26" i="29"/>
  <c r="H26" i="29"/>
  <c r="I26" i="29"/>
  <c r="J26" i="29"/>
  <c r="K26" i="29"/>
  <c r="L26" i="29"/>
  <c r="F26" i="29"/>
  <c r="G25" i="29"/>
  <c r="H25" i="29"/>
  <c r="I25" i="29"/>
  <c r="J25" i="29"/>
  <c r="K25" i="29"/>
  <c r="L25" i="29"/>
  <c r="F25" i="29"/>
  <c r="G24" i="29"/>
  <c r="H24" i="29"/>
  <c r="I24" i="29"/>
  <c r="J24" i="29"/>
  <c r="K24" i="29"/>
  <c r="L24" i="29"/>
  <c r="F24" i="29"/>
  <c r="G23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O8" i="29"/>
  <c r="K8" i="29"/>
  <c r="G8" i="29"/>
  <c r="P8" i="29"/>
  <c r="R8" i="29"/>
  <c r="Q8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K4" i="29"/>
  <c r="G4" i="29"/>
  <c r="P4" i="29"/>
  <c r="R4" i="29"/>
  <c r="Q4" i="29"/>
  <c r="N4" i="28"/>
  <c r="D48" i="27"/>
  <c r="F40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L8" i="27"/>
  <c r="O8" i="27"/>
  <c r="H8" i="27"/>
  <c r="K8" i="27"/>
  <c r="D8" i="27"/>
  <c r="G8" i="27"/>
  <c r="P8" i="27"/>
  <c r="R8" i="27"/>
  <c r="Q8" i="27"/>
  <c r="L7" i="27"/>
  <c r="O7" i="27"/>
  <c r="H7" i="27"/>
  <c r="K7" i="27"/>
  <c r="D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H4" i="8"/>
  <c r="H20" i="8"/>
  <c r="B2" i="23"/>
  <c r="L41" i="8"/>
  <c r="L25" i="8"/>
  <c r="B6" i="23"/>
  <c r="T4" i="8"/>
  <c r="T20" i="8"/>
  <c r="B4" i="23"/>
  <c r="P20" i="8"/>
  <c r="P4" i="8"/>
  <c r="B3" i="23"/>
  <c r="L20" i="8"/>
  <c r="L4" i="8"/>
  <c r="B5" i="23"/>
  <c r="B12" i="23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P4" i="22"/>
  <c r="W4" i="22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F3" i="2"/>
  <c r="I3" i="2"/>
  <c r="J3" i="2"/>
  <c r="K3" i="2"/>
  <c r="I4" i="2"/>
  <c r="J4" i="2"/>
  <c r="K4" i="2"/>
  <c r="F4" i="2"/>
  <c r="I5" i="2"/>
  <c r="J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D101" i="17"/>
  <c r="E101" i="17"/>
  <c r="F101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29" i="17"/>
  <c r="E29" i="17"/>
  <c r="F29" i="17"/>
  <c r="D30" i="17"/>
  <c r="E30" i="17"/>
  <c r="F30" i="17"/>
  <c r="D28" i="17"/>
  <c r="E28" i="17"/>
  <c r="F28" i="17"/>
  <c r="D26" i="17"/>
  <c r="E26" i="17"/>
  <c r="F26" i="17"/>
  <c r="D27" i="17"/>
  <c r="E27" i="17"/>
  <c r="F27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H20" i="22"/>
  <c r="U20" i="22"/>
  <c r="L20" i="22"/>
  <c r="V20" i="22"/>
  <c r="X20" i="22"/>
  <c r="H4" i="22"/>
  <c r="U4" i="22"/>
  <c r="L4" i="22"/>
  <c r="V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<sst xmlns="http://schemas.openxmlformats.org/spreadsheetml/2006/main" count="925" uniqueCount="368">
  <si>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</si>
  <si>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</si>
  <si>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</si>
  <si>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</si>
  <si>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</si>
  <si>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</si>
  <si>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</si>
  <si>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</si>
  <si>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</si>
  <si>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</si>
  <si>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</si>
  <si>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</si>
  <si>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</si>
  <si>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</si>
  <si>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</si>
  <si>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</si>
  <si>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</si>
  <si>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</si>
  <si>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</si>
  <si>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</si>
  <si>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</si>
  <si>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</si>
  <si>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</si>
  <si>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</si>
  <si>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</si>
  <si>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</si>
  <si>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</si>
  <si>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</si>
  <si>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</si>
  <si>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</si>
  <si>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</si>
  <si>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</si>
  <si>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</si>
  <si>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</si>
  <si>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</si>
  <si>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</si>
  <si>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</si>
  <si>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</si>
  <si>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</si>
  <si>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</si>
  <si>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</si>
  <si>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</si>
  <si>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</si>
  <si>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</si>
  <si>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</si>
  <si>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</si>
  <si>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</si>
  <si>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</si>
  <si>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</si>
  <si>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</si>
  <si>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</si>
  <si>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</si>
  <si>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</si>
  <si>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</si>
  <si>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</si>
  <si>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</si>
  <si>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</si>
  <si>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</si>
  <si>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</si>
  <si>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</si>
  <si>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</si>
  <si>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</si>
  <si>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</si>
  <si>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</si>
  <si>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</si>
  <si>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</si>
  <si>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</si>
  <si>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</si>
  <si>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</si>
  <si>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</si>
  <si>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</si>
  <si>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</si>
  <si>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</si>
  <si>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</si>
  <si>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</si>
  <si>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</si>
  <si>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</si>
  <si>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</si>
  <si>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</si>
  <si>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</si>
  <si>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</si>
  <si>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</si>
  <si>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</si>
  <si>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</si>
  <si>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</si>
  <si>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</si>
  <si>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</si>
  <si>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</si>
  <si>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</si>
  <si>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</si>
  <si>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</si>
  <si>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</si>
  <si>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</si>
  <si>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</si>
  <si>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</si>
  <si>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</si>
  <si>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</si>
  <si>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</si>
  <si>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</si>
  <si>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</si>
  <si>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</si>
  <si>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</si>
  <si>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</si>
  <si>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</si>
  <si>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</si>
  <si>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</si>
  <si>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</si>
  <si>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</si>
  <si>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</si>
  <si>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</si>
  <si>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</si>
  <si>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</si>
  <si>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</si>
  <si>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</si>
  <si>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</si>
  <si>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</si>
  <si>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</si>
  <si>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</si>
  <si>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</si>
  <si>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</si>
  <si>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</si>
  <si>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</si>
  <si>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</si>
  <si>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</si>
  <si>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</si>
  <si>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</si>
  <si>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</si>
  <si>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</si>
  <si>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</si>
  <si>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</si>
  <si>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</si>
  <si>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</si>
  <si>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</si>
  <si>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</si>
  <si>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</si>
  <si>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</si>
  <si>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</si>
  <si>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</si>
  <si>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</si>
  <si>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</si>
  <si>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</si>
  <si>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</si>
  <si>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</si>
  <si>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</si>
  <si>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</si>
  <si>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</si>
  <si>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</si>
  <si>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</si>
  <si>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</si>
  <si>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</si>
  <si>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</si>
  <si>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</si>
  <si>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</si>
  <si>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</si>
  <si>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</si>
  <si>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</si>
  <si>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</si>
  <si>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</si>
  <si>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</si>
  <si>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</si>
  <si>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</si>
  <si>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</si>
  <si>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</si>
  <si>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</si>
  <si>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</si>
  <si>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</si>
  <si>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</si>
  <si>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</si>
  <si>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</si>
  <si>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</si>
  <si>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</si>
  <si>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</si>
  <si>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</si>
  <si>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</si>
  <si>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</si>
  <si>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</si>
  <si>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</si>
  <si>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</si>
  <si>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</si>
  <si>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</si>
  <si>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Faecalibacterium prausnitzii</t>
    </r>
    <r>
      <rPr>
        <sz val="11"/>
        <color theme="1"/>
        <rFont val="Calibri"/>
        <family val="2"/>
        <scheme val="minor"/>
      </rPr>
      <t xml:space="preserve"> 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Blautia hydrogenotrophica</t>
    </r>
    <r>
      <rPr>
        <sz val="11"/>
        <color theme="1"/>
        <rFont val="Calibri"/>
        <family val="2"/>
        <scheme val="minor"/>
      </rPr>
      <t xml:space="preserve">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</si>
  <si>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(0 mM)</t>
  </si>
  <si>
    <t>0.00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</si>
  <si>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</si>
  <si>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</si>
  <si>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</si>
  <si>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</si>
  <si>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</si>
  <si>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</si>
  <si>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</si>
  <si>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</si>
  <si>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</si>
  <si>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</si>
  <si>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</si>
  <si>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</si>
  <si>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</si>
  <si>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</si>
  <si>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</si>
  <si>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</si>
  <si>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</si>
  <si>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</si>
  <si>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</si>
  <si>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</si>
  <si>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</si>
  <si>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</si>
  <si>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</si>
  <si>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</si>
  <si>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</si>
  <si>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</si>
  <si>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</si>
  <si>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</si>
  <si>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</si>
  <si>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</si>
  <si>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</si>
  <si>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</si>
  <si>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</si>
  <si>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</si>
  <si>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</si>
  <si>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</si>
  <si>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</si>
  <si>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</si>
  <si>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</si>
  <si>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</si>
  <si>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</si>
  <si>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</si>
  <si>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</si>
  <si>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</si>
  <si>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</si>
  <si>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</si>
  <si>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</si>
  <si>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</si>
  <si>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</si>
  <si>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</si>
  <si>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</si>
  <si>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</si>
  <si>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</si>
  <si>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</si>
  <si>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</si>
  <si>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</si>
  <si>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</si>
  <si>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</si>
  <si>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</si>
  <si>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</si>
  <si>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</si>
  <si>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</si>
  <si>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</si>
  <si>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</si>
  <si>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</si>
  <si>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</si>
  <si>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</si>
  <si>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</si>
  <si>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</si>
  <si>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plate 20150902</t>
  </si>
  <si>
    <t>IPC value epp 6</t>
  </si>
  <si>
    <t>plate 20150903</t>
  </si>
  <si>
    <t>plate 20150908</t>
  </si>
  <si>
    <t>plate 20150910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</si>
  <si>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</si>
  <si>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</si>
  <si>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</si>
  <si>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</si>
  <si>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</si>
  <si>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</si>
  <si>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FP10 epp</t>
  </si>
  <si>
    <t>Ct Threshold</t>
  </si>
  <si>
    <t>baseline</t>
  </si>
  <si>
    <t>F. prausnitzii</t>
  </si>
  <si>
    <t>STDV  (cells/ml medium)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</si>
  <si>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</si>
  <si>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</si>
  <si>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</si>
  <si>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</si>
  <si>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</si>
  <si>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</si>
  <si>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</si>
  <si>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</si>
  <si>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</si>
  <si>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</si>
  <si>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</si>
  <si>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</si>
  <si>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</si>
  <si>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</si>
  <si>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</si>
  <si>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</si>
  <si>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</si>
  <si>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Total Average</t>
  </si>
  <si>
    <t>IPC BH10 epp</t>
  </si>
  <si>
    <t>Taqman probe BH4O</t>
  </si>
  <si>
    <t>B. hydrogenotrophica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</si>
  <si>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</si>
  <si>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</si>
  <si>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</si>
  <si>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</si>
  <si>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</si>
  <si>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</si>
  <si>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</si>
  <si>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</si>
  <si>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</si>
  <si>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</si>
  <si>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 xml:space="preserve">Total cell count </t>
  </si>
  <si>
    <t>plate 20150911</t>
  </si>
  <si>
    <t>IPC value epp 5 plate 20150911</t>
  </si>
  <si>
    <t>IPC value  epp 7 plate  20150914</t>
  </si>
  <si>
    <t>IPC value  epp 6 plate  20150910</t>
  </si>
  <si>
    <t>IPC value epp 5</t>
  </si>
  <si>
    <t>plate 20150922</t>
  </si>
  <si>
    <t>IPC value epp 5 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</si>
  <si>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</si>
  <si>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</si>
  <si>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</si>
  <si>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</si>
  <si>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</si>
  <si>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</si>
  <si>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</si>
  <si>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</si>
  <si>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</si>
  <si>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</si>
  <si>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</si>
  <si>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</si>
  <si>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</si>
  <si>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</si>
  <si>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</si>
  <si>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</si>
  <si>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</si>
  <si>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</si>
  <si>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</si>
  <si>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</si>
  <si>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</si>
  <si>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</si>
  <si>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</si>
  <si>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</si>
  <si>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</si>
  <si>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</si>
  <si>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</si>
  <si>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</si>
  <si>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</si>
  <si>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</si>
  <si>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</si>
  <si>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</si>
  <si>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</si>
  <si>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plate 20160222</t>
  </si>
  <si>
    <t>plate 20160223</t>
  </si>
  <si>
    <t>IPC value epp 1</t>
  </si>
  <si>
    <t>plate 20160225</t>
  </si>
  <si>
    <t>IPC value epp 1 plate 20160222</t>
  </si>
  <si>
    <t>IPC value epp 1 plate 20160223</t>
  </si>
  <si>
    <t>IPC value epp 9 plate 20160223</t>
  </si>
  <si>
    <t>IPC value epp 9 plate 20160225</t>
  </si>
  <si>
    <t>IPC value  epp 3 plate  20160222</t>
  </si>
  <si>
    <t>IPC value  epp 2 plate  20160223</t>
  </si>
  <si>
    <t>IPC value  epp 2 plate  20160224</t>
  </si>
  <si>
    <t>plate 20160308</t>
  </si>
  <si>
    <t>plate 20160310</t>
  </si>
  <si>
    <t>plate 20160311</t>
  </si>
  <si>
    <t>plate 20160318</t>
  </si>
  <si>
    <t>plate 20160405</t>
  </si>
  <si>
    <t>IPC value epp 9 plate 20160308</t>
  </si>
  <si>
    <t>IPC value epp 9 plate 20160310</t>
  </si>
  <si>
    <t>IPC value epp 8 plate 20160325</t>
  </si>
  <si>
    <t>IPC value epp 8 plate 20160405</t>
  </si>
  <si>
    <t>IPC value  epp 2 plate  20160308</t>
  </si>
  <si>
    <t>IPC value  epp 1 plate  20160310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</si>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</sst>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08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18" fillId="0" borderId="1" xfId="0" applyNumberFormat="1" applyFont="1" applyFill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0" borderId="0" xfId="365"/>
    <xf numFmtId="0" fontId="28" fillId="2" borderId="16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28" fillId="0" borderId="3" xfId="365" applyFill="1" applyBorder="1" applyAlignment="1">
      <alignment horizontal="center" vertical="center"/>
    </xf>
    <xf numFmtId="0" fontId="28" fillId="0" borderId="16" xfId="365" applyFill="1" applyBorder="1" applyAlignment="1">
      <alignment horizontal="center" vertical="center"/>
    </xf>
    <xf numFmtId="11" fontId="28" fillId="0" borderId="16" xfId="365" applyNumberFormat="1" applyFill="1" applyBorder="1" applyAlignment="1">
      <alignment horizontal="center" vertical="center"/>
    </xf>
    <xf numFmtId="0" fontId="0" fillId="0" borderId="16" xfId="365" applyFont="1" applyBorder="1" applyAlignment="1">
      <alignment horizontal="center" vertical="center"/>
    </xf>
    <xf numFmtId="0" fontId="28" fillId="0" borderId="16" xfId="365" applyBorder="1" applyAlignment="1">
      <alignment horizontal="center" vertical="center"/>
    </xf>
    <xf numFmtId="11" fontId="28" fillId="0" borderId="16" xfId="365" applyNumberFormat="1" applyBorder="1" applyAlignment="1">
      <alignment horizontal="center" vertical="center"/>
    </xf>
    <xf numFmtId="2" fontId="28" fillId="0" borderId="16" xfId="365" applyNumberFormat="1" applyBorder="1" applyAlignment="1">
      <alignment horizontal="center" vertical="center"/>
    </xf>
    <xf numFmtId="0" fontId="28" fillId="2" borderId="21" xfId="365" applyFill="1" applyBorder="1" applyAlignment="1">
      <alignment wrapText="1"/>
    </xf>
    <xf numFmtId="0" fontId="0" fillId="2" borderId="21" xfId="365" applyFont="1" applyFill="1" applyBorder="1" applyAlignment="1">
      <alignment wrapText="1"/>
    </xf>
    <xf numFmtId="0" fontId="0" fillId="2" borderId="21" xfId="365" applyFont="1" applyFill="1" applyBorder="1" applyAlignment="1">
      <alignment horizontal="center" vertical="center" wrapText="1"/>
    </xf>
    <xf numFmtId="0" fontId="0" fillId="0" borderId="0" xfId="365" applyFont="1"/>
    <xf numFmtId="165" fontId="28" fillId="0" borderId="16" xfId="365" applyNumberFormat="1" applyBorder="1" applyAlignment="1">
      <alignment horizontal="center" vertical="center"/>
    </xf>
    <xf numFmtId="0" fontId="28" fillId="0" borderId="16" xfId="365" applyBorder="1"/>
    <xf numFmtId="0" fontId="28" fillId="0" borderId="0" xfId="365" applyFont="1"/>
    <xf numFmtId="0" fontId="28" fillId="2" borderId="16" xfId="365" applyFill="1" applyBorder="1"/>
    <xf numFmtId="0" fontId="29" fillId="12" borderId="0" xfId="365" applyFont="1" applyFill="1"/>
    <xf numFmtId="165" fontId="28" fillId="0" borderId="16" xfId="365" applyNumberFormat="1" applyBorder="1"/>
    <xf numFmtId="2" fontId="28" fillId="0" borderId="16" xfId="365" applyNumberFormat="1" applyBorder="1"/>
    <xf numFmtId="1" fontId="28" fillId="0" borderId="16" xfId="365" applyNumberFormat="1" applyBorder="1"/>
    <xf numFmtId="165" fontId="0" fillId="0" borderId="16" xfId="365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65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8" fillId="0" borderId="0" xfId="365" applyNumberFormat="1"/>
    <xf numFmtId="0" fontId="30" fillId="0" borderId="16" xfId="365" applyFont="1" applyBorder="1"/>
    <xf numFmtId="165" fontId="28" fillId="0" borderId="0" xfId="365" applyNumberFormat="1" applyBorder="1" applyAlignment="1">
      <alignment horizontal="center" vertical="center"/>
    </xf>
    <xf numFmtId="165" fontId="28" fillId="0" borderId="0" xfId="365" applyNumberFormat="1" applyBorder="1"/>
    <xf numFmtId="2" fontId="28" fillId="0" borderId="0" xfId="365" applyNumberFormat="1" applyBorder="1"/>
    <xf numFmtId="1" fontId="28" fillId="0" borderId="0" xfId="365" applyNumberFormat="1" applyBorder="1"/>
    <xf numFmtId="0" fontId="0" fillId="0" borderId="0" xfId="365" applyFont="1" applyFill="1" applyBorder="1"/>
    <xf numFmtId="1" fontId="28" fillId="0" borderId="0" xfId="365" applyNumberFormat="1"/>
    <xf numFmtId="0" fontId="31" fillId="2" borderId="0" xfId="365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65" applyNumberFormat="1" applyFill="1" applyBorder="1" applyAlignment="1">
      <alignment horizontal="center" vertical="center"/>
    </xf>
    <xf numFmtId="0" fontId="28" fillId="0" borderId="5" xfId="365" applyNumberFormat="1" applyFill="1" applyBorder="1" applyAlignment="1">
      <alignment horizontal="center" vertical="center"/>
    </xf>
    <xf numFmtId="0" fontId="28" fillId="0" borderId="18" xfId="365" applyNumberFormat="1" applyFill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0" fillId="2" borderId="4" xfId="365" applyFont="1" applyFill="1" applyBorder="1" applyAlignment="1">
      <alignment horizontal="center" vertical="center"/>
    </xf>
    <xf numFmtId="0" fontId="28" fillId="2" borderId="16" xfId="365" applyFill="1" applyBorder="1" applyAlignment="1">
      <alignment horizontal="center" vertical="center"/>
    </xf>
    <xf numFmtId="0" fontId="21" fillId="0" borderId="23" xfId="365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65" applyFont="1" applyBorder="1" applyAlignment="1">
      <alignment horizontal="center"/>
    </xf>
    <xf numFmtId="0" fontId="28" fillId="0" borderId="24" xfId="365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65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365" applyFont="1" applyFill="1"/>
  </cellXfs>
  <cellStyles count="408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Input" xfId="10"/>
    <cellStyle name="Linked Cell" xfId="11"/>
    <cellStyle name="Neutral" xfId="12"/>
    <cellStyle name="Normal" xfId="0" builtinId="0"/>
    <cellStyle name="Normal 2" xfId="36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107B01"/>
      <color rgb="FFCC7B37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chartsheet" Target="chartsheets/sheet1.xml"/><Relationship Id="rId25" Type="http://schemas.openxmlformats.org/officeDocument/2006/relationships/chartsheet" Target="chartsheets/sheet2.xml"/><Relationship Id="rId26" Type="http://schemas.openxmlformats.org/officeDocument/2006/relationships/worksheet" Target="worksheets/sheet24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16184"/>
        <c:axId val="-2092714904"/>
      </c:scatterChart>
      <c:valAx>
        <c:axId val="-210901618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2714904"/>
        <c:crosses val="autoZero"/>
        <c:crossBetween val="midCat"/>
        <c:majorUnit val="2.0"/>
      </c:valAx>
      <c:valAx>
        <c:axId val="-2092714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901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26360"/>
        <c:axId val="-2076354936"/>
      </c:scatterChart>
      <c:valAx>
        <c:axId val="-207782636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6354936"/>
        <c:crosses val="autoZero"/>
        <c:crossBetween val="midCat"/>
        <c:majorUnit val="2.0"/>
      </c:valAx>
      <c:valAx>
        <c:axId val="-20763549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7782636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32536"/>
        <c:axId val="-2127030904"/>
      </c:scatterChart>
      <c:valAx>
        <c:axId val="-2107132536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27030904"/>
        <c:crosses val="autoZero"/>
        <c:crossBetween val="midCat"/>
        <c:majorUnit val="2.0"/>
      </c:valAx>
      <c:valAx>
        <c:axId val="-212703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107132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0.0222165566954145</c:v>
                  </c:pt>
                  <c:pt idx="1">
                    <c:v>9.4402311914437E-17</c:v>
                  </c:pt>
                  <c:pt idx="2">
                    <c:v>0.0222165566954145</c:v>
                  </c:pt>
                  <c:pt idx="3">
                    <c:v>0.0128356734798454</c:v>
                  </c:pt>
                  <c:pt idx="4">
                    <c:v>0.0222640271612285</c:v>
                  </c:pt>
                  <c:pt idx="5">
                    <c:v>0.0129115266376143</c:v>
                  </c:pt>
                  <c:pt idx="6">
                    <c:v>0.0130103897818533</c:v>
                  </c:pt>
                  <c:pt idx="7">
                    <c:v>0.0227293782159648</c:v>
                  </c:pt>
                  <c:pt idx="8">
                    <c:v>0.0478882570257986</c:v>
                  </c:pt>
                  <c:pt idx="9">
                    <c:v>0.0</c:v>
                  </c:pt>
                  <c:pt idx="10">
                    <c:v>0.0592066133076027</c:v>
                  </c:pt>
                  <c:pt idx="11">
                    <c:v>0.0831237711534702</c:v>
                  </c:pt>
                  <c:pt idx="12">
                    <c:v>0.150320101784961</c:v>
                  </c:pt>
                  <c:pt idx="13">
                    <c:v>0.0273564944144753</c:v>
                  </c:pt>
                  <c:pt idx="14">
                    <c:v>0.0725899078793828</c:v>
                  </c:pt>
                  <c:pt idx="15">
                    <c:v>0.145179815758766</c:v>
                  </c:pt>
                  <c:pt idx="16">
                    <c:v>0.164618437664516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0.0222165566954145</c:v>
                  </c:pt>
                  <c:pt idx="1">
                    <c:v>9.4402311914437E-17</c:v>
                  </c:pt>
                  <c:pt idx="2">
                    <c:v>0.0222165566954145</c:v>
                  </c:pt>
                  <c:pt idx="3">
                    <c:v>0.0128356734798454</c:v>
                  </c:pt>
                  <c:pt idx="4">
                    <c:v>0.0222640271612285</c:v>
                  </c:pt>
                  <c:pt idx="5">
                    <c:v>0.0129115266376143</c:v>
                  </c:pt>
                  <c:pt idx="6">
                    <c:v>0.0130103897818533</c:v>
                  </c:pt>
                  <c:pt idx="7">
                    <c:v>0.0227293782159648</c:v>
                  </c:pt>
                  <c:pt idx="8">
                    <c:v>0.0478882570257986</c:v>
                  </c:pt>
                  <c:pt idx="9">
                    <c:v>0.0</c:v>
                  </c:pt>
                  <c:pt idx="10">
                    <c:v>0.0592066133076027</c:v>
                  </c:pt>
                  <c:pt idx="11">
                    <c:v>0.0831237711534702</c:v>
                  </c:pt>
                  <c:pt idx="12">
                    <c:v>0.150320101784961</c:v>
                  </c:pt>
                  <c:pt idx="13">
                    <c:v>0.0273564944144753</c:v>
                  </c:pt>
                  <c:pt idx="14">
                    <c:v>0.0725899078793828</c:v>
                  </c:pt>
                  <c:pt idx="15">
                    <c:v>0.145179815758766</c:v>
                  </c:pt>
                  <c:pt idx="16">
                    <c:v>0.164618437664516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0.48876424729912</c:v>
                </c:pt>
                <c:pt idx="1">
                  <c:v>0.533197360689949</c:v>
                </c:pt>
                <c:pt idx="2">
                  <c:v>0.555413917385363</c:v>
                </c:pt>
                <c:pt idx="3">
                  <c:v>0.570622324489053</c:v>
                </c:pt>
                <c:pt idx="4">
                  <c:v>0.623392760514398</c:v>
                </c:pt>
                <c:pt idx="5">
                  <c:v>0.633630237289427</c:v>
                </c:pt>
                <c:pt idx="6">
                  <c:v>0.62345881955364</c:v>
                </c:pt>
                <c:pt idx="7">
                  <c:v>0.613693211831048</c:v>
                </c:pt>
                <c:pt idx="8">
                  <c:v>1.042883113361907</c:v>
                </c:pt>
                <c:pt idx="9">
                  <c:v>1.607055991138383</c:v>
                </c:pt>
                <c:pt idx="10">
                  <c:v>3.819106356306271</c:v>
                </c:pt>
                <c:pt idx="11">
                  <c:v>6.453823027842723</c:v>
                </c:pt>
                <c:pt idx="12">
                  <c:v>6.351256158207081</c:v>
                </c:pt>
                <c:pt idx="13">
                  <c:v>6.388786023076999</c:v>
                </c:pt>
                <c:pt idx="14">
                  <c:v>6.589613284743404</c:v>
                </c:pt>
                <c:pt idx="15">
                  <c:v>6.518331410269018</c:v>
                </c:pt>
                <c:pt idx="16">
                  <c:v>7.342033070861941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0.066653369762629</c:v>
                  </c:pt>
                  <c:pt idx="1">
                    <c:v>0.0509073520435215</c:v>
                  </c:pt>
                  <c:pt idx="2">
                    <c:v>0.134688193411974</c:v>
                  </c:pt>
                  <c:pt idx="3">
                    <c:v>0.107204958602672</c:v>
                  </c:pt>
                  <c:pt idx="4">
                    <c:v>0.0883625232464599</c:v>
                  </c:pt>
                  <c:pt idx="5">
                    <c:v>0.165483383280847</c:v>
                  </c:pt>
                  <c:pt idx="6">
                    <c:v>0.13661667578427</c:v>
                  </c:pt>
                  <c:pt idx="7">
                    <c:v>0.0590559348132653</c:v>
                  </c:pt>
                  <c:pt idx="8">
                    <c:v>0.603991011762437</c:v>
                  </c:pt>
                  <c:pt idx="9">
                    <c:v>0.26454580510328</c:v>
                  </c:pt>
                  <c:pt idx="10">
                    <c:v>0.247040098757448</c:v>
                  </c:pt>
                  <c:pt idx="11">
                    <c:v>0.656938876728661</c:v>
                  </c:pt>
                  <c:pt idx="12">
                    <c:v>1.1675625719344</c:v>
                  </c:pt>
                  <c:pt idx="13">
                    <c:v>0.302256522323153</c:v>
                  </c:pt>
                  <c:pt idx="14">
                    <c:v>0.458303774055219</c:v>
                  </c:pt>
                  <c:pt idx="15">
                    <c:v>1.310735612199677</c:v>
                  </c:pt>
                  <c:pt idx="16">
                    <c:v>1.25123049549033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0.066653369762629</c:v>
                  </c:pt>
                  <c:pt idx="1">
                    <c:v>0.0509073520435215</c:v>
                  </c:pt>
                  <c:pt idx="2">
                    <c:v>0.134688193411974</c:v>
                  </c:pt>
                  <c:pt idx="3">
                    <c:v>0.107204958602672</c:v>
                  </c:pt>
                  <c:pt idx="4">
                    <c:v>0.0883625232464599</c:v>
                  </c:pt>
                  <c:pt idx="5">
                    <c:v>0.165483383280847</c:v>
                  </c:pt>
                  <c:pt idx="6">
                    <c:v>0.13661667578427</c:v>
                  </c:pt>
                  <c:pt idx="7">
                    <c:v>0.0590559348132653</c:v>
                  </c:pt>
                  <c:pt idx="8">
                    <c:v>0.603991011762437</c:v>
                  </c:pt>
                  <c:pt idx="9">
                    <c:v>0.26454580510328</c:v>
                  </c:pt>
                  <c:pt idx="10">
                    <c:v>0.247040098757448</c:v>
                  </c:pt>
                  <c:pt idx="11">
                    <c:v>0.656938876728661</c:v>
                  </c:pt>
                  <c:pt idx="12">
                    <c:v>1.1675625719344</c:v>
                  </c:pt>
                  <c:pt idx="13">
                    <c:v>0.302256522323153</c:v>
                  </c:pt>
                  <c:pt idx="14">
                    <c:v>0.458303774055219</c:v>
                  </c:pt>
                  <c:pt idx="15">
                    <c:v>1.310735612199677</c:v>
                  </c:pt>
                  <c:pt idx="16">
                    <c:v>1.25123049549033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2.332867941692021</c:v>
                </c:pt>
                <c:pt idx="1">
                  <c:v>2.421739101375525</c:v>
                </c:pt>
                <c:pt idx="2">
                  <c:v>2.643917000584289</c:v>
                </c:pt>
                <c:pt idx="3">
                  <c:v>2.990375178326067</c:v>
                </c:pt>
                <c:pt idx="4">
                  <c:v>3.940951554848438</c:v>
                </c:pt>
                <c:pt idx="5">
                  <c:v>5.412248087204838</c:v>
                </c:pt>
                <c:pt idx="6">
                  <c:v>8.67632419938239</c:v>
                </c:pt>
                <c:pt idx="7">
                  <c:v>14.66126274052399</c:v>
                </c:pt>
                <c:pt idx="8">
                  <c:v>24.66248724909602</c:v>
                </c:pt>
                <c:pt idx="9">
                  <c:v>36.31216468399382</c:v>
                </c:pt>
                <c:pt idx="10">
                  <c:v>47.53757328946941</c:v>
                </c:pt>
                <c:pt idx="11">
                  <c:v>53.14047785734475</c:v>
                </c:pt>
                <c:pt idx="12">
                  <c:v>56.96327838026733</c:v>
                </c:pt>
                <c:pt idx="13">
                  <c:v>58.18935523317522</c:v>
                </c:pt>
                <c:pt idx="14">
                  <c:v>59.22664482278559</c:v>
                </c:pt>
                <c:pt idx="15">
                  <c:v>57.15935571563117</c:v>
                </c:pt>
                <c:pt idx="16">
                  <c:v>59.93950313559743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0.0251017225237858</c:v>
                  </c:pt>
                  <c:pt idx="1">
                    <c:v>0.0251017225237858</c:v>
                  </c:pt>
                  <c:pt idx="2">
                    <c:v>0.0434774587686931</c:v>
                  </c:pt>
                  <c:pt idx="3">
                    <c:v>0.0251192150133493</c:v>
                  </c:pt>
                  <c:pt idx="4">
                    <c:v>1.85138613413574E-16</c:v>
                  </c:pt>
                  <c:pt idx="5">
                    <c:v>0.0668519405327079</c:v>
                  </c:pt>
                  <c:pt idx="6">
                    <c:v>0.0440999744525377</c:v>
                  </c:pt>
                  <c:pt idx="7">
                    <c:v>0.0513622838081915</c:v>
                  </c:pt>
                  <c:pt idx="8">
                    <c:v>0.113297821001854</c:v>
                  </c:pt>
                  <c:pt idx="9">
                    <c:v>0.0263153222550247</c:v>
                  </c:pt>
                  <c:pt idx="10">
                    <c:v>0.046040650291378</c:v>
                  </c:pt>
                  <c:pt idx="11">
                    <c:v>0.201905991388455</c:v>
                  </c:pt>
                  <c:pt idx="12">
                    <c:v>0.0267431018679305</c:v>
                  </c:pt>
                  <c:pt idx="13">
                    <c:v>0.0267681188013897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0.0251017225237858</c:v>
                  </c:pt>
                  <c:pt idx="1">
                    <c:v>0.0251017225237858</c:v>
                  </c:pt>
                  <c:pt idx="2">
                    <c:v>0.0434774587686931</c:v>
                  </c:pt>
                  <c:pt idx="3">
                    <c:v>0.0251192150133493</c:v>
                  </c:pt>
                  <c:pt idx="4">
                    <c:v>1.85138613413574E-16</c:v>
                  </c:pt>
                  <c:pt idx="5">
                    <c:v>0.0668519405327079</c:v>
                  </c:pt>
                  <c:pt idx="6">
                    <c:v>0.0440999744525377</c:v>
                  </c:pt>
                  <c:pt idx="7">
                    <c:v>0.0513622838081915</c:v>
                  </c:pt>
                  <c:pt idx="8">
                    <c:v>0.113297821001854</c:v>
                  </c:pt>
                  <c:pt idx="9">
                    <c:v>0.0263153222550247</c:v>
                  </c:pt>
                  <c:pt idx="10">
                    <c:v>0.046040650291378</c:v>
                  </c:pt>
                  <c:pt idx="11">
                    <c:v>0.201905991388455</c:v>
                  </c:pt>
                  <c:pt idx="12">
                    <c:v>0.0267431018679305</c:v>
                  </c:pt>
                  <c:pt idx="13">
                    <c:v>0.0267681188013897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1.246353818035867</c:v>
                </c:pt>
                <c:pt idx="1">
                  <c:v>1.14490641424225</c:v>
                </c:pt>
                <c:pt idx="2">
                  <c:v>1.043459010448633</c:v>
                </c:pt>
                <c:pt idx="3">
                  <c:v>0.942668060736308</c:v>
                </c:pt>
                <c:pt idx="4">
                  <c:v>0.958547870237589</c:v>
                </c:pt>
                <c:pt idx="5">
                  <c:v>1.677653283441396</c:v>
                </c:pt>
                <c:pt idx="6">
                  <c:v>3.439798007297938</c:v>
                </c:pt>
                <c:pt idx="7">
                  <c:v>4.2850071013223</c:v>
                </c:pt>
                <c:pt idx="8">
                  <c:v>5.477431991420046</c:v>
                </c:pt>
                <c:pt idx="9">
                  <c:v>6.669796532222346</c:v>
                </c:pt>
                <c:pt idx="10">
                  <c:v>5.985284537879138</c:v>
                </c:pt>
                <c:pt idx="11">
                  <c:v>3.751953306166904</c:v>
                </c:pt>
                <c:pt idx="12">
                  <c:v>1.497693295054278</c:v>
                </c:pt>
                <c:pt idx="13">
                  <c:v>0.216364128339551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0.0170607493059673</c:v>
                </c:pt>
                <c:pt idx="1">
                  <c:v>0.0574954862768345</c:v>
                </c:pt>
                <c:pt idx="2">
                  <c:v>0.107617122526301</c:v>
                </c:pt>
                <c:pt idx="3">
                  <c:v>0.161931083194466</c:v>
                </c:pt>
                <c:pt idx="4">
                  <c:v>0.220420631446309</c:v>
                </c:pt>
                <c:pt idx="5">
                  <c:v>0.28493676092631</c:v>
                </c:pt>
                <c:pt idx="6">
                  <c:v>0.356943497294105</c:v>
                </c:pt>
                <c:pt idx="7">
                  <c:v>0.440474459491526</c:v>
                </c:pt>
                <c:pt idx="8">
                  <c:v>0.538271183804361</c:v>
                </c:pt>
                <c:pt idx="9">
                  <c:v>0.657209902628115</c:v>
                </c:pt>
                <c:pt idx="10">
                  <c:v>0.809495490238988</c:v>
                </c:pt>
                <c:pt idx="11">
                  <c:v>1.011409238668181</c:v>
                </c:pt>
                <c:pt idx="12">
                  <c:v>1.293404507908282</c:v>
                </c:pt>
                <c:pt idx="13">
                  <c:v>1.680564193291207</c:v>
                </c:pt>
                <c:pt idx="14">
                  <c:v>2.198186408253864</c:v>
                </c:pt>
                <c:pt idx="15">
                  <c:v>2.885299656191954</c:v>
                </c:pt>
                <c:pt idx="16">
                  <c:v>3.75878802085432</c:v>
                </c:pt>
                <c:pt idx="17">
                  <c:v>4.64616843575764</c:v>
                </c:pt>
                <c:pt idx="18">
                  <c:v>5.715318170211835</c:v>
                </c:pt>
                <c:pt idx="19">
                  <c:v>7.109307988844872</c:v>
                </c:pt>
                <c:pt idx="20">
                  <c:v>8.671954078904594</c:v>
                </c:pt>
                <c:pt idx="21">
                  <c:v>10.39137139583002</c:v>
                </c:pt>
                <c:pt idx="22">
                  <c:v>12.20948848114221</c:v>
                </c:pt>
                <c:pt idx="23">
                  <c:v>14.13792969939503</c:v>
                </c:pt>
                <c:pt idx="24">
                  <c:v>16.15843825342544</c:v>
                </c:pt>
                <c:pt idx="25">
                  <c:v>18.20822871667533</c:v>
                </c:pt>
                <c:pt idx="26">
                  <c:v>20.29373254327731</c:v>
                </c:pt>
                <c:pt idx="27">
                  <c:v>22.36318009589682</c:v>
                </c:pt>
                <c:pt idx="28">
                  <c:v>24.43133703371404</c:v>
                </c:pt>
                <c:pt idx="29">
                  <c:v>26.53898276839333</c:v>
                </c:pt>
                <c:pt idx="30">
                  <c:v>28.60958900165578</c:v>
                </c:pt>
                <c:pt idx="31">
                  <c:v>30.65181288102228</c:v>
                </c:pt>
                <c:pt idx="32">
                  <c:v>32.56144837862472</c:v>
                </c:pt>
                <c:pt idx="33">
                  <c:v>34.2359692579491</c:v>
                </c:pt>
                <c:pt idx="34">
                  <c:v>35.76818926950681</c:v>
                </c:pt>
                <c:pt idx="35">
                  <c:v>37.18238614120585</c:v>
                </c:pt>
                <c:pt idx="36">
                  <c:v>38.45823287312935</c:v>
                </c:pt>
                <c:pt idx="37">
                  <c:v>39.61606773535674</c:v>
                </c:pt>
                <c:pt idx="38">
                  <c:v>40.6554409868231</c:v>
                </c:pt>
                <c:pt idx="39">
                  <c:v>41.56299368786412</c:v>
                </c:pt>
                <c:pt idx="40">
                  <c:v>42.33821694520537</c:v>
                </c:pt>
                <c:pt idx="41">
                  <c:v>42.99856491398329</c:v>
                </c:pt>
                <c:pt idx="42">
                  <c:v>43.5514219499845</c:v>
                </c:pt>
                <c:pt idx="43">
                  <c:v>44.01566769896562</c:v>
                </c:pt>
                <c:pt idx="44">
                  <c:v>44.40855295523721</c:v>
                </c:pt>
                <c:pt idx="45">
                  <c:v>44.73817481989595</c:v>
                </c:pt>
                <c:pt idx="46">
                  <c:v>45.01964634253192</c:v>
                </c:pt>
                <c:pt idx="47">
                  <c:v>45.25924763947133</c:v>
                </c:pt>
                <c:pt idx="48">
                  <c:v>45.46787036909336</c:v>
                </c:pt>
                <c:pt idx="49">
                  <c:v>45.65405282403707</c:v>
                </c:pt>
                <c:pt idx="50">
                  <c:v>45.8149766985335</c:v>
                </c:pt>
                <c:pt idx="51">
                  <c:v>45.95217325368856</c:v>
                </c:pt>
                <c:pt idx="52">
                  <c:v>46.0704324559691</c:v>
                </c:pt>
                <c:pt idx="53">
                  <c:v>46.1735313472668</c:v>
                </c:pt>
                <c:pt idx="54">
                  <c:v>46.26407090312167</c:v>
                </c:pt>
                <c:pt idx="55">
                  <c:v>46.34492365785377</c:v>
                </c:pt>
                <c:pt idx="56">
                  <c:v>46.41561206037644</c:v>
                </c:pt>
                <c:pt idx="57">
                  <c:v>46.47742007777343</c:v>
                </c:pt>
                <c:pt idx="58">
                  <c:v>46.53304729343073</c:v>
                </c:pt>
                <c:pt idx="59">
                  <c:v>46.58318499481319</c:v>
                </c:pt>
                <c:pt idx="60">
                  <c:v>46.62896666420532</c:v>
                </c:pt>
                <c:pt idx="61">
                  <c:v>46.67252045577304</c:v>
                </c:pt>
                <c:pt idx="62">
                  <c:v>46.71362884159621</c:v>
                </c:pt>
                <c:pt idx="63">
                  <c:v>46.75156282418925</c:v>
                </c:pt>
                <c:pt idx="64">
                  <c:v>46.78659985781907</c:v>
                </c:pt>
                <c:pt idx="65">
                  <c:v>46.81828078287533</c:v>
                </c:pt>
                <c:pt idx="66">
                  <c:v>46.84733405281566</c:v>
                </c:pt>
                <c:pt idx="67">
                  <c:v>46.8744445988597</c:v>
                </c:pt>
                <c:pt idx="68">
                  <c:v>46.89928274005503</c:v>
                </c:pt>
                <c:pt idx="69">
                  <c:v>46.92240392896342</c:v>
                </c:pt>
                <c:pt idx="70">
                  <c:v>46.94432825632833</c:v>
                </c:pt>
                <c:pt idx="71">
                  <c:v>46.96547190355008</c:v>
                </c:pt>
                <c:pt idx="72">
                  <c:v>46.98620807381908</c:v>
                </c:pt>
                <c:pt idx="73">
                  <c:v>47.00627617773561</c:v>
                </c:pt>
                <c:pt idx="74">
                  <c:v>47.02577196422317</c:v>
                </c:pt>
                <c:pt idx="75">
                  <c:v>47.04485156931037</c:v>
                </c:pt>
                <c:pt idx="76">
                  <c:v>47.06361019789274</c:v>
                </c:pt>
                <c:pt idx="77">
                  <c:v>47.08255978029408</c:v>
                </c:pt>
                <c:pt idx="78">
                  <c:v>47.10183033920027</c:v>
                </c:pt>
                <c:pt idx="79">
                  <c:v>47.12084955718232</c:v>
                </c:pt>
                <c:pt idx="80">
                  <c:v>47.13900159457332</c:v>
                </c:pt>
                <c:pt idx="81">
                  <c:v>47.15668522387843</c:v>
                </c:pt>
                <c:pt idx="82">
                  <c:v>47.17416919491697</c:v>
                </c:pt>
                <c:pt idx="83">
                  <c:v>47.18273763551243</c:v>
                </c:pt>
                <c:pt idx="84">
                  <c:v>47.18273763551243</c:v>
                </c:pt>
                <c:pt idx="85">
                  <c:v>47.18273763551243</c:v>
                </c:pt>
                <c:pt idx="86">
                  <c:v>47.18273763551243</c:v>
                </c:pt>
                <c:pt idx="87">
                  <c:v>47.18273763551243</c:v>
                </c:pt>
                <c:pt idx="88">
                  <c:v>47.18273763551243</c:v>
                </c:pt>
                <c:pt idx="89">
                  <c:v>47.18273763551243</c:v>
                </c:pt>
                <c:pt idx="90">
                  <c:v>47.18273763551243</c:v>
                </c:pt>
                <c:pt idx="91">
                  <c:v>47.18273763551243</c:v>
                </c:pt>
                <c:pt idx="92">
                  <c:v>47.18273763551243</c:v>
                </c:pt>
                <c:pt idx="93">
                  <c:v>47.18273763551243</c:v>
                </c:pt>
                <c:pt idx="94">
                  <c:v>47.18273763551243</c:v>
                </c:pt>
                <c:pt idx="95">
                  <c:v>47.18273763551243</c:v>
                </c:pt>
                <c:pt idx="96">
                  <c:v>47.18273763551243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0.457511854749643</c:v>
                  </c:pt>
                  <c:pt idx="1">
                    <c:v>0.286312148284196</c:v>
                  </c:pt>
                  <c:pt idx="2">
                    <c:v>0.224467862299873</c:v>
                  </c:pt>
                  <c:pt idx="3">
                    <c:v>0.434284157593346</c:v>
                  </c:pt>
                  <c:pt idx="4">
                    <c:v>0.517848062505626</c:v>
                  </c:pt>
                  <c:pt idx="5">
                    <c:v>0.158659495578382</c:v>
                  </c:pt>
                  <c:pt idx="6">
                    <c:v>0.316556445878528</c:v>
                  </c:pt>
                  <c:pt idx="7">
                    <c:v>0.204879846542686</c:v>
                  </c:pt>
                  <c:pt idx="8">
                    <c:v>0.584965475048906</c:v>
                  </c:pt>
                  <c:pt idx="9">
                    <c:v>0.0763635570072543</c:v>
                  </c:pt>
                  <c:pt idx="10">
                    <c:v>0.0475402502468398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0.457511854749643</c:v>
                  </c:pt>
                  <c:pt idx="1">
                    <c:v>0.286312148284196</c:v>
                  </c:pt>
                  <c:pt idx="2">
                    <c:v>0.224467862299873</c:v>
                  </c:pt>
                  <c:pt idx="3">
                    <c:v>0.434284157593346</c:v>
                  </c:pt>
                  <c:pt idx="4">
                    <c:v>0.517848062505626</c:v>
                  </c:pt>
                  <c:pt idx="5">
                    <c:v>0.158659495578382</c:v>
                  </c:pt>
                  <c:pt idx="6">
                    <c:v>0.316556445878528</c:v>
                  </c:pt>
                  <c:pt idx="7">
                    <c:v>0.204879846542686</c:v>
                  </c:pt>
                  <c:pt idx="8">
                    <c:v>0.584965475048906</c:v>
                  </c:pt>
                  <c:pt idx="9">
                    <c:v>0.0763635570072543</c:v>
                  </c:pt>
                  <c:pt idx="10">
                    <c:v>0.0475402502468398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50.13536294265212</c:v>
                </c:pt>
                <c:pt idx="1">
                  <c:v>50.24644572612918</c:v>
                </c:pt>
                <c:pt idx="2">
                  <c:v>50.03909119697197</c:v>
                </c:pt>
                <c:pt idx="3">
                  <c:v>50.10360436195441</c:v>
                </c:pt>
                <c:pt idx="4">
                  <c:v>48.9697277411221</c:v>
                </c:pt>
                <c:pt idx="5">
                  <c:v>47.28372464855102</c:v>
                </c:pt>
                <c:pt idx="6">
                  <c:v>42.83462552415218</c:v>
                </c:pt>
                <c:pt idx="7">
                  <c:v>35.0259718308017</c:v>
                </c:pt>
                <c:pt idx="8">
                  <c:v>24.63044529498857</c:v>
                </c:pt>
                <c:pt idx="9">
                  <c:v>15.65132791369555</c:v>
                </c:pt>
                <c:pt idx="10">
                  <c:v>6.86576512309269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0.0454265674071715</c:v>
                  </c:pt>
                  <c:pt idx="2">
                    <c:v>0.0262270409208911</c:v>
                  </c:pt>
                  <c:pt idx="3">
                    <c:v>0.0262453176044597</c:v>
                  </c:pt>
                  <c:pt idx="4">
                    <c:v>0.129429161964254</c:v>
                  </c:pt>
                  <c:pt idx="5">
                    <c:v>0.0228634307817227</c:v>
                  </c:pt>
                  <c:pt idx="6">
                    <c:v>0.0959169048394009</c:v>
                  </c:pt>
                  <c:pt idx="7">
                    <c:v>0.0584799381630322</c:v>
                  </c:pt>
                  <c:pt idx="8">
                    <c:v>0.355130997665328</c:v>
                  </c:pt>
                  <c:pt idx="9">
                    <c:v>0.131143014571144</c:v>
                  </c:pt>
                  <c:pt idx="10">
                    <c:v>0.173998867492831</c:v>
                  </c:pt>
                  <c:pt idx="11">
                    <c:v>0.242387824098223</c:v>
                  </c:pt>
                  <c:pt idx="12">
                    <c:v>0.480529356333128</c:v>
                  </c:pt>
                  <c:pt idx="13">
                    <c:v>0.164869767263802</c:v>
                  </c:pt>
                  <c:pt idx="14">
                    <c:v>0.198837564318437</c:v>
                  </c:pt>
                  <c:pt idx="15">
                    <c:v>0.542639377722103</c:v>
                  </c:pt>
                  <c:pt idx="16">
                    <c:v>0.37344231228607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0.0454265674071715</c:v>
                  </c:pt>
                  <c:pt idx="2">
                    <c:v>0.0262270409208911</c:v>
                  </c:pt>
                  <c:pt idx="3">
                    <c:v>0.0262453176044597</c:v>
                  </c:pt>
                  <c:pt idx="4">
                    <c:v>0.129429161964254</c:v>
                  </c:pt>
                  <c:pt idx="5">
                    <c:v>0.0228634307817227</c:v>
                  </c:pt>
                  <c:pt idx="6">
                    <c:v>0.0959169048394009</c:v>
                  </c:pt>
                  <c:pt idx="7">
                    <c:v>0.0584799381630322</c:v>
                  </c:pt>
                  <c:pt idx="8">
                    <c:v>0.355130997665328</c:v>
                  </c:pt>
                  <c:pt idx="9">
                    <c:v>0.131143014571144</c:v>
                  </c:pt>
                  <c:pt idx="10">
                    <c:v>0.173998867492831</c:v>
                  </c:pt>
                  <c:pt idx="11">
                    <c:v>0.242387824098223</c:v>
                  </c:pt>
                  <c:pt idx="12">
                    <c:v>0.480529356333128</c:v>
                  </c:pt>
                  <c:pt idx="13">
                    <c:v>0.164869767263802</c:v>
                  </c:pt>
                  <c:pt idx="14">
                    <c:v>0.198837564318437</c:v>
                  </c:pt>
                  <c:pt idx="15">
                    <c:v>0.542639377722103</c:v>
                  </c:pt>
                  <c:pt idx="16">
                    <c:v>0.37344231228607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0.204419553332272</c:v>
                </c:pt>
                <c:pt idx="2">
                  <c:v>0.151421891357238</c:v>
                </c:pt>
                <c:pt idx="3">
                  <c:v>0.3712421590056</c:v>
                </c:pt>
                <c:pt idx="4">
                  <c:v>1.828532514548915</c:v>
                </c:pt>
                <c:pt idx="5">
                  <c:v>4.023963817583194</c:v>
                </c:pt>
                <c:pt idx="6">
                  <c:v>7.825408915776738</c:v>
                </c:pt>
                <c:pt idx="7">
                  <c:v>12.18423311386838</c:v>
                </c:pt>
                <c:pt idx="8">
                  <c:v>16.55746390863901</c:v>
                </c:pt>
                <c:pt idx="9">
                  <c:v>20.43812600742785</c:v>
                </c:pt>
                <c:pt idx="10">
                  <c:v>22.43281000979131</c:v>
                </c:pt>
                <c:pt idx="11">
                  <c:v>22.25454018027493</c:v>
                </c:pt>
                <c:pt idx="12">
                  <c:v>23.33540585050213</c:v>
                </c:pt>
                <c:pt idx="13">
                  <c:v>23.74477298959737</c:v>
                </c:pt>
                <c:pt idx="14">
                  <c:v>24.60766912169386</c:v>
                </c:pt>
                <c:pt idx="15">
                  <c:v>24.21899912569474</c:v>
                </c:pt>
                <c:pt idx="16">
                  <c:v>26.07327889827384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0.00855079483096402</c:v>
                </c:pt>
                <c:pt idx="1">
                  <c:v>0.0533836049835135</c:v>
                </c:pt>
                <c:pt idx="2">
                  <c:v>0.132574911571224</c:v>
                </c:pt>
                <c:pt idx="3">
                  <c:v>0.228269744123347</c:v>
                </c:pt>
                <c:pt idx="4">
                  <c:v>0.361256009475238</c:v>
                </c:pt>
                <c:pt idx="5">
                  <c:v>0.540950507397531</c:v>
                </c:pt>
                <c:pt idx="6">
                  <c:v>0.761669810703457</c:v>
                </c:pt>
                <c:pt idx="7">
                  <c:v>1.02911109555477</c:v>
                </c:pt>
                <c:pt idx="8">
                  <c:v>1.378173561030944</c:v>
                </c:pt>
                <c:pt idx="9">
                  <c:v>1.821417658326243</c:v>
                </c:pt>
                <c:pt idx="10">
                  <c:v>2.434215785088428</c:v>
                </c:pt>
                <c:pt idx="11">
                  <c:v>3.346951316568236</c:v>
                </c:pt>
                <c:pt idx="12">
                  <c:v>4.562359098810165</c:v>
                </c:pt>
                <c:pt idx="13">
                  <c:v>6.26593818783457</c:v>
                </c:pt>
                <c:pt idx="14">
                  <c:v>8.394152778717787</c:v>
                </c:pt>
                <c:pt idx="15">
                  <c:v>10.92796423456799</c:v>
                </c:pt>
                <c:pt idx="16">
                  <c:v>14.06980818347892</c:v>
                </c:pt>
                <c:pt idx="17">
                  <c:v>16.94723354629698</c:v>
                </c:pt>
                <c:pt idx="18">
                  <c:v>19.47873013224863</c:v>
                </c:pt>
                <c:pt idx="19">
                  <c:v>22.00518630418697</c:v>
                </c:pt>
                <c:pt idx="20">
                  <c:v>24.38589307442867</c:v>
                </c:pt>
                <c:pt idx="21">
                  <c:v>26.94586441572003</c:v>
                </c:pt>
                <c:pt idx="22">
                  <c:v>29.73016499855924</c:v>
                </c:pt>
                <c:pt idx="23">
                  <c:v>32.66877611252955</c:v>
                </c:pt>
                <c:pt idx="24">
                  <c:v>35.59300845119397</c:v>
                </c:pt>
                <c:pt idx="25">
                  <c:v>38.6062878099631</c:v>
                </c:pt>
                <c:pt idx="26">
                  <c:v>41.68564944780957</c:v>
                </c:pt>
                <c:pt idx="27">
                  <c:v>44.82193742521405</c:v>
                </c:pt>
                <c:pt idx="28">
                  <c:v>48.19153720187853</c:v>
                </c:pt>
                <c:pt idx="29">
                  <c:v>51.26771136736132</c:v>
                </c:pt>
                <c:pt idx="30">
                  <c:v>53.77812558669924</c:v>
                </c:pt>
                <c:pt idx="31">
                  <c:v>55.9252062505923</c:v>
                </c:pt>
                <c:pt idx="32">
                  <c:v>57.64722853774667</c:v>
                </c:pt>
                <c:pt idx="33">
                  <c:v>58.98764748036844</c:v>
                </c:pt>
                <c:pt idx="34">
                  <c:v>60.12112580879392</c:v>
                </c:pt>
                <c:pt idx="35">
                  <c:v>61.08988723544112</c:v>
                </c:pt>
                <c:pt idx="36">
                  <c:v>61.89889717431154</c:v>
                </c:pt>
                <c:pt idx="37">
                  <c:v>62.56636031594713</c:v>
                </c:pt>
                <c:pt idx="38">
                  <c:v>63.07322931513229</c:v>
                </c:pt>
                <c:pt idx="39">
                  <c:v>63.41426394652732</c:v>
                </c:pt>
                <c:pt idx="40">
                  <c:v>63.61810075464423</c:v>
                </c:pt>
                <c:pt idx="41">
                  <c:v>63.71680050698367</c:v>
                </c:pt>
                <c:pt idx="42">
                  <c:v>63.76293197703924</c:v>
                </c:pt>
                <c:pt idx="43">
                  <c:v>63.7916097831681</c:v>
                </c:pt>
                <c:pt idx="44">
                  <c:v>63.81442843970451</c:v>
                </c:pt>
                <c:pt idx="45">
                  <c:v>63.83592623329208</c:v>
                </c:pt>
                <c:pt idx="46">
                  <c:v>63.85370999015359</c:v>
                </c:pt>
                <c:pt idx="47">
                  <c:v>63.87264956349657</c:v>
                </c:pt>
                <c:pt idx="48">
                  <c:v>63.89611579985708</c:v>
                </c:pt>
                <c:pt idx="49">
                  <c:v>63.9210961099955</c:v>
                </c:pt>
                <c:pt idx="50">
                  <c:v>63.94768099178502</c:v>
                </c:pt>
                <c:pt idx="51">
                  <c:v>63.97691124845878</c:v>
                </c:pt>
                <c:pt idx="52">
                  <c:v>64.00644507274221</c:v>
                </c:pt>
                <c:pt idx="53">
                  <c:v>64.0364992986422</c:v>
                </c:pt>
                <c:pt idx="54">
                  <c:v>64.06794126218641</c:v>
                </c:pt>
                <c:pt idx="55">
                  <c:v>64.09994699414856</c:v>
                </c:pt>
                <c:pt idx="56">
                  <c:v>64.12969765243891</c:v>
                </c:pt>
                <c:pt idx="57">
                  <c:v>64.15966514473615</c:v>
                </c:pt>
                <c:pt idx="58">
                  <c:v>64.19093364107483</c:v>
                </c:pt>
                <c:pt idx="59">
                  <c:v>64.22350314145494</c:v>
                </c:pt>
                <c:pt idx="60">
                  <c:v>64.2592006750073</c:v>
                </c:pt>
                <c:pt idx="61">
                  <c:v>64.2945265874915</c:v>
                </c:pt>
                <c:pt idx="62">
                  <c:v>64.33158903726969</c:v>
                </c:pt>
                <c:pt idx="63">
                  <c:v>64.3682402018993</c:v>
                </c:pt>
                <c:pt idx="64">
                  <c:v>64.40301773418537</c:v>
                </c:pt>
                <c:pt idx="65">
                  <c:v>64.43907482026702</c:v>
                </c:pt>
                <c:pt idx="66">
                  <c:v>64.4712932449619</c:v>
                </c:pt>
                <c:pt idx="67">
                  <c:v>64.50003859506877</c:v>
                </c:pt>
                <c:pt idx="68">
                  <c:v>64.5332623834602</c:v>
                </c:pt>
                <c:pt idx="69">
                  <c:v>64.56621198175255</c:v>
                </c:pt>
                <c:pt idx="70">
                  <c:v>64.5987045965465</c:v>
                </c:pt>
                <c:pt idx="71">
                  <c:v>64.63389341398114</c:v>
                </c:pt>
                <c:pt idx="72">
                  <c:v>64.66414680963281</c:v>
                </c:pt>
                <c:pt idx="73">
                  <c:v>64.69293785808952</c:v>
                </c:pt>
                <c:pt idx="74">
                  <c:v>64.72364823723962</c:v>
                </c:pt>
                <c:pt idx="75">
                  <c:v>64.75463280648876</c:v>
                </c:pt>
                <c:pt idx="76">
                  <c:v>64.78959313217419</c:v>
                </c:pt>
                <c:pt idx="77">
                  <c:v>64.82299971396499</c:v>
                </c:pt>
                <c:pt idx="78">
                  <c:v>64.8536186964154</c:v>
                </c:pt>
                <c:pt idx="79">
                  <c:v>64.8839177904169</c:v>
                </c:pt>
                <c:pt idx="80">
                  <c:v>64.90973790210587</c:v>
                </c:pt>
                <c:pt idx="81">
                  <c:v>64.9346897451478</c:v>
                </c:pt>
                <c:pt idx="82">
                  <c:v>64.95859052614342</c:v>
                </c:pt>
                <c:pt idx="83">
                  <c:v>64.97938327532175</c:v>
                </c:pt>
                <c:pt idx="84">
                  <c:v>64.99962764430196</c:v>
                </c:pt>
                <c:pt idx="85">
                  <c:v>65.02329993354834</c:v>
                </c:pt>
                <c:pt idx="86">
                  <c:v>65.05003455626213</c:v>
                </c:pt>
                <c:pt idx="87">
                  <c:v>65.07640359217718</c:v>
                </c:pt>
                <c:pt idx="88">
                  <c:v>65.10290972314176</c:v>
                </c:pt>
                <c:pt idx="89">
                  <c:v>65.12891317225808</c:v>
                </c:pt>
                <c:pt idx="90">
                  <c:v>65.15304244500288</c:v>
                </c:pt>
                <c:pt idx="91">
                  <c:v>65.17662333754957</c:v>
                </c:pt>
                <c:pt idx="92">
                  <c:v>65.20098164607155</c:v>
                </c:pt>
                <c:pt idx="93">
                  <c:v>65.22684800013835</c:v>
                </c:pt>
                <c:pt idx="94">
                  <c:v>65.25298854430419</c:v>
                </c:pt>
                <c:pt idx="95">
                  <c:v>65.2767065319004</c:v>
                </c:pt>
                <c:pt idx="96">
                  <c:v>65.30151975290522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46216"/>
        <c:axId val="-209079877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3245.0</c:v>
                </c:pt>
                <c:pt idx="1">
                  <c:v>3544.0</c:v>
                </c:pt>
                <c:pt idx="2">
                  <c:v>4930.0</c:v>
                </c:pt>
                <c:pt idx="3">
                  <c:v>6974.0</c:v>
                </c:pt>
                <c:pt idx="4">
                  <c:v>20432.0</c:v>
                </c:pt>
                <c:pt idx="5">
                  <c:v>5197.0</c:v>
                </c:pt>
                <c:pt idx="6">
                  <c:v>8466.0</c:v>
                </c:pt>
                <c:pt idx="7">
                  <c:v>12967.0</c:v>
                </c:pt>
                <c:pt idx="8">
                  <c:v>20382.0</c:v>
                </c:pt>
                <c:pt idx="9">
                  <c:v>21255.0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0.0462369057662777</c:v>
                  </c:pt>
                  <c:pt idx="1">
                    <c:v>0.0827468081273203</c:v>
                  </c:pt>
                  <c:pt idx="2">
                    <c:v>0.0429162592744529</c:v>
                  </c:pt>
                  <c:pt idx="3">
                    <c:v>0.0006598684319554</c:v>
                  </c:pt>
                  <c:pt idx="4">
                    <c:v>0.0380221536390525</c:v>
                  </c:pt>
                  <c:pt idx="5">
                    <c:v>0.0286657469411129</c:v>
                  </c:pt>
                  <c:pt idx="6">
                    <c:v>0.0580540627877029</c:v>
                  </c:pt>
                  <c:pt idx="7">
                    <c:v>0.0122766890528458</c:v>
                  </c:pt>
                  <c:pt idx="8">
                    <c:v>0.0381885790797421</c:v>
                  </c:pt>
                  <c:pt idx="9">
                    <c:v>0.0464921201379806</c:v>
                  </c:pt>
                  <c:pt idx="10">
                    <c:v>0.0268431031385472</c:v>
                  </c:pt>
                  <c:pt idx="11">
                    <c:v>0.0463116638259427</c:v>
                  </c:pt>
                  <c:pt idx="12">
                    <c:v>0.00940147754838875</c:v>
                  </c:pt>
                  <c:pt idx="13">
                    <c:v>0.0279620912900825</c:v>
                  </c:pt>
                  <c:pt idx="14">
                    <c:v>0.0148341450831388</c:v>
                  </c:pt>
                  <c:pt idx="15">
                    <c:v>0.049217960036135</c:v>
                  </c:pt>
                  <c:pt idx="16">
                    <c:v>0.0131296550312798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0.0462369057662777</c:v>
                  </c:pt>
                  <c:pt idx="1">
                    <c:v>0.0827468081273203</c:v>
                  </c:pt>
                  <c:pt idx="2">
                    <c:v>0.0429162592744529</c:v>
                  </c:pt>
                  <c:pt idx="3">
                    <c:v>0.0006598684319554</c:v>
                  </c:pt>
                  <c:pt idx="4">
                    <c:v>0.0380221536390525</c:v>
                  </c:pt>
                  <c:pt idx="5">
                    <c:v>0.0286657469411129</c:v>
                  </c:pt>
                  <c:pt idx="6">
                    <c:v>0.0580540627877029</c:v>
                  </c:pt>
                  <c:pt idx="7">
                    <c:v>0.0122766890528458</c:v>
                  </c:pt>
                  <c:pt idx="8">
                    <c:v>0.0381885790797421</c:v>
                  </c:pt>
                  <c:pt idx="9">
                    <c:v>0.0464921201379806</c:v>
                  </c:pt>
                  <c:pt idx="10">
                    <c:v>0.0268431031385472</c:v>
                  </c:pt>
                  <c:pt idx="11">
                    <c:v>0.0463116638259427</c:v>
                  </c:pt>
                  <c:pt idx="12">
                    <c:v>0.00940147754838875</c:v>
                  </c:pt>
                  <c:pt idx="13">
                    <c:v>0.0279620912900825</c:v>
                  </c:pt>
                  <c:pt idx="14">
                    <c:v>0.0148341450831388</c:v>
                  </c:pt>
                  <c:pt idx="15">
                    <c:v>0.049217960036135</c:v>
                  </c:pt>
                  <c:pt idx="16">
                    <c:v>0.0131296550312798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7.639109404585924</c:v>
                </c:pt>
                <c:pt idx="1">
                  <c:v>7.673830509250433</c:v>
                </c:pt>
                <c:pt idx="2">
                  <c:v>7.838240347522788</c:v>
                </c:pt>
                <c:pt idx="3">
                  <c:v>8.00816330385361</c:v>
                </c:pt>
                <c:pt idx="4">
                  <c:v>8.436360009091548</c:v>
                </c:pt>
                <c:pt idx="5">
                  <c:v>8.85016605623297</c:v>
                </c:pt>
                <c:pt idx="6">
                  <c:v>9.120267612779953</c:v>
                </c:pt>
                <c:pt idx="7">
                  <c:v>9.273610301131454</c:v>
                </c:pt>
                <c:pt idx="8">
                  <c:v>9.45162627811303</c:v>
                </c:pt>
                <c:pt idx="9">
                  <c:v>9.475592068950634</c:v>
                </c:pt>
                <c:pt idx="10">
                  <c:v>9.445917036728108</c:v>
                </c:pt>
                <c:pt idx="11">
                  <c:v>9.5021062319735</c:v>
                </c:pt>
                <c:pt idx="12">
                  <c:v>9.551897861863812</c:v>
                </c:pt>
                <c:pt idx="13">
                  <c:v>9.53304036783465</c:v>
                </c:pt>
                <c:pt idx="14">
                  <c:v>9.560190012130777</c:v>
                </c:pt>
                <c:pt idx="15">
                  <c:v>9.42255489815664</c:v>
                </c:pt>
                <c:pt idx="16">
                  <c:v>9.204218593707326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spPr>
            <a:ln>
              <a:solidFill>
                <a:srgbClr val="CC7B37"/>
              </a:solidFill>
            </a:ln>
          </c:spPr>
          <c:marker>
            <c:symbol val="circle"/>
            <c:size val="8"/>
            <c:spPr>
              <a:solidFill>
                <a:srgbClr val="CC7B37"/>
              </a:solidFill>
              <a:ln>
                <a:solidFill>
                  <a:srgbClr val="CC7B3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0.102405747290662</c:v>
                  </c:pt>
                  <c:pt idx="1">
                    <c:v>0.0276818540579801</c:v>
                  </c:pt>
                  <c:pt idx="2">
                    <c:v>0.00979219359726275</c:v>
                  </c:pt>
                  <c:pt idx="3">
                    <c:v>0.016515108270993</c:v>
                  </c:pt>
                  <c:pt idx="4">
                    <c:v>0.0757200204945135</c:v>
                  </c:pt>
                  <c:pt idx="5">
                    <c:v>0.0269717043880549</c:v>
                  </c:pt>
                  <c:pt idx="6">
                    <c:v>0.231483222964089</c:v>
                  </c:pt>
                  <c:pt idx="7">
                    <c:v>0.0475941794758272</c:v>
                  </c:pt>
                  <c:pt idx="8">
                    <c:v>0.011307869765677</c:v>
                  </c:pt>
                  <c:pt idx="9">
                    <c:v>0.0202989357428761</c:v>
                  </c:pt>
                  <c:pt idx="10">
                    <c:v>0.0019620949371945</c:v>
                  </c:pt>
                  <c:pt idx="11">
                    <c:v>0.0460948286976746</c:v>
                  </c:pt>
                  <c:pt idx="12">
                    <c:v>0.0123806814614782</c:v>
                  </c:pt>
                  <c:pt idx="13">
                    <c:v>0.0252681979813449</c:v>
                  </c:pt>
                  <c:pt idx="14">
                    <c:v>0.0171212237399568</c:v>
                  </c:pt>
                  <c:pt idx="15">
                    <c:v>0.0527674384746155</c:v>
                  </c:pt>
                  <c:pt idx="16">
                    <c:v>0.0233128405149401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0.102405747290662</c:v>
                  </c:pt>
                  <c:pt idx="1">
                    <c:v>0.0276818540579801</c:v>
                  </c:pt>
                  <c:pt idx="2">
                    <c:v>0.00979219359726275</c:v>
                  </c:pt>
                  <c:pt idx="3">
                    <c:v>0.016515108270993</c:v>
                  </c:pt>
                  <c:pt idx="4">
                    <c:v>0.0757200204945135</c:v>
                  </c:pt>
                  <c:pt idx="5">
                    <c:v>0.0269717043880549</c:v>
                  </c:pt>
                  <c:pt idx="6">
                    <c:v>0.231483222964089</c:v>
                  </c:pt>
                  <c:pt idx="7">
                    <c:v>0.0475941794758272</c:v>
                  </c:pt>
                  <c:pt idx="8">
                    <c:v>0.011307869765677</c:v>
                  </c:pt>
                  <c:pt idx="9">
                    <c:v>0.0202989357428761</c:v>
                  </c:pt>
                  <c:pt idx="10">
                    <c:v>0.0019620949371945</c:v>
                  </c:pt>
                  <c:pt idx="11">
                    <c:v>0.0460948286976746</c:v>
                  </c:pt>
                  <c:pt idx="12">
                    <c:v>0.0123806814614782</c:v>
                  </c:pt>
                  <c:pt idx="13">
                    <c:v>0.0252681979813449</c:v>
                  </c:pt>
                  <c:pt idx="14">
                    <c:v>0.0171212237399568</c:v>
                  </c:pt>
                  <c:pt idx="15">
                    <c:v>0.0527674384746155</c:v>
                  </c:pt>
                  <c:pt idx="16">
                    <c:v>0.0233128405149401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7.457102266456983</c:v>
                </c:pt>
                <c:pt idx="1">
                  <c:v>7.34969299910706</c:v>
                </c:pt>
                <c:pt idx="2">
                  <c:v>7.357594870399954</c:v>
                </c:pt>
                <c:pt idx="3">
                  <c:v>7.309107311121286</c:v>
                </c:pt>
                <c:pt idx="4">
                  <c:v>7.48128093775707</c:v>
                </c:pt>
                <c:pt idx="5">
                  <c:v>7.664343279904487</c:v>
                </c:pt>
                <c:pt idx="6">
                  <c:v>7.836360922791586</c:v>
                </c:pt>
                <c:pt idx="7">
                  <c:v>8.137087220873643</c:v>
                </c:pt>
                <c:pt idx="8">
                  <c:v>8.290980656061067</c:v>
                </c:pt>
                <c:pt idx="9">
                  <c:v>8.524925064501486</c:v>
                </c:pt>
                <c:pt idx="10">
                  <c:v>8.630102907302697</c:v>
                </c:pt>
                <c:pt idx="11">
                  <c:v>8.684214031435569</c:v>
                </c:pt>
                <c:pt idx="12">
                  <c:v>8.625128102988933</c:v>
                </c:pt>
                <c:pt idx="13">
                  <c:v>8.588144379319668</c:v>
                </c:pt>
                <c:pt idx="14">
                  <c:v>8.52956309955221</c:v>
                </c:pt>
                <c:pt idx="15">
                  <c:v>8.281011665274109</c:v>
                </c:pt>
                <c:pt idx="16">
                  <c:v>7.797997027554062</c:v>
                </c:pt>
              </c:numCache>
            </c:numRef>
          </c:yVal>
          <c:smooth val="0"/>
        </c:ser>
        <c:ser>
          <c:idx val="7"/>
          <c:order val="10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0.113736479959768</c:v>
                  </c:pt>
                  <c:pt idx="1">
                    <c:v>0.034454051340946</c:v>
                  </c:pt>
                  <c:pt idx="2">
                    <c:v>0.0545542567802966</c:v>
                  </c:pt>
                  <c:pt idx="3">
                    <c:v>0.0421333883304769</c:v>
                  </c:pt>
                  <c:pt idx="4">
                    <c:v>0.119435716636445</c:v>
                  </c:pt>
                  <c:pt idx="5">
                    <c:v>0.0992083397717428</c:v>
                  </c:pt>
                  <c:pt idx="6">
                    <c:v>0.205841324642376</c:v>
                  </c:pt>
                  <c:pt idx="7">
                    <c:v>0.0628751009229567</c:v>
                  </c:pt>
                  <c:pt idx="8">
                    <c:v>0.0743204118622934</c:v>
                  </c:pt>
                  <c:pt idx="9">
                    <c:v>0.00978552026061298</c:v>
                  </c:pt>
                  <c:pt idx="10">
                    <c:v>0.0976627442725863</c:v>
                  </c:pt>
                  <c:pt idx="11">
                    <c:v>0.0180442304058748</c:v>
                  </c:pt>
                  <c:pt idx="12">
                    <c:v>0.0688634832957917</c:v>
                  </c:pt>
                  <c:pt idx="13">
                    <c:v>0.0601268339461663</c:v>
                  </c:pt>
                  <c:pt idx="14">
                    <c:v>0.090832214244491</c:v>
                  </c:pt>
                  <c:pt idx="15">
                    <c:v>0.0964887737086697</c:v>
                  </c:pt>
                  <c:pt idx="16">
                    <c:v>0.108584658800031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0.113736479959768</c:v>
                  </c:pt>
                  <c:pt idx="1">
                    <c:v>0.034454051340946</c:v>
                  </c:pt>
                  <c:pt idx="2">
                    <c:v>0.0545542567802966</c:v>
                  </c:pt>
                  <c:pt idx="3">
                    <c:v>0.0421333883304769</c:v>
                  </c:pt>
                  <c:pt idx="4">
                    <c:v>0.119435716636445</c:v>
                  </c:pt>
                  <c:pt idx="5">
                    <c:v>0.0992083397717428</c:v>
                  </c:pt>
                  <c:pt idx="6">
                    <c:v>0.205841324642376</c:v>
                  </c:pt>
                  <c:pt idx="7">
                    <c:v>0.0628751009229567</c:v>
                  </c:pt>
                  <c:pt idx="8">
                    <c:v>0.0743204118622934</c:v>
                  </c:pt>
                  <c:pt idx="9">
                    <c:v>0.00978552026061298</c:v>
                  </c:pt>
                  <c:pt idx="10">
                    <c:v>0.0976627442725863</c:v>
                  </c:pt>
                  <c:pt idx="11">
                    <c:v>0.0180442304058748</c:v>
                  </c:pt>
                  <c:pt idx="12">
                    <c:v>0.0688634832957917</c:v>
                  </c:pt>
                  <c:pt idx="13">
                    <c:v>0.0601268339461663</c:v>
                  </c:pt>
                  <c:pt idx="14">
                    <c:v>0.090832214244491</c:v>
                  </c:pt>
                  <c:pt idx="15">
                    <c:v>0.0964887737086697</c:v>
                  </c:pt>
                  <c:pt idx="16">
                    <c:v>0.108584658800031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6.351228616825923</c:v>
                </c:pt>
                <c:pt idx="1">
                  <c:v>6.566080229215671</c:v>
                </c:pt>
                <c:pt idx="2">
                  <c:v>7.031539781844323</c:v>
                </c:pt>
                <c:pt idx="3">
                  <c:v>7.387007872671427</c:v>
                </c:pt>
                <c:pt idx="4">
                  <c:v>7.849416332008292</c:v>
                </c:pt>
                <c:pt idx="5">
                  <c:v>8.160721288513679</c:v>
                </c:pt>
                <c:pt idx="6">
                  <c:v>8.675700096901248</c:v>
                </c:pt>
                <c:pt idx="7">
                  <c:v>9.13676327942426</c:v>
                </c:pt>
                <c:pt idx="8">
                  <c:v>9.220412215084722</c:v>
                </c:pt>
                <c:pt idx="9">
                  <c:v>9.364567371853064</c:v>
                </c:pt>
                <c:pt idx="10">
                  <c:v>9.446948432678454</c:v>
                </c:pt>
                <c:pt idx="11">
                  <c:v>9.377328150812959</c:v>
                </c:pt>
                <c:pt idx="12">
                  <c:v>9.302232918224424</c:v>
                </c:pt>
                <c:pt idx="13">
                  <c:v>9.258319881547667</c:v>
                </c:pt>
                <c:pt idx="14">
                  <c:v>9.332070351531287</c:v>
                </c:pt>
                <c:pt idx="15">
                  <c:v>9.165442848561974</c:v>
                </c:pt>
                <c:pt idx="16">
                  <c:v>8.92336244467592</c:v>
                </c:pt>
              </c:numCache>
            </c:numRef>
          </c:yVal>
          <c:smooth val="0"/>
        </c:ser>
        <c:ser>
          <c:idx val="11"/>
          <c:order val="11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0.0971049625088505</c:v>
                  </c:pt>
                  <c:pt idx="1">
                    <c:v>0.0633512435810149</c:v>
                  </c:pt>
                  <c:pt idx="2">
                    <c:v>0.0348532799590458</c:v>
                  </c:pt>
                  <c:pt idx="3">
                    <c:v>0.0143314713333908</c:v>
                  </c:pt>
                  <c:pt idx="4">
                    <c:v>0.0637963293597932</c:v>
                  </c:pt>
                  <c:pt idx="5">
                    <c:v>0.0187687684221799</c:v>
                  </c:pt>
                  <c:pt idx="6">
                    <c:v>0.130282995398926</c:v>
                  </c:pt>
                  <c:pt idx="7">
                    <c:v>0.0986815111582816</c:v>
                  </c:pt>
                  <c:pt idx="8">
                    <c:v>0.032906483105294</c:v>
                  </c:pt>
                  <c:pt idx="9">
                    <c:v>0.0457927391568841</c:v>
                  </c:pt>
                  <c:pt idx="10">
                    <c:v>0.0397288880535508</c:v>
                  </c:pt>
                  <c:pt idx="11">
                    <c:v>0.0733365077167484</c:v>
                  </c:pt>
                  <c:pt idx="12">
                    <c:v>0.0540162380962027</c:v>
                  </c:pt>
                  <c:pt idx="13">
                    <c:v>0.0195374679961281</c:v>
                  </c:pt>
                  <c:pt idx="14">
                    <c:v>0.0378228325275845</c:v>
                  </c:pt>
                  <c:pt idx="15">
                    <c:v>0.0386981680284512</c:v>
                  </c:pt>
                  <c:pt idx="16">
                    <c:v>0.0489225795957197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0.0971049625088505</c:v>
                  </c:pt>
                  <c:pt idx="1">
                    <c:v>0.0633512435810149</c:v>
                  </c:pt>
                  <c:pt idx="2">
                    <c:v>0.0348532799590458</c:v>
                  </c:pt>
                  <c:pt idx="3">
                    <c:v>0.0143314713333908</c:v>
                  </c:pt>
                  <c:pt idx="4">
                    <c:v>0.0637963293597932</c:v>
                  </c:pt>
                  <c:pt idx="5">
                    <c:v>0.0187687684221799</c:v>
                  </c:pt>
                  <c:pt idx="6">
                    <c:v>0.130282995398926</c:v>
                  </c:pt>
                  <c:pt idx="7">
                    <c:v>0.0986815111582816</c:v>
                  </c:pt>
                  <c:pt idx="8">
                    <c:v>0.032906483105294</c:v>
                  </c:pt>
                  <c:pt idx="9">
                    <c:v>0.0457927391568841</c:v>
                  </c:pt>
                  <c:pt idx="10">
                    <c:v>0.0397288880535508</c:v>
                  </c:pt>
                  <c:pt idx="11">
                    <c:v>0.0733365077167484</c:v>
                  </c:pt>
                  <c:pt idx="12">
                    <c:v>0.0540162380962027</c:v>
                  </c:pt>
                  <c:pt idx="13">
                    <c:v>0.0195374679961281</c:v>
                  </c:pt>
                  <c:pt idx="14">
                    <c:v>0.0378228325275845</c:v>
                  </c:pt>
                  <c:pt idx="15">
                    <c:v>0.0386981680284512</c:v>
                  </c:pt>
                  <c:pt idx="16">
                    <c:v>0.0489225795957197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7.583952619390595</c:v>
                </c:pt>
                <c:pt idx="1">
                  <c:v>7.853925617627791</c:v>
                </c:pt>
                <c:pt idx="2">
                  <c:v>8.067403003735233</c:v>
                </c:pt>
                <c:pt idx="3">
                  <c:v>8.268657100867498</c:v>
                </c:pt>
                <c:pt idx="4">
                  <c:v>8.589523629926425</c:v>
                </c:pt>
                <c:pt idx="5">
                  <c:v>8.9192424649662</c:v>
                </c:pt>
                <c:pt idx="6">
                  <c:v>9.006963481919264</c:v>
                </c:pt>
                <c:pt idx="7">
                  <c:v>9.229067380759931</c:v>
                </c:pt>
                <c:pt idx="8">
                  <c:v>9.486025458085062</c:v>
                </c:pt>
                <c:pt idx="9">
                  <c:v>9.57309051502565</c:v>
                </c:pt>
                <c:pt idx="10">
                  <c:v>9.754344217855406</c:v>
                </c:pt>
                <c:pt idx="11">
                  <c:v>9.793458332723915</c:v>
                </c:pt>
                <c:pt idx="12">
                  <c:v>9.919313007715456</c:v>
                </c:pt>
                <c:pt idx="13">
                  <c:v>9.96608233183761</c:v>
                </c:pt>
                <c:pt idx="14">
                  <c:v>10.07577553710135</c:v>
                </c:pt>
                <c:pt idx="15">
                  <c:v>10.05092089438127</c:v>
                </c:pt>
                <c:pt idx="16">
                  <c:v>9.71776635360973</c:v>
                </c:pt>
              </c:numCache>
            </c:numRef>
          </c:yVal>
          <c:smooth val="0"/>
        </c:ser>
        <c:ser>
          <c:idx val="12"/>
          <c:order val="12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7.840483283744098</c:v>
                </c:pt>
                <c:pt idx="1">
                  <c:v>7.9889634460516</c:v>
                </c:pt>
                <c:pt idx="2">
                  <c:v>8.177030333220217</c:v>
                </c:pt>
                <c:pt idx="3">
                  <c:v>8.362459523860907</c:v>
                </c:pt>
                <c:pt idx="4">
                  <c:v>8.689847495606565</c:v>
                </c:pt>
                <c:pt idx="5">
                  <c:v>9.009139160447343</c:v>
                </c:pt>
                <c:pt idx="6">
                  <c:v>9.192757984790417</c:v>
                </c:pt>
                <c:pt idx="7">
                  <c:v>9.50540113862795</c:v>
                </c:pt>
                <c:pt idx="8">
                  <c:v>9.691853075619265</c:v>
                </c:pt>
                <c:pt idx="9">
                  <c:v>9.805628655384626</c:v>
                </c:pt>
                <c:pt idx="10">
                  <c:v>9.949647371729964</c:v>
                </c:pt>
                <c:pt idx="11">
                  <c:v>9.95821321425512</c:v>
                </c:pt>
                <c:pt idx="12">
                  <c:v>10.03067495968404</c:v>
                </c:pt>
                <c:pt idx="13">
                  <c:v>10.05875981906867</c:v>
                </c:pt>
                <c:pt idx="14">
                  <c:v>10.1581497164389</c:v>
                </c:pt>
                <c:pt idx="15">
                  <c:v>10.11054462398234</c:v>
                </c:pt>
                <c:pt idx="16">
                  <c:v>9.786906530609945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689512"/>
        <c:axId val="2117972296"/>
      </c:scatterChart>
      <c:valAx>
        <c:axId val="211794621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0798776"/>
        <c:crosses val="autoZero"/>
        <c:crossBetween val="midCat"/>
        <c:majorUnit val="6.0"/>
      </c:valAx>
      <c:valAx>
        <c:axId val="-20907987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946216"/>
        <c:crosses val="autoZero"/>
        <c:crossBetween val="midCat"/>
      </c:valAx>
      <c:valAx>
        <c:axId val="2117972296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0689512"/>
        <c:crosses val="max"/>
        <c:crossBetween val="midCat"/>
        <c:majorUnit val="1.0"/>
        <c:minorUnit val="0.2"/>
      </c:valAx>
      <c:valAx>
        <c:axId val="-209068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1797229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0.0222165566954145</c:v>
                  </c:pt>
                  <c:pt idx="1">
                    <c:v>9.4402311914437E-17</c:v>
                  </c:pt>
                  <c:pt idx="2">
                    <c:v>0.0222165566954145</c:v>
                  </c:pt>
                  <c:pt idx="3">
                    <c:v>0.0128356734798454</c:v>
                  </c:pt>
                  <c:pt idx="4">
                    <c:v>0.0222640271612285</c:v>
                  </c:pt>
                  <c:pt idx="5">
                    <c:v>0.0129115266376143</c:v>
                  </c:pt>
                  <c:pt idx="6">
                    <c:v>0.0130103897818533</c:v>
                  </c:pt>
                  <c:pt idx="7">
                    <c:v>0.0227293782159648</c:v>
                  </c:pt>
                  <c:pt idx="8">
                    <c:v>0.0478882570257986</c:v>
                  </c:pt>
                  <c:pt idx="9">
                    <c:v>0.0</c:v>
                  </c:pt>
                  <c:pt idx="10">
                    <c:v>0.0592066133076027</c:v>
                  </c:pt>
                  <c:pt idx="11">
                    <c:v>0.0831237711534702</c:v>
                  </c:pt>
                  <c:pt idx="12">
                    <c:v>0.150320101784961</c:v>
                  </c:pt>
                  <c:pt idx="13">
                    <c:v>0.0273564944144753</c:v>
                  </c:pt>
                  <c:pt idx="14">
                    <c:v>0.0725899078793828</c:v>
                  </c:pt>
                  <c:pt idx="15">
                    <c:v>0.145179815758766</c:v>
                  </c:pt>
                  <c:pt idx="16">
                    <c:v>0.164618437664516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0.0222165566954145</c:v>
                  </c:pt>
                  <c:pt idx="1">
                    <c:v>9.4402311914437E-17</c:v>
                  </c:pt>
                  <c:pt idx="2">
                    <c:v>0.0222165566954145</c:v>
                  </c:pt>
                  <c:pt idx="3">
                    <c:v>0.0128356734798454</c:v>
                  </c:pt>
                  <c:pt idx="4">
                    <c:v>0.0222640271612285</c:v>
                  </c:pt>
                  <c:pt idx="5">
                    <c:v>0.0129115266376143</c:v>
                  </c:pt>
                  <c:pt idx="6">
                    <c:v>0.0130103897818533</c:v>
                  </c:pt>
                  <c:pt idx="7">
                    <c:v>0.0227293782159648</c:v>
                  </c:pt>
                  <c:pt idx="8">
                    <c:v>0.0478882570257986</c:v>
                  </c:pt>
                  <c:pt idx="9">
                    <c:v>0.0</c:v>
                  </c:pt>
                  <c:pt idx="10">
                    <c:v>0.0592066133076027</c:v>
                  </c:pt>
                  <c:pt idx="11">
                    <c:v>0.0831237711534702</c:v>
                  </c:pt>
                  <c:pt idx="12">
                    <c:v>0.150320101784961</c:v>
                  </c:pt>
                  <c:pt idx="13">
                    <c:v>0.0273564944144753</c:v>
                  </c:pt>
                  <c:pt idx="14">
                    <c:v>0.0725899078793828</c:v>
                  </c:pt>
                  <c:pt idx="15">
                    <c:v>0.145179815758766</c:v>
                  </c:pt>
                  <c:pt idx="16">
                    <c:v>0.164618437664516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0.48876424729912</c:v>
                </c:pt>
                <c:pt idx="1">
                  <c:v>0.533197360689949</c:v>
                </c:pt>
                <c:pt idx="2">
                  <c:v>0.555413917385363</c:v>
                </c:pt>
                <c:pt idx="3">
                  <c:v>0.570622324489053</c:v>
                </c:pt>
                <c:pt idx="4">
                  <c:v>0.623392760514398</c:v>
                </c:pt>
                <c:pt idx="5">
                  <c:v>0.633630237289427</c:v>
                </c:pt>
                <c:pt idx="6">
                  <c:v>0.62345881955364</c:v>
                </c:pt>
                <c:pt idx="7">
                  <c:v>0.613693211831048</c:v>
                </c:pt>
                <c:pt idx="8">
                  <c:v>1.042883113361907</c:v>
                </c:pt>
                <c:pt idx="9">
                  <c:v>1.607055991138383</c:v>
                </c:pt>
                <c:pt idx="10">
                  <c:v>3.819106356306271</c:v>
                </c:pt>
                <c:pt idx="11">
                  <c:v>6.453823027842723</c:v>
                </c:pt>
                <c:pt idx="12">
                  <c:v>6.351256158207081</c:v>
                </c:pt>
                <c:pt idx="13">
                  <c:v>6.388786023076999</c:v>
                </c:pt>
                <c:pt idx="14">
                  <c:v>6.589613284743404</c:v>
                </c:pt>
                <c:pt idx="15">
                  <c:v>6.518331410269018</c:v>
                </c:pt>
                <c:pt idx="16">
                  <c:v>7.342033070861941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0.066653369762629</c:v>
                  </c:pt>
                  <c:pt idx="1">
                    <c:v>0.0509073520435215</c:v>
                  </c:pt>
                  <c:pt idx="2">
                    <c:v>0.134688193411974</c:v>
                  </c:pt>
                  <c:pt idx="3">
                    <c:v>0.107204958602672</c:v>
                  </c:pt>
                  <c:pt idx="4">
                    <c:v>0.0883625232464599</c:v>
                  </c:pt>
                  <c:pt idx="5">
                    <c:v>0.165483383280847</c:v>
                  </c:pt>
                  <c:pt idx="6">
                    <c:v>0.13661667578427</c:v>
                  </c:pt>
                  <c:pt idx="7">
                    <c:v>0.0590559348132653</c:v>
                  </c:pt>
                  <c:pt idx="8">
                    <c:v>0.603991011762437</c:v>
                  </c:pt>
                  <c:pt idx="9">
                    <c:v>0.26454580510328</c:v>
                  </c:pt>
                  <c:pt idx="10">
                    <c:v>0.247040098757448</c:v>
                  </c:pt>
                  <c:pt idx="11">
                    <c:v>0.656938876728661</c:v>
                  </c:pt>
                  <c:pt idx="12">
                    <c:v>1.1675625719344</c:v>
                  </c:pt>
                  <c:pt idx="13">
                    <c:v>0.302256522323153</c:v>
                  </c:pt>
                  <c:pt idx="14">
                    <c:v>0.458303774055219</c:v>
                  </c:pt>
                  <c:pt idx="15">
                    <c:v>1.310735612199677</c:v>
                  </c:pt>
                  <c:pt idx="16">
                    <c:v>1.25123049549033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0.066653369762629</c:v>
                  </c:pt>
                  <c:pt idx="1">
                    <c:v>0.0509073520435215</c:v>
                  </c:pt>
                  <c:pt idx="2">
                    <c:v>0.134688193411974</c:v>
                  </c:pt>
                  <c:pt idx="3">
                    <c:v>0.107204958602672</c:v>
                  </c:pt>
                  <c:pt idx="4">
                    <c:v>0.0883625232464599</c:v>
                  </c:pt>
                  <c:pt idx="5">
                    <c:v>0.165483383280847</c:v>
                  </c:pt>
                  <c:pt idx="6">
                    <c:v>0.13661667578427</c:v>
                  </c:pt>
                  <c:pt idx="7">
                    <c:v>0.0590559348132653</c:v>
                  </c:pt>
                  <c:pt idx="8">
                    <c:v>0.603991011762437</c:v>
                  </c:pt>
                  <c:pt idx="9">
                    <c:v>0.26454580510328</c:v>
                  </c:pt>
                  <c:pt idx="10">
                    <c:v>0.247040098757448</c:v>
                  </c:pt>
                  <c:pt idx="11">
                    <c:v>0.656938876728661</c:v>
                  </c:pt>
                  <c:pt idx="12">
                    <c:v>1.1675625719344</c:v>
                  </c:pt>
                  <c:pt idx="13">
                    <c:v>0.302256522323153</c:v>
                  </c:pt>
                  <c:pt idx="14">
                    <c:v>0.458303774055219</c:v>
                  </c:pt>
                  <c:pt idx="15">
                    <c:v>1.310735612199677</c:v>
                  </c:pt>
                  <c:pt idx="16">
                    <c:v>1.25123049549033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2.332867941692021</c:v>
                </c:pt>
                <c:pt idx="1">
                  <c:v>2.421739101375525</c:v>
                </c:pt>
                <c:pt idx="2">
                  <c:v>2.643917000584289</c:v>
                </c:pt>
                <c:pt idx="3">
                  <c:v>2.990375178326067</c:v>
                </c:pt>
                <c:pt idx="4">
                  <c:v>3.940951554848438</c:v>
                </c:pt>
                <c:pt idx="5">
                  <c:v>5.412248087204838</c:v>
                </c:pt>
                <c:pt idx="6">
                  <c:v>8.67632419938239</c:v>
                </c:pt>
                <c:pt idx="7">
                  <c:v>14.66126274052399</c:v>
                </c:pt>
                <c:pt idx="8">
                  <c:v>24.66248724909602</c:v>
                </c:pt>
                <c:pt idx="9">
                  <c:v>36.31216468399382</c:v>
                </c:pt>
                <c:pt idx="10">
                  <c:v>47.53757328946941</c:v>
                </c:pt>
                <c:pt idx="11">
                  <c:v>53.14047785734475</c:v>
                </c:pt>
                <c:pt idx="12">
                  <c:v>56.96327838026733</c:v>
                </c:pt>
                <c:pt idx="13">
                  <c:v>58.18935523317522</c:v>
                </c:pt>
                <c:pt idx="14">
                  <c:v>59.22664482278559</c:v>
                </c:pt>
                <c:pt idx="15">
                  <c:v>57.15935571563117</c:v>
                </c:pt>
                <c:pt idx="16">
                  <c:v>59.93950313559743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0.0251017225237858</c:v>
                  </c:pt>
                  <c:pt idx="1">
                    <c:v>0.0251017225237858</c:v>
                  </c:pt>
                  <c:pt idx="2">
                    <c:v>0.0434774587686931</c:v>
                  </c:pt>
                  <c:pt idx="3">
                    <c:v>0.0251192150133493</c:v>
                  </c:pt>
                  <c:pt idx="4">
                    <c:v>1.85138613413574E-16</c:v>
                  </c:pt>
                  <c:pt idx="5">
                    <c:v>0.0668519405327079</c:v>
                  </c:pt>
                  <c:pt idx="6">
                    <c:v>0.0440999744525377</c:v>
                  </c:pt>
                  <c:pt idx="7">
                    <c:v>0.0513622838081915</c:v>
                  </c:pt>
                  <c:pt idx="8">
                    <c:v>0.113297821001854</c:v>
                  </c:pt>
                  <c:pt idx="9">
                    <c:v>0.0263153222550247</c:v>
                  </c:pt>
                  <c:pt idx="10">
                    <c:v>0.046040650291378</c:v>
                  </c:pt>
                  <c:pt idx="11">
                    <c:v>0.201905991388455</c:v>
                  </c:pt>
                  <c:pt idx="12">
                    <c:v>0.0267431018679305</c:v>
                  </c:pt>
                  <c:pt idx="13">
                    <c:v>0.0267681188013897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0.0251017225237858</c:v>
                  </c:pt>
                  <c:pt idx="1">
                    <c:v>0.0251017225237858</c:v>
                  </c:pt>
                  <c:pt idx="2">
                    <c:v>0.0434774587686931</c:v>
                  </c:pt>
                  <c:pt idx="3">
                    <c:v>0.0251192150133493</c:v>
                  </c:pt>
                  <c:pt idx="4">
                    <c:v>1.85138613413574E-16</c:v>
                  </c:pt>
                  <c:pt idx="5">
                    <c:v>0.0668519405327079</c:v>
                  </c:pt>
                  <c:pt idx="6">
                    <c:v>0.0440999744525377</c:v>
                  </c:pt>
                  <c:pt idx="7">
                    <c:v>0.0513622838081915</c:v>
                  </c:pt>
                  <c:pt idx="8">
                    <c:v>0.113297821001854</c:v>
                  </c:pt>
                  <c:pt idx="9">
                    <c:v>0.0263153222550247</c:v>
                  </c:pt>
                  <c:pt idx="10">
                    <c:v>0.046040650291378</c:v>
                  </c:pt>
                  <c:pt idx="11">
                    <c:v>0.201905991388455</c:v>
                  </c:pt>
                  <c:pt idx="12">
                    <c:v>0.0267431018679305</c:v>
                  </c:pt>
                  <c:pt idx="13">
                    <c:v>0.0267681188013897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1.246353818035867</c:v>
                </c:pt>
                <c:pt idx="1">
                  <c:v>1.14490641424225</c:v>
                </c:pt>
                <c:pt idx="2">
                  <c:v>1.043459010448633</c:v>
                </c:pt>
                <c:pt idx="3">
                  <c:v>0.942668060736308</c:v>
                </c:pt>
                <c:pt idx="4">
                  <c:v>0.958547870237589</c:v>
                </c:pt>
                <c:pt idx="5">
                  <c:v>1.677653283441396</c:v>
                </c:pt>
                <c:pt idx="6">
                  <c:v>3.439798007297938</c:v>
                </c:pt>
                <c:pt idx="7">
                  <c:v>4.2850071013223</c:v>
                </c:pt>
                <c:pt idx="8">
                  <c:v>5.477431991420046</c:v>
                </c:pt>
                <c:pt idx="9">
                  <c:v>6.669796532222346</c:v>
                </c:pt>
                <c:pt idx="10">
                  <c:v>5.985284537879138</c:v>
                </c:pt>
                <c:pt idx="11">
                  <c:v>3.751953306166904</c:v>
                </c:pt>
                <c:pt idx="12">
                  <c:v>1.497693295054278</c:v>
                </c:pt>
                <c:pt idx="13">
                  <c:v>0.216364128339551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0.0170607493059673</c:v>
                </c:pt>
                <c:pt idx="1">
                  <c:v>0.0574954862768345</c:v>
                </c:pt>
                <c:pt idx="2">
                  <c:v>0.107617122526301</c:v>
                </c:pt>
                <c:pt idx="3">
                  <c:v>0.161931083194466</c:v>
                </c:pt>
                <c:pt idx="4">
                  <c:v>0.220420631446309</c:v>
                </c:pt>
                <c:pt idx="5">
                  <c:v>0.28493676092631</c:v>
                </c:pt>
                <c:pt idx="6">
                  <c:v>0.356943497294105</c:v>
                </c:pt>
                <c:pt idx="7">
                  <c:v>0.440474459491526</c:v>
                </c:pt>
                <c:pt idx="8">
                  <c:v>0.538271183804361</c:v>
                </c:pt>
                <c:pt idx="9">
                  <c:v>0.657209902628115</c:v>
                </c:pt>
                <c:pt idx="10">
                  <c:v>0.809495490238988</c:v>
                </c:pt>
                <c:pt idx="11">
                  <c:v>1.011409238668181</c:v>
                </c:pt>
                <c:pt idx="12">
                  <c:v>1.293404507908282</c:v>
                </c:pt>
                <c:pt idx="13">
                  <c:v>1.680564193291207</c:v>
                </c:pt>
                <c:pt idx="14">
                  <c:v>2.198186408253864</c:v>
                </c:pt>
                <c:pt idx="15">
                  <c:v>2.885299656191954</c:v>
                </c:pt>
                <c:pt idx="16">
                  <c:v>3.75878802085432</c:v>
                </c:pt>
                <c:pt idx="17">
                  <c:v>4.64616843575764</c:v>
                </c:pt>
                <c:pt idx="18">
                  <c:v>5.715318170211835</c:v>
                </c:pt>
                <c:pt idx="19">
                  <c:v>7.109307988844872</c:v>
                </c:pt>
                <c:pt idx="20">
                  <c:v>8.671954078904594</c:v>
                </c:pt>
                <c:pt idx="21">
                  <c:v>10.39137139583002</c:v>
                </c:pt>
                <c:pt idx="22">
                  <c:v>12.20948848114221</c:v>
                </c:pt>
                <c:pt idx="23">
                  <c:v>14.13792969939503</c:v>
                </c:pt>
                <c:pt idx="24">
                  <c:v>16.15843825342544</c:v>
                </c:pt>
                <c:pt idx="25">
                  <c:v>18.20822871667533</c:v>
                </c:pt>
                <c:pt idx="26">
                  <c:v>20.29373254327731</c:v>
                </c:pt>
                <c:pt idx="27">
                  <c:v>22.36318009589682</c:v>
                </c:pt>
                <c:pt idx="28">
                  <c:v>24.43133703371404</c:v>
                </c:pt>
                <c:pt idx="29">
                  <c:v>26.53898276839333</c:v>
                </c:pt>
                <c:pt idx="30">
                  <c:v>28.60958900165578</c:v>
                </c:pt>
                <c:pt idx="31">
                  <c:v>30.65181288102228</c:v>
                </c:pt>
                <c:pt idx="32">
                  <c:v>32.56144837862472</c:v>
                </c:pt>
                <c:pt idx="33">
                  <c:v>34.2359692579491</c:v>
                </c:pt>
                <c:pt idx="34">
                  <c:v>35.76818926950681</c:v>
                </c:pt>
                <c:pt idx="35">
                  <c:v>37.18238614120585</c:v>
                </c:pt>
                <c:pt idx="36">
                  <c:v>38.45823287312935</c:v>
                </c:pt>
                <c:pt idx="37">
                  <c:v>39.61606773535674</c:v>
                </c:pt>
                <c:pt idx="38">
                  <c:v>40.6554409868231</c:v>
                </c:pt>
                <c:pt idx="39">
                  <c:v>41.56299368786412</c:v>
                </c:pt>
                <c:pt idx="40">
                  <c:v>42.33821694520537</c:v>
                </c:pt>
                <c:pt idx="41">
                  <c:v>42.99856491398329</c:v>
                </c:pt>
                <c:pt idx="42">
                  <c:v>43.5514219499845</c:v>
                </c:pt>
                <c:pt idx="43">
                  <c:v>44.01566769896562</c:v>
                </c:pt>
                <c:pt idx="44">
                  <c:v>44.40855295523721</c:v>
                </c:pt>
                <c:pt idx="45">
                  <c:v>44.73817481989595</c:v>
                </c:pt>
                <c:pt idx="46">
                  <c:v>45.01964634253192</c:v>
                </c:pt>
                <c:pt idx="47">
                  <c:v>45.25924763947133</c:v>
                </c:pt>
                <c:pt idx="48">
                  <c:v>45.46787036909336</c:v>
                </c:pt>
                <c:pt idx="49">
                  <c:v>45.65405282403707</c:v>
                </c:pt>
                <c:pt idx="50">
                  <c:v>45.8149766985335</c:v>
                </c:pt>
                <c:pt idx="51">
                  <c:v>45.95217325368856</c:v>
                </c:pt>
                <c:pt idx="52">
                  <c:v>46.0704324559691</c:v>
                </c:pt>
                <c:pt idx="53">
                  <c:v>46.1735313472668</c:v>
                </c:pt>
                <c:pt idx="54">
                  <c:v>46.26407090312167</c:v>
                </c:pt>
                <c:pt idx="55">
                  <c:v>46.34492365785377</c:v>
                </c:pt>
                <c:pt idx="56">
                  <c:v>46.41561206037644</c:v>
                </c:pt>
                <c:pt idx="57">
                  <c:v>46.47742007777343</c:v>
                </c:pt>
                <c:pt idx="58">
                  <c:v>46.53304729343073</c:v>
                </c:pt>
                <c:pt idx="59">
                  <c:v>46.58318499481319</c:v>
                </c:pt>
                <c:pt idx="60">
                  <c:v>46.62896666420532</c:v>
                </c:pt>
                <c:pt idx="61">
                  <c:v>46.67252045577304</c:v>
                </c:pt>
                <c:pt idx="62">
                  <c:v>46.71362884159621</c:v>
                </c:pt>
                <c:pt idx="63">
                  <c:v>46.75156282418925</c:v>
                </c:pt>
                <c:pt idx="64">
                  <c:v>46.78659985781907</c:v>
                </c:pt>
                <c:pt idx="65">
                  <c:v>46.81828078287533</c:v>
                </c:pt>
                <c:pt idx="66">
                  <c:v>46.84733405281566</c:v>
                </c:pt>
                <c:pt idx="67">
                  <c:v>46.8744445988597</c:v>
                </c:pt>
                <c:pt idx="68">
                  <c:v>46.89928274005503</c:v>
                </c:pt>
                <c:pt idx="69">
                  <c:v>46.92240392896342</c:v>
                </c:pt>
                <c:pt idx="70">
                  <c:v>46.94432825632833</c:v>
                </c:pt>
                <c:pt idx="71">
                  <c:v>46.96547190355008</c:v>
                </c:pt>
                <c:pt idx="72">
                  <c:v>46.98620807381908</c:v>
                </c:pt>
                <c:pt idx="73">
                  <c:v>47.00627617773561</c:v>
                </c:pt>
                <c:pt idx="74">
                  <c:v>47.02577196422317</c:v>
                </c:pt>
                <c:pt idx="75">
                  <c:v>47.04485156931037</c:v>
                </c:pt>
                <c:pt idx="76">
                  <c:v>47.06361019789274</c:v>
                </c:pt>
                <c:pt idx="77">
                  <c:v>47.08255978029408</c:v>
                </c:pt>
                <c:pt idx="78">
                  <c:v>47.10183033920027</c:v>
                </c:pt>
                <c:pt idx="79">
                  <c:v>47.12084955718232</c:v>
                </c:pt>
                <c:pt idx="80">
                  <c:v>47.13900159457332</c:v>
                </c:pt>
                <c:pt idx="81">
                  <c:v>47.15668522387843</c:v>
                </c:pt>
                <c:pt idx="82">
                  <c:v>47.17416919491697</c:v>
                </c:pt>
                <c:pt idx="83">
                  <c:v>47.18273763551243</c:v>
                </c:pt>
                <c:pt idx="84">
                  <c:v>47.18273763551243</c:v>
                </c:pt>
                <c:pt idx="85">
                  <c:v>47.18273763551243</c:v>
                </c:pt>
                <c:pt idx="86">
                  <c:v>47.18273763551243</c:v>
                </c:pt>
                <c:pt idx="87">
                  <c:v>47.18273763551243</c:v>
                </c:pt>
                <c:pt idx="88">
                  <c:v>47.18273763551243</c:v>
                </c:pt>
                <c:pt idx="89">
                  <c:v>47.18273763551243</c:v>
                </c:pt>
                <c:pt idx="90">
                  <c:v>47.18273763551243</c:v>
                </c:pt>
                <c:pt idx="91">
                  <c:v>47.18273763551243</c:v>
                </c:pt>
                <c:pt idx="92">
                  <c:v>47.18273763551243</c:v>
                </c:pt>
                <c:pt idx="93">
                  <c:v>47.18273763551243</c:v>
                </c:pt>
                <c:pt idx="94">
                  <c:v>47.18273763551243</c:v>
                </c:pt>
                <c:pt idx="95">
                  <c:v>47.18273763551243</c:v>
                </c:pt>
                <c:pt idx="96">
                  <c:v>47.18273763551243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0.457511854749643</c:v>
                  </c:pt>
                  <c:pt idx="1">
                    <c:v>0.286312148284196</c:v>
                  </c:pt>
                  <c:pt idx="2">
                    <c:v>0.224467862299873</c:v>
                  </c:pt>
                  <c:pt idx="3">
                    <c:v>0.434284157593346</c:v>
                  </c:pt>
                  <c:pt idx="4">
                    <c:v>0.517848062505626</c:v>
                  </c:pt>
                  <c:pt idx="5">
                    <c:v>0.158659495578382</c:v>
                  </c:pt>
                  <c:pt idx="6">
                    <c:v>0.316556445878528</c:v>
                  </c:pt>
                  <c:pt idx="7">
                    <c:v>0.204879846542686</c:v>
                  </c:pt>
                  <c:pt idx="8">
                    <c:v>0.584965475048906</c:v>
                  </c:pt>
                  <c:pt idx="9">
                    <c:v>0.0763635570072543</c:v>
                  </c:pt>
                  <c:pt idx="10">
                    <c:v>0.0475402502468398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0.457511854749643</c:v>
                  </c:pt>
                  <c:pt idx="1">
                    <c:v>0.286312148284196</c:v>
                  </c:pt>
                  <c:pt idx="2">
                    <c:v>0.224467862299873</c:v>
                  </c:pt>
                  <c:pt idx="3">
                    <c:v>0.434284157593346</c:v>
                  </c:pt>
                  <c:pt idx="4">
                    <c:v>0.517848062505626</c:v>
                  </c:pt>
                  <c:pt idx="5">
                    <c:v>0.158659495578382</c:v>
                  </c:pt>
                  <c:pt idx="6">
                    <c:v>0.316556445878528</c:v>
                  </c:pt>
                  <c:pt idx="7">
                    <c:v>0.204879846542686</c:v>
                  </c:pt>
                  <c:pt idx="8">
                    <c:v>0.584965475048906</c:v>
                  </c:pt>
                  <c:pt idx="9">
                    <c:v>0.0763635570072543</c:v>
                  </c:pt>
                  <c:pt idx="10">
                    <c:v>0.0475402502468398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50.13536294265212</c:v>
                </c:pt>
                <c:pt idx="1">
                  <c:v>50.24644572612918</c:v>
                </c:pt>
                <c:pt idx="2">
                  <c:v>50.03909119697197</c:v>
                </c:pt>
                <c:pt idx="3">
                  <c:v>50.10360436195441</c:v>
                </c:pt>
                <c:pt idx="4">
                  <c:v>48.9697277411221</c:v>
                </c:pt>
                <c:pt idx="5">
                  <c:v>47.28372464855102</c:v>
                </c:pt>
                <c:pt idx="6">
                  <c:v>42.83462552415218</c:v>
                </c:pt>
                <c:pt idx="7">
                  <c:v>35.0259718308017</c:v>
                </c:pt>
                <c:pt idx="8">
                  <c:v>24.63044529498857</c:v>
                </c:pt>
                <c:pt idx="9">
                  <c:v>15.65132791369555</c:v>
                </c:pt>
                <c:pt idx="10">
                  <c:v>6.86576512309269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0.0454265674071715</c:v>
                  </c:pt>
                  <c:pt idx="2">
                    <c:v>0.0262270409208911</c:v>
                  </c:pt>
                  <c:pt idx="3">
                    <c:v>0.0262453176044597</c:v>
                  </c:pt>
                  <c:pt idx="4">
                    <c:v>0.129429161964254</c:v>
                  </c:pt>
                  <c:pt idx="5">
                    <c:v>0.0228634307817227</c:v>
                  </c:pt>
                  <c:pt idx="6">
                    <c:v>0.0959169048394009</c:v>
                  </c:pt>
                  <c:pt idx="7">
                    <c:v>0.0584799381630322</c:v>
                  </c:pt>
                  <c:pt idx="8">
                    <c:v>0.355130997665328</c:v>
                  </c:pt>
                  <c:pt idx="9">
                    <c:v>0.131143014571144</c:v>
                  </c:pt>
                  <c:pt idx="10">
                    <c:v>0.173998867492831</c:v>
                  </c:pt>
                  <c:pt idx="11">
                    <c:v>0.242387824098223</c:v>
                  </c:pt>
                  <c:pt idx="12">
                    <c:v>0.480529356333128</c:v>
                  </c:pt>
                  <c:pt idx="13">
                    <c:v>0.164869767263802</c:v>
                  </c:pt>
                  <c:pt idx="14">
                    <c:v>0.198837564318437</c:v>
                  </c:pt>
                  <c:pt idx="15">
                    <c:v>0.542639377722103</c:v>
                  </c:pt>
                  <c:pt idx="16">
                    <c:v>0.37344231228607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0.0454265674071715</c:v>
                  </c:pt>
                  <c:pt idx="2">
                    <c:v>0.0262270409208911</c:v>
                  </c:pt>
                  <c:pt idx="3">
                    <c:v>0.0262453176044597</c:v>
                  </c:pt>
                  <c:pt idx="4">
                    <c:v>0.129429161964254</c:v>
                  </c:pt>
                  <c:pt idx="5">
                    <c:v>0.0228634307817227</c:v>
                  </c:pt>
                  <c:pt idx="6">
                    <c:v>0.0959169048394009</c:v>
                  </c:pt>
                  <c:pt idx="7">
                    <c:v>0.0584799381630322</c:v>
                  </c:pt>
                  <c:pt idx="8">
                    <c:v>0.355130997665328</c:v>
                  </c:pt>
                  <c:pt idx="9">
                    <c:v>0.131143014571144</c:v>
                  </c:pt>
                  <c:pt idx="10">
                    <c:v>0.173998867492831</c:v>
                  </c:pt>
                  <c:pt idx="11">
                    <c:v>0.242387824098223</c:v>
                  </c:pt>
                  <c:pt idx="12">
                    <c:v>0.480529356333128</c:v>
                  </c:pt>
                  <c:pt idx="13">
                    <c:v>0.164869767263802</c:v>
                  </c:pt>
                  <c:pt idx="14">
                    <c:v>0.198837564318437</c:v>
                  </c:pt>
                  <c:pt idx="15">
                    <c:v>0.542639377722103</c:v>
                  </c:pt>
                  <c:pt idx="16">
                    <c:v>0.37344231228607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0.204419553332272</c:v>
                </c:pt>
                <c:pt idx="2">
                  <c:v>0.151421891357238</c:v>
                </c:pt>
                <c:pt idx="3">
                  <c:v>0.3712421590056</c:v>
                </c:pt>
                <c:pt idx="4">
                  <c:v>1.828532514548915</c:v>
                </c:pt>
                <c:pt idx="5">
                  <c:v>4.023963817583194</c:v>
                </c:pt>
                <c:pt idx="6">
                  <c:v>7.825408915776738</c:v>
                </c:pt>
                <c:pt idx="7">
                  <c:v>12.18423311386838</c:v>
                </c:pt>
                <c:pt idx="8">
                  <c:v>16.55746390863901</c:v>
                </c:pt>
                <c:pt idx="9">
                  <c:v>20.43812600742785</c:v>
                </c:pt>
                <c:pt idx="10">
                  <c:v>22.43281000979131</c:v>
                </c:pt>
                <c:pt idx="11">
                  <c:v>22.25454018027493</c:v>
                </c:pt>
                <c:pt idx="12">
                  <c:v>23.33540585050213</c:v>
                </c:pt>
                <c:pt idx="13">
                  <c:v>23.74477298959737</c:v>
                </c:pt>
                <c:pt idx="14">
                  <c:v>24.60766912169386</c:v>
                </c:pt>
                <c:pt idx="15">
                  <c:v>24.21899912569474</c:v>
                </c:pt>
                <c:pt idx="16">
                  <c:v>26.07327889827384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0.00855079483096402</c:v>
                </c:pt>
                <c:pt idx="1">
                  <c:v>0.0533836049835135</c:v>
                </c:pt>
                <c:pt idx="2">
                  <c:v>0.132574911571224</c:v>
                </c:pt>
                <c:pt idx="3">
                  <c:v>0.228269744123347</c:v>
                </c:pt>
                <c:pt idx="4">
                  <c:v>0.361256009475238</c:v>
                </c:pt>
                <c:pt idx="5">
                  <c:v>0.540950507397531</c:v>
                </c:pt>
                <c:pt idx="6">
                  <c:v>0.761669810703457</c:v>
                </c:pt>
                <c:pt idx="7">
                  <c:v>1.02911109555477</c:v>
                </c:pt>
                <c:pt idx="8">
                  <c:v>1.378173561030944</c:v>
                </c:pt>
                <c:pt idx="9">
                  <c:v>1.821417658326243</c:v>
                </c:pt>
                <c:pt idx="10">
                  <c:v>2.434215785088428</c:v>
                </c:pt>
                <c:pt idx="11">
                  <c:v>3.346951316568236</c:v>
                </c:pt>
                <c:pt idx="12">
                  <c:v>4.562359098810165</c:v>
                </c:pt>
                <c:pt idx="13">
                  <c:v>6.26593818783457</c:v>
                </c:pt>
                <c:pt idx="14">
                  <c:v>8.394152778717787</c:v>
                </c:pt>
                <c:pt idx="15">
                  <c:v>10.92796423456799</c:v>
                </c:pt>
                <c:pt idx="16">
                  <c:v>14.06980818347892</c:v>
                </c:pt>
                <c:pt idx="17">
                  <c:v>16.94723354629698</c:v>
                </c:pt>
                <c:pt idx="18">
                  <c:v>19.47873013224863</c:v>
                </c:pt>
                <c:pt idx="19">
                  <c:v>22.00518630418697</c:v>
                </c:pt>
                <c:pt idx="20">
                  <c:v>24.38589307442867</c:v>
                </c:pt>
                <c:pt idx="21">
                  <c:v>26.94586441572003</c:v>
                </c:pt>
                <c:pt idx="22">
                  <c:v>29.73016499855924</c:v>
                </c:pt>
                <c:pt idx="23">
                  <c:v>32.66877611252955</c:v>
                </c:pt>
                <c:pt idx="24">
                  <c:v>35.59300845119397</c:v>
                </c:pt>
                <c:pt idx="25">
                  <c:v>38.6062878099631</c:v>
                </c:pt>
                <c:pt idx="26">
                  <c:v>41.68564944780957</c:v>
                </c:pt>
                <c:pt idx="27">
                  <c:v>44.82193742521405</c:v>
                </c:pt>
                <c:pt idx="28">
                  <c:v>48.19153720187853</c:v>
                </c:pt>
                <c:pt idx="29">
                  <c:v>51.26771136736132</c:v>
                </c:pt>
                <c:pt idx="30">
                  <c:v>53.77812558669924</c:v>
                </c:pt>
                <c:pt idx="31">
                  <c:v>55.9252062505923</c:v>
                </c:pt>
                <c:pt idx="32">
                  <c:v>57.64722853774667</c:v>
                </c:pt>
                <c:pt idx="33">
                  <c:v>58.98764748036844</c:v>
                </c:pt>
                <c:pt idx="34">
                  <c:v>60.12112580879392</c:v>
                </c:pt>
                <c:pt idx="35">
                  <c:v>61.08988723544112</c:v>
                </c:pt>
                <c:pt idx="36">
                  <c:v>61.89889717431154</c:v>
                </c:pt>
                <c:pt idx="37">
                  <c:v>62.56636031594713</c:v>
                </c:pt>
                <c:pt idx="38">
                  <c:v>63.07322931513229</c:v>
                </c:pt>
                <c:pt idx="39">
                  <c:v>63.41426394652732</c:v>
                </c:pt>
                <c:pt idx="40">
                  <c:v>63.61810075464423</c:v>
                </c:pt>
                <c:pt idx="41">
                  <c:v>63.71680050698367</c:v>
                </c:pt>
                <c:pt idx="42">
                  <c:v>63.76293197703924</c:v>
                </c:pt>
                <c:pt idx="43">
                  <c:v>63.7916097831681</c:v>
                </c:pt>
                <c:pt idx="44">
                  <c:v>63.81442843970451</c:v>
                </c:pt>
                <c:pt idx="45">
                  <c:v>63.83592623329208</c:v>
                </c:pt>
                <c:pt idx="46">
                  <c:v>63.85370999015359</c:v>
                </c:pt>
                <c:pt idx="47">
                  <c:v>63.87264956349657</c:v>
                </c:pt>
                <c:pt idx="48">
                  <c:v>63.89611579985708</c:v>
                </c:pt>
                <c:pt idx="49">
                  <c:v>63.9210961099955</c:v>
                </c:pt>
                <c:pt idx="50">
                  <c:v>63.94768099178502</c:v>
                </c:pt>
                <c:pt idx="51">
                  <c:v>63.97691124845878</c:v>
                </c:pt>
                <c:pt idx="52">
                  <c:v>64.00644507274221</c:v>
                </c:pt>
                <c:pt idx="53">
                  <c:v>64.0364992986422</c:v>
                </c:pt>
                <c:pt idx="54">
                  <c:v>64.06794126218641</c:v>
                </c:pt>
                <c:pt idx="55">
                  <c:v>64.09994699414856</c:v>
                </c:pt>
                <c:pt idx="56">
                  <c:v>64.12969765243891</c:v>
                </c:pt>
                <c:pt idx="57">
                  <c:v>64.15966514473615</c:v>
                </c:pt>
                <c:pt idx="58">
                  <c:v>64.19093364107483</c:v>
                </c:pt>
                <c:pt idx="59">
                  <c:v>64.22350314145494</c:v>
                </c:pt>
                <c:pt idx="60">
                  <c:v>64.2592006750073</c:v>
                </c:pt>
                <c:pt idx="61">
                  <c:v>64.2945265874915</c:v>
                </c:pt>
                <c:pt idx="62">
                  <c:v>64.33158903726969</c:v>
                </c:pt>
                <c:pt idx="63">
                  <c:v>64.3682402018993</c:v>
                </c:pt>
                <c:pt idx="64">
                  <c:v>64.40301773418537</c:v>
                </c:pt>
                <c:pt idx="65">
                  <c:v>64.43907482026702</c:v>
                </c:pt>
                <c:pt idx="66">
                  <c:v>64.4712932449619</c:v>
                </c:pt>
                <c:pt idx="67">
                  <c:v>64.50003859506877</c:v>
                </c:pt>
                <c:pt idx="68">
                  <c:v>64.5332623834602</c:v>
                </c:pt>
                <c:pt idx="69">
                  <c:v>64.56621198175255</c:v>
                </c:pt>
                <c:pt idx="70">
                  <c:v>64.5987045965465</c:v>
                </c:pt>
                <c:pt idx="71">
                  <c:v>64.63389341398114</c:v>
                </c:pt>
                <c:pt idx="72">
                  <c:v>64.66414680963281</c:v>
                </c:pt>
                <c:pt idx="73">
                  <c:v>64.69293785808952</c:v>
                </c:pt>
                <c:pt idx="74">
                  <c:v>64.72364823723962</c:v>
                </c:pt>
                <c:pt idx="75">
                  <c:v>64.75463280648876</c:v>
                </c:pt>
                <c:pt idx="76">
                  <c:v>64.78959313217419</c:v>
                </c:pt>
                <c:pt idx="77">
                  <c:v>64.82299971396499</c:v>
                </c:pt>
                <c:pt idx="78">
                  <c:v>64.8536186964154</c:v>
                </c:pt>
                <c:pt idx="79">
                  <c:v>64.8839177904169</c:v>
                </c:pt>
                <c:pt idx="80">
                  <c:v>64.90973790210587</c:v>
                </c:pt>
                <c:pt idx="81">
                  <c:v>64.9346897451478</c:v>
                </c:pt>
                <c:pt idx="82">
                  <c:v>64.95859052614342</c:v>
                </c:pt>
                <c:pt idx="83">
                  <c:v>64.97938327532175</c:v>
                </c:pt>
                <c:pt idx="84">
                  <c:v>64.99962764430196</c:v>
                </c:pt>
                <c:pt idx="85">
                  <c:v>65.02329993354834</c:v>
                </c:pt>
                <c:pt idx="86">
                  <c:v>65.05003455626213</c:v>
                </c:pt>
                <c:pt idx="87">
                  <c:v>65.07640359217718</c:v>
                </c:pt>
                <c:pt idx="88">
                  <c:v>65.10290972314176</c:v>
                </c:pt>
                <c:pt idx="89">
                  <c:v>65.12891317225808</c:v>
                </c:pt>
                <c:pt idx="90">
                  <c:v>65.15304244500288</c:v>
                </c:pt>
                <c:pt idx="91">
                  <c:v>65.17662333754957</c:v>
                </c:pt>
                <c:pt idx="92">
                  <c:v>65.20098164607155</c:v>
                </c:pt>
                <c:pt idx="93">
                  <c:v>65.22684800013835</c:v>
                </c:pt>
                <c:pt idx="94">
                  <c:v>65.25298854430419</c:v>
                </c:pt>
                <c:pt idx="95">
                  <c:v>65.2767065319004</c:v>
                </c:pt>
                <c:pt idx="96">
                  <c:v>65.30151975290522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22408"/>
        <c:axId val="-208921384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3245.0</c:v>
                </c:pt>
                <c:pt idx="1">
                  <c:v>3544.0</c:v>
                </c:pt>
                <c:pt idx="2">
                  <c:v>4930.0</c:v>
                </c:pt>
                <c:pt idx="3">
                  <c:v>6974.0</c:v>
                </c:pt>
                <c:pt idx="4">
                  <c:v>20432.0</c:v>
                </c:pt>
                <c:pt idx="5">
                  <c:v>5197.0</c:v>
                </c:pt>
                <c:pt idx="6">
                  <c:v>8466.0</c:v>
                </c:pt>
                <c:pt idx="7">
                  <c:v>12967.0</c:v>
                </c:pt>
                <c:pt idx="8">
                  <c:v>20382.0</c:v>
                </c:pt>
                <c:pt idx="9">
                  <c:v>21255.0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0.00924164575891835</c:v>
                  </c:pt>
                  <c:pt idx="5">
                    <c:v>0.00924164575891835</c:v>
                  </c:pt>
                  <c:pt idx="6">
                    <c:v>0.0640279999999998</c:v>
                  </c:pt>
                  <c:pt idx="7">
                    <c:v>0.0606015239274834</c:v>
                  </c:pt>
                  <c:pt idx="8">
                    <c:v>0.0847010824724219</c:v>
                  </c:pt>
                  <c:pt idx="9">
                    <c:v>0.0640279999999992</c:v>
                  </c:pt>
                  <c:pt idx="10">
                    <c:v>0.53697063526913</c:v>
                  </c:pt>
                  <c:pt idx="11">
                    <c:v>0.305394095941621</c:v>
                  </c:pt>
                  <c:pt idx="12">
                    <c:v>0.315301333666701</c:v>
                  </c:pt>
                  <c:pt idx="13">
                    <c:v>0.30427337988285</c:v>
                  </c:pt>
                  <c:pt idx="14">
                    <c:v>0.205821223641619</c:v>
                  </c:pt>
                  <c:pt idx="15">
                    <c:v>0.0739331660713468</c:v>
                  </c:pt>
                  <c:pt idx="16">
                    <c:v>0.0937924606902567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0.00924164575891835</c:v>
                  </c:pt>
                  <c:pt idx="5">
                    <c:v>0.00924164575891835</c:v>
                  </c:pt>
                  <c:pt idx="6">
                    <c:v>0.0640279999999998</c:v>
                  </c:pt>
                  <c:pt idx="7">
                    <c:v>0.0606015239274834</c:v>
                  </c:pt>
                  <c:pt idx="8">
                    <c:v>0.0847010824724219</c:v>
                  </c:pt>
                  <c:pt idx="9">
                    <c:v>0.0640279999999992</c:v>
                  </c:pt>
                  <c:pt idx="10">
                    <c:v>0.53697063526913</c:v>
                  </c:pt>
                  <c:pt idx="11">
                    <c:v>0.305394095941621</c:v>
                  </c:pt>
                  <c:pt idx="12">
                    <c:v>0.315301333666701</c:v>
                  </c:pt>
                  <c:pt idx="13">
                    <c:v>0.30427337988285</c:v>
                  </c:pt>
                  <c:pt idx="14">
                    <c:v>0.205821223641619</c:v>
                  </c:pt>
                  <c:pt idx="15">
                    <c:v>0.0739331660713468</c:v>
                  </c:pt>
                  <c:pt idx="16">
                    <c:v>0.0937924606902567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0.180284</c:v>
                </c:pt>
                <c:pt idx="1">
                  <c:v>0.1978917</c:v>
                </c:pt>
                <c:pt idx="2">
                  <c:v>0.2475134</c:v>
                </c:pt>
                <c:pt idx="3">
                  <c:v>0.356361</c:v>
                </c:pt>
                <c:pt idx="4">
                  <c:v>0.719699666666667</c:v>
                </c:pt>
                <c:pt idx="5">
                  <c:v>1.669448333333333</c:v>
                </c:pt>
                <c:pt idx="6">
                  <c:v>3.179442</c:v>
                </c:pt>
                <c:pt idx="7">
                  <c:v>5.057596666666666</c:v>
                </c:pt>
                <c:pt idx="8">
                  <c:v>7.159234000000001</c:v>
                </c:pt>
                <c:pt idx="9">
                  <c:v>8.727920000000001</c:v>
                </c:pt>
                <c:pt idx="10">
                  <c:v>10.49936133333333</c:v>
                </c:pt>
                <c:pt idx="11">
                  <c:v>9.912438</c:v>
                </c:pt>
                <c:pt idx="12">
                  <c:v>9.464242</c:v>
                </c:pt>
                <c:pt idx="13">
                  <c:v>8.653220666666667</c:v>
                </c:pt>
                <c:pt idx="14">
                  <c:v>6.753723333333334</c:v>
                </c:pt>
                <c:pt idx="15">
                  <c:v>5.665247333333333</c:v>
                </c:pt>
                <c:pt idx="16">
                  <c:v>3.809050666666667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06424"/>
        <c:axId val="-2089682184"/>
      </c:scatterChart>
      <c:valAx>
        <c:axId val="211782240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9213848"/>
        <c:crosses val="autoZero"/>
        <c:crossBetween val="midCat"/>
        <c:majorUnit val="6.0"/>
      </c:valAx>
      <c:valAx>
        <c:axId val="-20892138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822408"/>
        <c:crosses val="autoZero"/>
        <c:crossBetween val="midCat"/>
      </c:valAx>
      <c:valAx>
        <c:axId val="-2089682184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89806424"/>
        <c:crosses val="max"/>
        <c:crossBetween val="midCat"/>
        <c:majorUnit val="1.0"/>
        <c:minorUnit val="0.2"/>
      </c:valAx>
      <c:valAx>
        <c:axId val="-2089806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8968218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98.33203125" style="2" customWidth="1"/>
    <col min="4" max="16384" width="8.83203125" style="2"/>
  </cols>
  <sheetData>
    <row r="1" spans="1:3">
      <c r="A1" s="129" t="s">
        <v>0</v>
      </c>
      <c r="B1" s="130"/>
      <c r="C1" s="34">
        <v>42109</v>
      </c>
    </row>
    <row r="2" spans="1:3" ht="16">
      <c r="A2" s="129" t="s">
        <v>1</v>
      </c>
      <c r="B2" s="131"/>
      <c r="C2" s="32" t="s">
        <v>180</v>
      </c>
    </row>
    <row r="3" spans="1:3">
      <c r="A3" s="11"/>
      <c r="B3" s="11"/>
      <c r="C3" s="10"/>
    </row>
    <row r="4" spans="1:3">
      <c r="A4" s="132" t="s">
        <v>49</v>
      </c>
      <c r="B4" s="132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32" t="s">
        <v>181</v>
      </c>
      <c r="B11" s="40" t="s">
        <v>182</v>
      </c>
      <c r="C11" s="32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71" t="s">
        <v>77</v>
      </c>
      <c r="B13" s="37" t="s">
        <v>94</v>
      </c>
      <c r="C13" s="37" t="s">
        <v>101</v>
      </c>
    </row>
    <row r="14" spans="1:3" ht="16">
      <c r="A14" s="71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150</v>
      </c>
      <c r="C18" s="37" t="s">
        <v>101</v>
      </c>
    </row>
    <row r="19" spans="1:3" ht="16">
      <c r="A19" s="32" t="s">
        <v>75</v>
      </c>
      <c r="B19" s="37" t="s">
        <v>151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145</v>
      </c>
      <c r="B29" s="29" t="s">
        <v>146</v>
      </c>
      <c r="C29" s="29" t="s">
        <v>147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workbookViewId="0">
      <selection activeCell="I12" sqref="I12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4" t="s">
        <v>288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29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267</v>
      </c>
      <c r="R2" s="147" t="s">
        <v>234</v>
      </c>
      <c r="S2" s="147" t="s">
        <v>235</v>
      </c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spans="1:29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spans="1:2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00">
        <v>24.435037612915039</v>
      </c>
      <c r="F4" s="100">
        <v>24.409238815307617</v>
      </c>
      <c r="G4" s="105">
        <v>25.092304229736328</v>
      </c>
      <c r="H4" s="111">
        <f>(E4-$H$54)+$H$67</f>
        <v>24.272203957321338</v>
      </c>
      <c r="I4" s="111">
        <f>(F4-$H$54)+$H$67</f>
        <v>24.246405159713916</v>
      </c>
      <c r="J4" s="111">
        <f>(G4-$H$54)+$H$67</f>
        <v>24.929470574142627</v>
      </c>
      <c r="K4" s="105">
        <f>((H4-'CalibrationB. hydrogenotrophica'!$D$45)/('CalibrationB. hydrogenotrophica'!$D$44))+$B$24</f>
        <v>7.6295482224657558</v>
      </c>
      <c r="L4" s="105">
        <f>((I4-'CalibrationB. hydrogenotrophica'!$D$45)/('CalibrationB. hydrogenotrophica'!$D$44))+$B$24</f>
        <v>7.6360152210889272</v>
      </c>
      <c r="M4" s="105">
        <f>((J4-'CalibrationB. hydrogenotrophica'!$D$45)/('CalibrationB. hydrogenotrophica'!$D$44))+$B$24</f>
        <v>7.4647908422684051</v>
      </c>
      <c r="N4" s="106">
        <f>AVERAGE(K4:M4)</f>
        <v>7.5767847619410302</v>
      </c>
      <c r="O4" s="106">
        <f>STDEV(K4:M4)</f>
        <v>9.7043464749186958E-2</v>
      </c>
      <c r="P4" s="107">
        <f>(AVERAGE(POWER(10,K4),POWER(10,L4),POWER(10,M4)))*Calculation!$I4/Calculation!$K3</f>
        <v>38366538.612679526</v>
      </c>
      <c r="Q4" s="107">
        <f>(STDEV(POWER(10,K4),POWER(10,L4),POWER(10,M4)))*Calculation!$I4/Calculation!$K3</f>
        <v>7963325.7627548147</v>
      </c>
      <c r="R4" s="106">
        <f>LOG(P4)</f>
        <v>7.5839526193905948</v>
      </c>
      <c r="S4" s="106">
        <f>O4*Calculation!$I4/Calculation!$K3</f>
        <v>9.7104962508850562E-2</v>
      </c>
      <c r="T4" s="86"/>
      <c r="U4" s="86"/>
      <c r="V4" s="86"/>
      <c r="W4" s="86"/>
      <c r="X4" s="86"/>
      <c r="Y4" s="86"/>
      <c r="Z4" s="86"/>
      <c r="AA4" s="86"/>
      <c r="AB4" s="86"/>
      <c r="AC4" s="86"/>
    </row>
    <row r="5" spans="1:2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0">
        <v>23.321840286254883</v>
      </c>
      <c r="F5" s="100">
        <v>23.514970779418945</v>
      </c>
      <c r="G5" s="105">
        <v>23.822628021240234</v>
      </c>
      <c r="H5" s="111">
        <f>(E5-$H$54)+$H$67</f>
        <v>23.159006630661182</v>
      </c>
      <c r="I5" s="111">
        <f>(F5-$H$54)+$H$67</f>
        <v>23.352137123825244</v>
      </c>
      <c r="J5" s="111">
        <f>(G5-$H$54)+$H$67</f>
        <v>23.659794365646533</v>
      </c>
      <c r="K5" s="105">
        <f>((H5-'CalibrationB. hydrogenotrophica'!$D$45)/('CalibrationB. hydrogenotrophica'!$D$44))+$B$24</f>
        <v>7.9085940015899521</v>
      </c>
      <c r="L5" s="105">
        <f>((I5-'CalibrationB. hydrogenotrophica'!$D$45)/('CalibrationB. hydrogenotrophica'!$D$44))+$B$24</f>
        <v>7.8601818758626152</v>
      </c>
      <c r="M5" s="105">
        <f>((J5-'CalibrationB. hydrogenotrophica'!$D$45)/('CalibrationB. hydrogenotrophica'!$D$44))+$B$24</f>
        <v>7.7830612677806741</v>
      </c>
      <c r="N5" s="106">
        <f t="shared" ref="N5:N20" si="1">AVERAGE(K5:M5)</f>
        <v>7.8506123817444147</v>
      </c>
      <c r="O5" s="106">
        <f t="shared" ref="O5:O20" si="2">STDEV(K5:M5)</f>
        <v>6.3311122464117464E-2</v>
      </c>
      <c r="P5" s="107">
        <f>(AVERAGE(POWER(10,K5),POWER(10,L5),POWER(10,M5)))*Calculation!$I5/Calculation!$K4</f>
        <v>71437396.352442309</v>
      </c>
      <c r="Q5" s="107">
        <f>(STDEV(POWER(10,K5),POWER(10,L5),POWER(10,M5)))*Calculation!$I5/Calculation!$K4</f>
        <v>10218603.487917803</v>
      </c>
      <c r="R5" s="106">
        <f t="shared" ref="R5:R20" si="3">LOG(P5)</f>
        <v>7.853925617627791</v>
      </c>
      <c r="S5" s="106">
        <f>O5*Calculation!$I5/Calculation!$K4</f>
        <v>6.3351243581014877E-2</v>
      </c>
      <c r="T5" s="86"/>
      <c r="U5" s="86"/>
      <c r="V5" s="86"/>
      <c r="W5" s="86"/>
      <c r="X5" s="86"/>
      <c r="Y5" s="86"/>
      <c r="Z5" s="86"/>
      <c r="AA5" s="86"/>
      <c r="AB5" s="86"/>
      <c r="AC5" s="86"/>
    </row>
    <row r="6" spans="1:2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100">
        <v>22.659778594970703</v>
      </c>
      <c r="F6" s="100">
        <v>22.57380485534668</v>
      </c>
      <c r="G6" s="105">
        <v>22.845657348632812</v>
      </c>
      <c r="H6" s="111">
        <f>(E6-$H$54)+$H$67</f>
        <v>22.496944939377002</v>
      </c>
      <c r="I6" s="111">
        <f>(F6-$H$54)+$H$67</f>
        <v>22.410971199752979</v>
      </c>
      <c r="J6" s="111">
        <f>(G6-$H$54)+$H$67</f>
        <v>22.682823693039111</v>
      </c>
      <c r="K6" s="105">
        <f>((H6-'CalibrationB. hydrogenotrophica'!$D$45)/('CalibrationB. hydrogenotrophica'!$D$44))+$B$24</f>
        <v>8.0745533657100168</v>
      </c>
      <c r="L6" s="105">
        <f>((I6-'CalibrationB. hydrogenotrophica'!$D$45)/('CalibrationB. hydrogenotrophica'!$D$44))+$B$24</f>
        <v>8.096104449765873</v>
      </c>
      <c r="M6" s="105">
        <f>((J6-'CalibrationB. hydrogenotrophica'!$D$45)/('CalibrationB. hydrogenotrophica'!$D$44))+$B$24</f>
        <v>8.027959037466438</v>
      </c>
      <c r="N6" s="106">
        <f t="shared" si="1"/>
        <v>8.0662056176474426</v>
      </c>
      <c r="O6" s="106">
        <f t="shared" si="2"/>
        <v>3.4831206950838689E-2</v>
      </c>
      <c r="P6" s="107">
        <f>(AVERAGE(POWER(10,K6),POWER(10,L6),POWER(10,M6)))*Calculation!$I6/Calculation!$K5</f>
        <v>116789286.10244671</v>
      </c>
      <c r="Q6" s="107">
        <f>(STDEV(POWER(10,K6),POWER(10,L6),POWER(10,M6)))*Calculation!$I6/Calculation!$K5</f>
        <v>9231413.1987019144</v>
      </c>
      <c r="R6" s="106">
        <f t="shared" si="3"/>
        <v>8.0674030037352331</v>
      </c>
      <c r="S6" s="106">
        <f>O6*Calculation!$I6/Calculation!$K5</f>
        <v>3.4853279959045809E-2</v>
      </c>
      <c r="T6" s="86"/>
      <c r="U6" s="86"/>
      <c r="V6" s="86"/>
      <c r="W6" s="86"/>
      <c r="X6" s="86"/>
      <c r="Y6" s="86"/>
      <c r="Z6" s="86"/>
      <c r="AA6" s="86"/>
      <c r="AB6" s="86"/>
      <c r="AC6" s="86"/>
    </row>
    <row r="7" spans="1:2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100">
        <v>21.834508895874023</v>
      </c>
      <c r="F7" s="100">
        <v>21.882375717163086</v>
      </c>
      <c r="G7" s="105">
        <v>21.94822883605957</v>
      </c>
      <c r="H7" s="111">
        <f>(E7-$H$54)+$H$67</f>
        <v>21.671675240280322</v>
      </c>
      <c r="I7" s="111">
        <f>(F7-$H$54)+$H$67</f>
        <v>21.719542061569385</v>
      </c>
      <c r="J7" s="111">
        <f>(G7-$H$54)+$H$67</f>
        <v>21.785395180465869</v>
      </c>
      <c r="K7" s="105">
        <f>((H7-'CalibrationB. hydrogenotrophica'!$D$45)/('CalibrationB. hydrogenotrophica'!$D$44))+$B$24</f>
        <v>8.2814241698853568</v>
      </c>
      <c r="L7" s="105">
        <f>((I7-'CalibrationB. hydrogenotrophica'!$D$45)/('CalibrationB. hydrogenotrophica'!$D$44))+$B$24</f>
        <v>8.2694253677674254</v>
      </c>
      <c r="M7" s="105">
        <f>((J7-'CalibrationB. hydrogenotrophica'!$D$45)/('CalibrationB. hydrogenotrophica'!$D$44))+$B$24</f>
        <v>8.2529179306490121</v>
      </c>
      <c r="N7" s="106">
        <f t="shared" si="1"/>
        <v>8.2679224894339303</v>
      </c>
      <c r="O7" s="106">
        <f t="shared" si="2"/>
        <v>1.431242122472271E-2</v>
      </c>
      <c r="P7" s="107">
        <f>(AVERAGE(POWER(10,K7),POWER(10,L7),POWER(10,M7)))*Calculation!$I7/Calculation!$K6</f>
        <v>185633819.62741822</v>
      </c>
      <c r="Q7" s="107">
        <f>(STDEV(POWER(10,K7),POWER(10,L7),POWER(10,M7)))*Calculation!$I7/Calculation!$K6</f>
        <v>6101122.5610340508</v>
      </c>
      <c r="R7" s="106">
        <f t="shared" si="3"/>
        <v>8.2686571008674985</v>
      </c>
      <c r="S7" s="106">
        <f>O7*Calculation!$I7/Calculation!$K6</f>
        <v>1.4331471333390813E-2</v>
      </c>
      <c r="T7" s="86"/>
      <c r="U7" s="86"/>
      <c r="V7" s="86"/>
      <c r="W7" s="86"/>
      <c r="X7" s="86"/>
      <c r="Y7" s="86"/>
      <c r="Z7" s="86"/>
      <c r="AA7" s="86"/>
      <c r="AB7" s="86"/>
      <c r="AC7" s="86"/>
    </row>
    <row r="8" spans="1:2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00">
        <v>20.347492218017578</v>
      </c>
      <c r="F8" s="100">
        <v>20.847496032714844</v>
      </c>
      <c r="G8" s="105">
        <v>20.673252105712891</v>
      </c>
      <c r="H8" s="111">
        <f>(E8-$H$54)+$H$67</f>
        <v>20.184658562423877</v>
      </c>
      <c r="I8" s="111">
        <f>(F8-$H$54)+$H$67</f>
        <v>20.684662377121143</v>
      </c>
      <c r="J8" s="111">
        <f>(G8-$H$54)+$H$67</f>
        <v>20.51041845011919</v>
      </c>
      <c r="K8" s="105">
        <f>((H8-'CalibrationB. hydrogenotrophica'!$D$45)/('CalibrationB. hydrogenotrophica'!$D$44))+$B$24</f>
        <v>8.6541754490211567</v>
      </c>
      <c r="L8" s="105">
        <f>((I8-'CalibrationB. hydrogenotrophica'!$D$45)/('CalibrationB. hydrogenotrophica'!$D$44))+$B$24</f>
        <v>8.5288392209367139</v>
      </c>
      <c r="M8" s="105">
        <f>((J8-'CalibrationB. hydrogenotrophica'!$D$45)/('CalibrationB. hydrogenotrophica'!$D$44))+$B$24</f>
        <v>8.5725170408554856</v>
      </c>
      <c r="N8" s="106">
        <f t="shared" si="1"/>
        <v>8.5851772369377866</v>
      </c>
      <c r="O8" s="106">
        <f t="shared" si="2"/>
        <v>6.3619988535369723E-2</v>
      </c>
      <c r="P8" s="107">
        <f>(AVERAGE(POWER(10,K8),POWER(10,L8),POWER(10,M8)))*Calculation!$I8/Calculation!$K7</f>
        <v>388618642.08696592</v>
      </c>
      <c r="Q8" s="107">
        <f>(STDEV(POWER(10,K8),POWER(10,L8),POWER(10,M8)))*Calculation!$I8/Calculation!$K7</f>
        <v>57948179.047317147</v>
      </c>
      <c r="R8" s="106">
        <f t="shared" si="3"/>
        <v>8.5895236299264255</v>
      </c>
      <c r="S8" s="106">
        <f>O8*Calculation!$I8/Calculation!$K7</f>
        <v>6.3796329359793236E-2</v>
      </c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00">
        <v>19.311065673828125</v>
      </c>
      <c r="F9" s="100">
        <v>19.225868225097656</v>
      </c>
      <c r="G9" s="105">
        <v>19.373981475830078</v>
      </c>
      <c r="H9" s="111">
        <f>(E9-$H$54)+$H$67</f>
        <v>19.148232018234424</v>
      </c>
      <c r="I9" s="111">
        <f>(F9-$H$54)+$H$67</f>
        <v>19.063034569503955</v>
      </c>
      <c r="J9" s="111">
        <f>(G9-$H$54)+$H$67</f>
        <v>19.211147820236377</v>
      </c>
      <c r="K9" s="105">
        <f>((H9-'CalibrationB. hydrogenotrophica'!$D$45)/('CalibrationB. hydrogenotrophica'!$D$44))+$B$24</f>
        <v>8.9139770543628085</v>
      </c>
      <c r="L9" s="105">
        <f>((I9-'CalibrationB. hydrogenotrophica'!$D$45)/('CalibrationB. hydrogenotrophica'!$D$44))+$B$24</f>
        <v>8.9353335451583042</v>
      </c>
      <c r="M9" s="105">
        <f>((J9-'CalibrationB. hydrogenotrophica'!$D$45)/('CalibrationB. hydrogenotrophica'!$D$44))+$B$24</f>
        <v>8.8982059160673792</v>
      </c>
      <c r="N9" s="106">
        <f t="shared" si="1"/>
        <v>8.9158388385294973</v>
      </c>
      <c r="O9" s="106">
        <f t="shared" si="2"/>
        <v>1.8633703085828797E-2</v>
      </c>
      <c r="P9" s="107">
        <f>(AVERAGE(POWER(10,K9),POWER(10,L9),POWER(10,M9)))*Calculation!$I9/Calculation!$K8</f>
        <v>830314199.4124918</v>
      </c>
      <c r="Q9" s="107">
        <f>(STDEV(POWER(10,K9),POWER(10,L9),POWER(10,M9)))*Calculation!$I9/Calculation!$K8</f>
        <v>35730128.612648897</v>
      </c>
      <c r="R9" s="106">
        <f t="shared" si="3"/>
        <v>8.9192424649662012</v>
      </c>
      <c r="S9" s="106">
        <f>O9*Calculation!$I9/Calculation!$K8</f>
        <v>1.8768768422179897E-2</v>
      </c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00">
        <v>18.634304046630859</v>
      </c>
      <c r="F10" s="100">
        <v>19.596002578735352</v>
      </c>
      <c r="G10" s="105">
        <v>18.810161590576172</v>
      </c>
      <c r="H10" s="111">
        <f>(E10-$H$54)+$H$67</f>
        <v>18.471470391037158</v>
      </c>
      <c r="I10" s="111">
        <f>(F10-$H$54)+$H$67</f>
        <v>19.43316892314165</v>
      </c>
      <c r="J10" s="111">
        <f>(G10-$H$54)+$H$67</f>
        <v>18.647327934982471</v>
      </c>
      <c r="K10" s="105">
        <f>((H10-'CalibrationB. hydrogenotrophica'!$D$45)/('CalibrationB. hydrogenotrophica'!$D$44))+$B$24</f>
        <v>9.0836212594106271</v>
      </c>
      <c r="L10" s="105">
        <f>((I10-'CalibrationB. hydrogenotrophica'!$D$45)/('CalibrationB. hydrogenotrophica'!$D$44))+$B$24</f>
        <v>8.8425517654882615</v>
      </c>
      <c r="M10" s="105">
        <f>((J10-'CalibrationB. hydrogenotrophica'!$D$45)/('CalibrationB. hydrogenotrophica'!$D$44))+$B$24</f>
        <v>9.0395389532553345</v>
      </c>
      <c r="N10" s="106">
        <f t="shared" si="1"/>
        <v>8.9885706593847399</v>
      </c>
      <c r="O10" s="106">
        <f t="shared" si="2"/>
        <v>0.1283625742187175</v>
      </c>
      <c r="P10" s="107">
        <f>(AVERAGE(POWER(10,K10),POWER(10,L10),POWER(10,M10)))*Calculation!$I10/Calculation!$K9</f>
        <v>1016163244.187537</v>
      </c>
      <c r="Q10" s="107">
        <f>(STDEV(POWER(10,K10),POWER(10,L10),POWER(10,M10)))*Calculation!$I10/Calculation!$K9</f>
        <v>274825119.49171919</v>
      </c>
      <c r="R10" s="106">
        <f t="shared" si="3"/>
        <v>9.0069634819192643</v>
      </c>
      <c r="S10" s="106">
        <f>O10*Calculation!$I10/Calculation!$K9</f>
        <v>0.1302829953989261</v>
      </c>
      <c r="T10" s="86"/>
      <c r="U10" s="86"/>
      <c r="V10" s="86"/>
      <c r="W10" s="86"/>
      <c r="X10" s="86"/>
      <c r="Y10" s="86"/>
      <c r="Z10" s="86"/>
      <c r="AA10" s="86"/>
      <c r="AB10" s="86"/>
      <c r="AC10" s="86"/>
    </row>
    <row r="11" spans="1:2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100">
        <v>18.565074920654297</v>
      </c>
      <c r="F11" s="100">
        <v>17.876855850219727</v>
      </c>
      <c r="G11" s="105">
        <v>17.923662185668945</v>
      </c>
      <c r="H11" s="111">
        <f>(E11-$H$54)+$H$67</f>
        <v>18.402241265060596</v>
      </c>
      <c r="I11" s="111">
        <f>(F11-$H$54)+$H$67</f>
        <v>17.714022194626025</v>
      </c>
      <c r="J11" s="111">
        <f>(G11-$H$54)+$H$67</f>
        <v>17.760828530075244</v>
      </c>
      <c r="K11" s="105">
        <f>((H11-'CalibrationB. hydrogenotrophica'!$D$45)/('CalibrationB. hydrogenotrophica'!$D$44))+$B$24</f>
        <v>9.1009749620593539</v>
      </c>
      <c r="L11" s="105">
        <f>((I11-'CalibrationB. hydrogenotrophica'!$D$45)/('CalibrationB. hydrogenotrophica'!$D$44))+$B$24</f>
        <v>9.2734912106329315</v>
      </c>
      <c r="M11" s="105">
        <f>((J11-'CalibrationB. hydrogenotrophica'!$D$45)/('CalibrationB. hydrogenotrophica'!$D$44))+$B$24</f>
        <v>9.2617582410770645</v>
      </c>
      <c r="N11" s="106">
        <f t="shared" si="1"/>
        <v>9.2120748045897844</v>
      </c>
      <c r="O11" s="106">
        <f t="shared" si="2"/>
        <v>9.6393967141955431E-2</v>
      </c>
      <c r="P11" s="107">
        <f>(AVERAGE(POWER(10,K11),POWER(10,L11),POWER(10,M11)))*Calculation!$I11/Calculation!$K10</f>
        <v>1694600697.2378607</v>
      </c>
      <c r="Q11" s="107">
        <f>(STDEV(POWER(10,K11),POWER(10,L11),POWER(10,M11)))*Calculation!$I11/Calculation!$K10</f>
        <v>349862818.28139985</v>
      </c>
      <c r="R11" s="106">
        <f t="shared" si="3"/>
        <v>9.2290673807599308</v>
      </c>
      <c r="S11" s="106">
        <f>O11*Calculation!$I11/Calculation!$K10</f>
        <v>9.8681511158281582E-2</v>
      </c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00">
        <v>17.154941558837891</v>
      </c>
      <c r="F12" s="100">
        <v>16.947933197021484</v>
      </c>
      <c r="G12" s="105">
        <v>17.17799186706543</v>
      </c>
      <c r="H12" s="111">
        <f>(E12-$H$54)+$H$67</f>
        <v>16.99210790324419</v>
      </c>
      <c r="I12" s="111">
        <f>(F12-$H$54)+$H$67</f>
        <v>16.785099541427783</v>
      </c>
      <c r="J12" s="111">
        <f>(G12-$H$54)+$H$67</f>
        <v>17.015158211471729</v>
      </c>
      <c r="K12" s="105">
        <f>((H12-'CalibrationB. hydrogenotrophica'!$D$45)/('CalibrationB. hydrogenotrophica'!$D$44))+$B$24</f>
        <v>9.4544538585615996</v>
      </c>
      <c r="L12" s="105">
        <f>((I12-'CalibrationB. hydrogenotrophica'!$D$45)/('CalibrationB. hydrogenotrophica'!$D$44))+$B$24</f>
        <v>9.5063447571694759</v>
      </c>
      <c r="M12" s="105">
        <f>((J12-'CalibrationB. hydrogenotrophica'!$D$45)/('CalibrationB. hydrogenotrophica'!$D$44))+$B$24</f>
        <v>9.4486758252656475</v>
      </c>
      <c r="N12" s="106">
        <f>AVERAGE(K12:M12)</f>
        <v>9.4698248136655749</v>
      </c>
      <c r="O12" s="106">
        <f>STDEV(K12:M12)</f>
        <v>3.1758874702016826E-2</v>
      </c>
      <c r="P12" s="107">
        <f>(AVERAGE(POWER(10,K12),POWER(10,L12),POWER(10,M12)))*Calculation!$I12/Calculation!$K11</f>
        <v>3062142929.4328313</v>
      </c>
      <c r="Q12" s="107">
        <f>(STDEV(POWER(10,K12),POWER(10,L12),POWER(10,M12)))*Calculation!$I12/Calculation!$K11</f>
        <v>228272575.07576931</v>
      </c>
      <c r="R12" s="106">
        <f t="shared" si="3"/>
        <v>9.4860254580850629</v>
      </c>
      <c r="S12" s="106">
        <f>O12*Calculation!$I12/Calculation!$K11</f>
        <v>3.290648310529401E-2</v>
      </c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00">
        <v>16.585012435913086</v>
      </c>
      <c r="F13" s="100">
        <v>16.795761108398438</v>
      </c>
      <c r="G13" s="105">
        <v>16.930530548095703</v>
      </c>
      <c r="H13" s="111">
        <f>(E13-$H$54)+$H$67</f>
        <v>16.422178780319385</v>
      </c>
      <c r="I13" s="111">
        <f>(F13-$H$54)+$H$67</f>
        <v>16.632927452804736</v>
      </c>
      <c r="J13" s="111">
        <f>(G13-$H$54)+$H$67</f>
        <v>16.767696892502002</v>
      </c>
      <c r="K13" s="105">
        <f>((H13-'CalibrationB. hydrogenotrophica'!$D$45)/('CalibrationB. hydrogenotrophica'!$D$44))+$B$24</f>
        <v>9.5973183016781363</v>
      </c>
      <c r="L13" s="105">
        <f>((I13-'CalibrationB. hydrogenotrophica'!$D$45)/('CalibrationB. hydrogenotrophica'!$D$44))+$B$24</f>
        <v>9.5444898173612511</v>
      </c>
      <c r="M13" s="105">
        <f>((J13-'CalibrationB. hydrogenotrophica'!$D$45)/('CalibrationB. hydrogenotrophica'!$D$44))+$B$24</f>
        <v>9.5107070886375986</v>
      </c>
      <c r="N13" s="106">
        <f t="shared" si="1"/>
        <v>9.5508384025589965</v>
      </c>
      <c r="O13" s="106">
        <f t="shared" si="2"/>
        <v>4.3653223896959921E-2</v>
      </c>
      <c r="P13" s="107">
        <f>(AVERAGE(POWER(10,K13),POWER(10,L13),POWER(10,M13)))*Calculation!$I13/Calculation!$K12</f>
        <v>3741885679.8386164</v>
      </c>
      <c r="Q13" s="107">
        <f>(STDEV(POWER(10,K13),POWER(10,L13),POWER(10,M13)))*Calculation!$I13/Calculation!$K12</f>
        <v>379638771.30775595</v>
      </c>
      <c r="R13" s="106">
        <f t="shared" si="3"/>
        <v>9.5730905150256511</v>
      </c>
      <c r="S13" s="106">
        <f>O13*Calculation!$I13/Calculation!$K12</f>
        <v>4.579273915688413E-2</v>
      </c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100">
        <v>16.182924270629883</v>
      </c>
      <c r="F14" s="100">
        <v>15.895591735839844</v>
      </c>
      <c r="G14" s="105">
        <v>16.111337661743164</v>
      </c>
      <c r="H14" s="111">
        <f>(E14-$H$54)+$H$67</f>
        <v>16.020090615036182</v>
      </c>
      <c r="I14" s="111">
        <f>(F14-$H$54)+$H$67</f>
        <v>15.732758080246144</v>
      </c>
      <c r="J14" s="111">
        <f>(G14-$H$54)+$H$67</f>
        <v>15.948504006149465</v>
      </c>
      <c r="K14" s="105">
        <f>((H14-'CalibrationB. hydrogenotrophica'!$D$45)/('CalibrationB. hydrogenotrophica'!$D$44))+$B$24</f>
        <v>9.6981099606867858</v>
      </c>
      <c r="L14" s="105">
        <f>((I14-'CalibrationB. hydrogenotrophica'!$D$45)/('CalibrationB. hydrogenotrophica'!$D$44))+$B$24</f>
        <v>9.7701357634065715</v>
      </c>
      <c r="M14" s="105">
        <f>((J14-'CalibrationB. hydrogenotrophica'!$D$45)/('CalibrationB. hydrogenotrophica'!$D$44))+$B$24</f>
        <v>9.7160546148583737</v>
      </c>
      <c r="N14" s="106">
        <f t="shared" si="1"/>
        <v>9.7281001129839098</v>
      </c>
      <c r="O14" s="106">
        <f t="shared" si="2"/>
        <v>3.7493327182001386E-2</v>
      </c>
      <c r="P14" s="107">
        <f>(AVERAGE(POWER(10,K14),POWER(10,L14),POWER(10,M14)))*Calculation!$I14/Calculation!$K13</f>
        <v>5679946144.1257782</v>
      </c>
      <c r="Q14" s="107">
        <f>(STDEV(POWER(10,K14),POWER(10,L14),POWER(10,M14)))*Calculation!$I14/Calculation!$K13</f>
        <v>498935072.70328307</v>
      </c>
      <c r="R14" s="106">
        <f t="shared" si="3"/>
        <v>9.7543442178554063</v>
      </c>
      <c r="S14" s="106">
        <f>O14*Calculation!$I14/Calculation!$K13</f>
        <v>3.9728888053550779E-2</v>
      </c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100">
        <v>15.636087417602539</v>
      </c>
      <c r="F15" s="100">
        <v>15.967195510864258</v>
      </c>
      <c r="G15" s="105">
        <v>16.180736541748047</v>
      </c>
      <c r="H15" s="111">
        <f>(E15-$H$54)+$H$67</f>
        <v>15.47325376200884</v>
      </c>
      <c r="I15" s="111">
        <f>(F15-$H$54)+$H$67</f>
        <v>15.804361855270558</v>
      </c>
      <c r="J15" s="111">
        <f>(G15-$H$54)+$H$67</f>
        <v>16.017902886154346</v>
      </c>
      <c r="K15" s="105">
        <f>((H15-'CalibrationB. hydrogenotrophica'!$D$45)/('CalibrationB. hydrogenotrophica'!$D$44))+$B$24</f>
        <v>9.8351858519527582</v>
      </c>
      <c r="L15" s="105">
        <f>((I15-'CalibrationB. hydrogenotrophica'!$D$45)/('CalibrationB. hydrogenotrophica'!$D$44))+$B$24</f>
        <v>9.7521868061899131</v>
      </c>
      <c r="M15" s="105">
        <f>((J15-'CalibrationB. hydrogenotrophica'!$D$45)/('CalibrationB. hydrogenotrophica'!$D$44))+$B$24</f>
        <v>9.6986583598750737</v>
      </c>
      <c r="N15" s="106">
        <f t="shared" si="1"/>
        <v>9.7620103393392483</v>
      </c>
      <c r="O15" s="106">
        <f t="shared" si="2"/>
        <v>6.879182637426931E-2</v>
      </c>
      <c r="P15" s="107">
        <f>(AVERAGE(POWER(10,K15),POWER(10,L15),POWER(10,M15)))*Calculation!$I15/Calculation!$K14</f>
        <v>6215246142.9840622</v>
      </c>
      <c r="Q15" s="107">
        <f>(STDEV(POWER(10,K15),POWER(10,L15),POWER(10,M15)))*Calculation!$I15/Calculation!$K14</f>
        <v>997455250.76808369</v>
      </c>
      <c r="R15" s="106">
        <f t="shared" si="3"/>
        <v>9.7934583327239153</v>
      </c>
      <c r="S15" s="106">
        <f>O15*Calculation!$I15/Calculation!$K14</f>
        <v>7.3336507716748378E-2</v>
      </c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100">
        <v>15.626556396484375</v>
      </c>
      <c r="F16" s="100">
        <v>15.222740173339844</v>
      </c>
      <c r="G16" s="105">
        <v>15.408130645751953</v>
      </c>
      <c r="H16" s="111">
        <f>(E16-$H$54)+$H$67</f>
        <v>15.463722740890676</v>
      </c>
      <c r="I16" s="111">
        <f>(F16-$H$54)+$H$67</f>
        <v>15.059906517746144</v>
      </c>
      <c r="J16" s="111">
        <f>(G16-$H$54)+$H$67</f>
        <v>15.245296990158254</v>
      </c>
      <c r="K16" s="105">
        <f>((H16-'CalibrationB. hydrogenotrophica'!$D$45)/('CalibrationB. hydrogenotrophica'!$D$44))+$B$24</f>
        <v>9.837574998198507</v>
      </c>
      <c r="L16" s="105">
        <f>((I16-'CalibrationB. hydrogenotrophica'!$D$45)/('CalibrationB. hydrogenotrophica'!$D$44))+$B$24</f>
        <v>9.9387998304108063</v>
      </c>
      <c r="M16" s="105">
        <f>((J16-'CalibrationB. hydrogenotrophica'!$D$45)/('CalibrationB. hydrogenotrophica'!$D$44))+$B$24</f>
        <v>9.8923278998936457</v>
      </c>
      <c r="N16" s="106">
        <f t="shared" si="1"/>
        <v>9.8895675761676518</v>
      </c>
      <c r="O16" s="106">
        <f t="shared" si="2"/>
        <v>5.0668838593421937E-2</v>
      </c>
      <c r="P16" s="107">
        <f>(AVERAGE(POWER(10,K16),POWER(10,L16),POWER(10,M16)))*Calculation!$I16/Calculation!$K15</f>
        <v>8304490788.6886864</v>
      </c>
      <c r="Q16" s="107">
        <f>(STDEV(POWER(10,K16),POWER(10,L16),POWER(10,M16)))*Calculation!$I16/Calculation!$K15</f>
        <v>962647303.56156671</v>
      </c>
      <c r="R16" s="106">
        <f t="shared" si="3"/>
        <v>9.9193130077154557</v>
      </c>
      <c r="S16" s="106">
        <f>O16*Calculation!$I16/Calculation!$K15</f>
        <v>5.4016238096202672E-2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100">
        <v>15.311708450317383</v>
      </c>
      <c r="F17" s="100">
        <v>15.184082984924316</v>
      </c>
      <c r="G17" s="105">
        <v>15.186337471008301</v>
      </c>
      <c r="H17" s="111">
        <f>(E17-$H$54)+$H$67</f>
        <v>15.148874794723683</v>
      </c>
      <c r="I17" s="111">
        <f>(F17-$H$54)+$H$67</f>
        <v>15.021249329330617</v>
      </c>
      <c r="J17" s="111">
        <f>(G17-$H$54)+$H$67</f>
        <v>15.023503815414601</v>
      </c>
      <c r="K17" s="105">
        <f>((H17-'CalibrationB. hydrogenotrophica'!$D$45)/('CalibrationB. hydrogenotrophica'!$D$44))+$B$24</f>
        <v>9.9164981040484026</v>
      </c>
      <c r="L17" s="105">
        <f>((I17-'CalibrationB. hydrogenotrophica'!$D$45)/('CalibrationB. hydrogenotrophica'!$D$44))+$B$24</f>
        <v>9.9484900488490116</v>
      </c>
      <c r="M17" s="105">
        <f>((J17-'CalibrationB. hydrogenotrophica'!$D$45)/('CalibrationB. hydrogenotrophica'!$D$44))+$B$24</f>
        <v>9.9479249155965643</v>
      </c>
      <c r="N17" s="106">
        <f t="shared" si="1"/>
        <v>9.9376376894979916</v>
      </c>
      <c r="O17" s="106">
        <f t="shared" si="2"/>
        <v>1.8309598538298177E-2</v>
      </c>
      <c r="P17" s="107">
        <f>(AVERAGE(POWER(10,K17),POWER(10,L17),POWER(10,M17)))*Calculation!$I17/Calculation!$K16</f>
        <v>9248734911.9399586</v>
      </c>
      <c r="Q17" s="107">
        <f>(STDEV(POWER(10,K17),POWER(10,L17),POWER(10,M17)))*Calculation!$I17/Calculation!$K16</f>
        <v>385068880.38064885</v>
      </c>
      <c r="R17" s="106">
        <f t="shared" si="3"/>
        <v>9.9660823318376117</v>
      </c>
      <c r="S17" s="106">
        <f>O17*Calculation!$I17/Calculation!$K16</f>
        <v>1.9537467996128134E-2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100">
        <v>14.687363624572754</v>
      </c>
      <c r="F18" s="100">
        <v>14.748937606811523</v>
      </c>
      <c r="G18" s="105">
        <v>14.956462860107422</v>
      </c>
      <c r="H18" s="111">
        <f>(E18-$H$54)+$H$67</f>
        <v>14.524529968979055</v>
      </c>
      <c r="I18" s="111">
        <f>(F18-$H$54)+$H$67</f>
        <v>14.586103951217824</v>
      </c>
      <c r="J18" s="111">
        <f>(G18-$H$54)+$H$67</f>
        <v>14.793629204513723</v>
      </c>
      <c r="K18" s="105">
        <f>((H18-'CalibrationB. hydrogenotrophica'!$D$45)/('CalibrationB. hydrogenotrophica'!$D$44))+$B$24</f>
        <v>10.073002960976844</v>
      </c>
      <c r="L18" s="105">
        <f>((I18-'CalibrationB. hydrogenotrophica'!$D$45)/('CalibrationB. hydrogenotrophica'!$D$44))+$B$24</f>
        <v>10.057568177371005</v>
      </c>
      <c r="M18" s="105">
        <f>((J18-'CalibrationB. hydrogenotrophica'!$D$45)/('CalibrationB. hydrogenotrophica'!$D$44))+$B$24</f>
        <v>10.005547709294927</v>
      </c>
      <c r="N18" s="106">
        <f t="shared" si="1"/>
        <v>10.045372949214258</v>
      </c>
      <c r="O18" s="106">
        <f t="shared" si="2"/>
        <v>3.534254429457525E-2</v>
      </c>
      <c r="P18" s="107">
        <f>(AVERAGE(POWER(10,K18),POWER(10,L18),POWER(10,M18)))*Calculation!$I18/Calculation!$K17</f>
        <v>11906264797.218794</v>
      </c>
      <c r="Q18" s="107">
        <f>(STDEV(POWER(10,K18),POWER(10,L18),POWER(10,M18)))*Calculation!$I18/Calculation!$K17</f>
        <v>950029623.35012603</v>
      </c>
      <c r="R18" s="106">
        <f t="shared" si="3"/>
        <v>10.075775537101348</v>
      </c>
      <c r="S18" s="106">
        <f>O18*Calculation!$I18/Calculation!$K17</f>
        <v>3.7822832527584532E-2</v>
      </c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100">
        <v>14.733451843261719</v>
      </c>
      <c r="F19" s="100">
        <v>14.951539039611816</v>
      </c>
      <c r="G19" s="105">
        <v>15.006071090698242</v>
      </c>
      <c r="H19" s="111">
        <f>(E19-$H$54)+$H$67</f>
        <v>14.570618187668019</v>
      </c>
      <c r="I19" s="111">
        <f>(F19-$H$54)+$H$67</f>
        <v>14.788705384018117</v>
      </c>
      <c r="J19" s="111">
        <f>(G19-$H$54)+$H$67</f>
        <v>14.843237435104543</v>
      </c>
      <c r="K19" s="105">
        <f>((H19-'CalibrationB. hydrogenotrophica'!$D$45)/('CalibrationB. hydrogenotrophica'!$D$44))+$B$24</f>
        <v>10.061450002139713</v>
      </c>
      <c r="L19" s="105">
        <f>((I19-'CalibrationB. hydrogenotrophica'!$D$45)/('CalibrationB. hydrogenotrophica'!$D$44))+$B$24</f>
        <v>10.006781966055664</v>
      </c>
      <c r="M19" s="105">
        <f>((J19-'CalibrationB. hydrogenotrophica'!$D$45)/('CalibrationB. hydrogenotrophica'!$D$44))+$B$24</f>
        <v>9.9931123871605134</v>
      </c>
      <c r="N19" s="106">
        <f t="shared" si="1"/>
        <v>10.020448118451965</v>
      </c>
      <c r="O19" s="106">
        <f t="shared" si="2"/>
        <v>3.6160478374193207E-2</v>
      </c>
      <c r="P19" s="107">
        <f>(AVERAGE(POWER(10,K19),POWER(10,L19),POWER(10,M19)))*Calculation!$I19/Calculation!$K18</f>
        <v>11244001487.28903</v>
      </c>
      <c r="Q19" s="107">
        <f>(STDEV(POWER(10,K19),POWER(10,L19),POWER(10,M19)))*Calculation!$I19/Calculation!$K18</f>
        <v>954085588.87261939</v>
      </c>
      <c r="R19" s="106">
        <f t="shared" si="3"/>
        <v>10.050920894381274</v>
      </c>
      <c r="S19" s="106">
        <f>O19*Calculation!$I19/Calculation!$K18</f>
        <v>3.8698168028451184E-2</v>
      </c>
      <c r="T19" s="86"/>
      <c r="U19" s="86"/>
      <c r="V19" s="86"/>
      <c r="W19" s="86"/>
      <c r="X19" s="86"/>
      <c r="Y19" s="86"/>
      <c r="Z19" s="86"/>
      <c r="AA19" s="86"/>
      <c r="AB19" s="86"/>
      <c r="AC19" s="86"/>
    </row>
    <row r="20" spans="1:2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100">
        <v>16.038370132446289</v>
      </c>
      <c r="F20" s="100">
        <v>16.244974136352539</v>
      </c>
      <c r="G20" s="105">
        <v>16.401981353759766</v>
      </c>
      <c r="H20" s="111">
        <f>(E20-$H$54)+$H$67</f>
        <v>15.87553647685259</v>
      </c>
      <c r="I20" s="111">
        <f>(F20-$H$54)+$H$67</f>
        <v>16.082140480758838</v>
      </c>
      <c r="J20" s="111">
        <f>(G20-$H$54)+$H$67</f>
        <v>16.239147698166065</v>
      </c>
      <c r="K20" s="105">
        <f>((H20-'CalibrationB. hydrogenotrophica'!$D$45)/('CalibrationB. hydrogenotrophica'!$D$44))+$B$24</f>
        <v>9.7343454250999901</v>
      </c>
      <c r="L20" s="105">
        <f>((I20-'CalibrationB. hydrogenotrophica'!$D$45)/('CalibrationB. hydrogenotrophica'!$D$44))+$B$24</f>
        <v>9.6825558871093023</v>
      </c>
      <c r="M20" s="105">
        <f>((J20-'CalibrationB. hydrogenotrophica'!$D$45)/('CalibrationB. hydrogenotrophica'!$D$44))+$B$24</f>
        <v>9.6431988025563165</v>
      </c>
      <c r="N20" s="106">
        <f t="shared" si="1"/>
        <v>9.6867000382552018</v>
      </c>
      <c r="O20" s="106">
        <f t="shared" si="2"/>
        <v>4.5714409017505446E-2</v>
      </c>
      <c r="P20" s="107">
        <f>(AVERAGE(POWER(10,K20),POWER(10,L20),POWER(10,M20)))*Calculation!$I20/Calculation!$K19</f>
        <v>5221152202.9624643</v>
      </c>
      <c r="Q20" s="107">
        <f>(STDEV(POWER(10,K20),POWER(10,L20),POWER(10,M20)))*Calculation!$I20/Calculation!$K19</f>
        <v>552693035.64928651</v>
      </c>
      <c r="R20" s="106">
        <f t="shared" si="3"/>
        <v>9.717766353609731</v>
      </c>
      <c r="S20" s="106">
        <f>O20*Calculation!$I20/Calculation!$K19</f>
        <v>4.8922579595719745E-2</v>
      </c>
      <c r="T20" s="86"/>
      <c r="U20" s="86"/>
      <c r="V20" s="86"/>
      <c r="W20" s="86"/>
      <c r="X20" s="86"/>
      <c r="Y20" s="86"/>
      <c r="Z20" s="86"/>
      <c r="AA20" s="86"/>
      <c r="AB20" s="86"/>
      <c r="AC20" s="86"/>
    </row>
    <row r="21" spans="1:29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</row>
    <row r="22" spans="1:29">
      <c r="A22" s="123"/>
      <c r="B22" s="124"/>
      <c r="C22" s="123"/>
      <c r="D22" s="124"/>
      <c r="E22" s="116"/>
      <c r="F22" s="116"/>
      <c r="G22" s="117"/>
      <c r="H22" s="113"/>
      <c r="I22" s="113"/>
      <c r="J22" s="113"/>
      <c r="K22" s="117"/>
      <c r="L22" s="117"/>
      <c r="M22" s="117"/>
      <c r="N22" s="118"/>
      <c r="O22" s="118"/>
      <c r="P22" s="119"/>
      <c r="Q22" s="119"/>
      <c r="R22" s="118"/>
      <c r="S22" s="118"/>
    </row>
    <row r="23" spans="1:29">
      <c r="A23" s="123"/>
      <c r="B23" s="124"/>
      <c r="C23" s="123"/>
      <c r="D23" s="124"/>
      <c r="E23" s="116"/>
      <c r="F23" s="116"/>
      <c r="G23" s="117"/>
      <c r="H23" s="113"/>
      <c r="I23" s="113"/>
      <c r="J23" s="113"/>
      <c r="K23" s="117"/>
      <c r="L23" s="117"/>
      <c r="M23" s="117"/>
      <c r="N23" s="118"/>
      <c r="O23" s="118"/>
      <c r="P23" s="119"/>
      <c r="Q23" s="119"/>
      <c r="R23" s="118"/>
      <c r="S23" s="118"/>
    </row>
    <row r="24" spans="1:29">
      <c r="A24" s="103" t="s">
        <v>236</v>
      </c>
      <c r="B24" s="110">
        <f>LOG(B25)</f>
        <v>3.6532125137753435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</row>
    <row r="25" spans="1:29">
      <c r="A25" s="99" t="s">
        <v>289</v>
      </c>
      <c r="B25" s="86">
        <f>20*1800/4/2</f>
        <v>4500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</row>
    <row r="26" spans="1:29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</row>
    <row r="27" spans="1:29">
      <c r="A27" s="61" t="s">
        <v>290</v>
      </c>
      <c r="B27" s="61"/>
      <c r="C27" s="61"/>
      <c r="D27" s="61"/>
      <c r="E27" s="112">
        <v>11.1</v>
      </c>
      <c r="F27" s="111">
        <v>11.4</v>
      </c>
      <c r="G27" s="111"/>
      <c r="H27" s="111">
        <v>11.2</v>
      </c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</row>
    <row r="28" spans="1:29">
      <c r="A28" s="61" t="s">
        <v>291</v>
      </c>
      <c r="B28" s="61"/>
      <c r="C28" s="61"/>
      <c r="D28" s="61"/>
      <c r="E28" s="126">
        <v>10.7</v>
      </c>
      <c r="F28" s="127">
        <v>10.8</v>
      </c>
      <c r="G28" s="127">
        <v>10.7</v>
      </c>
      <c r="H28" s="127">
        <v>10.8</v>
      </c>
    </row>
    <row r="29" spans="1:29">
      <c r="A29" s="61" t="s">
        <v>292</v>
      </c>
      <c r="B29" s="61"/>
      <c r="C29" s="61"/>
      <c r="D29" s="61"/>
      <c r="E29" s="126">
        <v>11.5</v>
      </c>
      <c r="F29" s="127">
        <v>11.5</v>
      </c>
      <c r="G29" s="127">
        <v>11.5</v>
      </c>
      <c r="H29" s="127">
        <v>11.5</v>
      </c>
    </row>
    <row r="30" spans="1:29">
      <c r="A30" s="61" t="s">
        <v>293</v>
      </c>
      <c r="B30" s="61"/>
      <c r="C30" s="61"/>
      <c r="D30" s="61"/>
      <c r="E30" s="126">
        <v>11.3</v>
      </c>
      <c r="F30" s="127">
        <v>11.6</v>
      </c>
      <c r="G30" s="127">
        <v>11.7</v>
      </c>
      <c r="H30" s="127">
        <v>11.5</v>
      </c>
    </row>
    <row r="31" spans="1:29">
      <c r="A31" s="61" t="s">
        <v>294</v>
      </c>
      <c r="B31" s="61"/>
      <c r="C31" s="61"/>
      <c r="D31" s="61"/>
      <c r="E31" s="126">
        <v>11.5</v>
      </c>
      <c r="F31" s="127">
        <v>11.5</v>
      </c>
      <c r="G31" s="127">
        <v>11.5</v>
      </c>
      <c r="H31" s="127">
        <v>11.5</v>
      </c>
    </row>
    <row r="32" spans="1:29">
      <c r="A32" s="61" t="s">
        <v>295</v>
      </c>
      <c r="B32" s="61"/>
      <c r="C32" s="61"/>
      <c r="D32" s="61"/>
      <c r="E32" s="126">
        <v>11.5</v>
      </c>
      <c r="F32" s="127">
        <v>11.5</v>
      </c>
      <c r="G32" s="127">
        <v>11.5</v>
      </c>
      <c r="H32" s="127">
        <v>11.5</v>
      </c>
    </row>
    <row r="33" spans="1:8">
      <c r="A33" s="61" t="s">
        <v>296</v>
      </c>
      <c r="B33" s="61"/>
      <c r="C33" s="61"/>
      <c r="D33" s="61"/>
      <c r="E33" s="126">
        <v>11.6</v>
      </c>
      <c r="F33" s="127">
        <v>11.6</v>
      </c>
      <c r="G33" s="127">
        <v>11.6</v>
      </c>
      <c r="H33" s="127">
        <v>11.6</v>
      </c>
    </row>
    <row r="34" spans="1:8">
      <c r="A34" s="61" t="s">
        <v>297</v>
      </c>
      <c r="B34" s="61"/>
      <c r="C34" s="61"/>
      <c r="D34" s="61"/>
      <c r="E34" s="126">
        <v>11.2</v>
      </c>
      <c r="F34" s="127">
        <v>11.2</v>
      </c>
      <c r="G34" s="127">
        <v>11.2</v>
      </c>
      <c r="H34" s="127">
        <v>11.2</v>
      </c>
    </row>
    <row r="35" spans="1:8">
      <c r="A35" s="61" t="s">
        <v>298</v>
      </c>
      <c r="B35" s="61"/>
      <c r="C35" s="61"/>
      <c r="D35" s="61"/>
      <c r="E35" s="126">
        <v>10.4</v>
      </c>
      <c r="F35" s="127">
        <v>11.2</v>
      </c>
      <c r="G35" s="127">
        <v>11.4</v>
      </c>
      <c r="H35" s="127">
        <v>11</v>
      </c>
    </row>
    <row r="36" spans="1:8">
      <c r="A36" s="61" t="s">
        <v>298</v>
      </c>
      <c r="B36" s="61"/>
      <c r="C36" s="61"/>
      <c r="D36" s="61"/>
      <c r="E36" s="126">
        <v>11.3</v>
      </c>
      <c r="F36" s="127">
        <v>11.5</v>
      </c>
      <c r="G36" s="127">
        <v>11.6</v>
      </c>
      <c r="H36" s="127">
        <v>11.5</v>
      </c>
    </row>
    <row r="37" spans="1:8">
      <c r="A37" s="61" t="s">
        <v>302</v>
      </c>
      <c r="B37" s="61"/>
      <c r="C37" s="61"/>
      <c r="D37" s="61"/>
      <c r="E37" s="126">
        <v>11.7</v>
      </c>
      <c r="F37" s="127">
        <v>11.7</v>
      </c>
      <c r="G37" s="127">
        <v>11.7</v>
      </c>
      <c r="H37" s="127">
        <v>11.7</v>
      </c>
    </row>
    <row r="38" spans="1:8">
      <c r="A38" s="61" t="s">
        <v>302</v>
      </c>
      <c r="B38" s="61"/>
      <c r="C38" s="61"/>
      <c r="D38" s="61"/>
      <c r="E38" s="126">
        <v>11.3</v>
      </c>
      <c r="F38" s="127">
        <v>11.5</v>
      </c>
      <c r="G38" s="127">
        <v>11</v>
      </c>
      <c r="H38" s="127">
        <v>11.3</v>
      </c>
    </row>
    <row r="39" spans="1:8">
      <c r="A39" s="61" t="s">
        <v>303</v>
      </c>
      <c r="B39" s="61"/>
      <c r="C39" s="61"/>
      <c r="D39" s="61"/>
      <c r="E39" s="126">
        <v>11.2</v>
      </c>
      <c r="F39" s="127">
        <v>11.3</v>
      </c>
      <c r="G39" s="127">
        <v>11.4</v>
      </c>
      <c r="H39" s="127">
        <v>11.3</v>
      </c>
    </row>
    <row r="40" spans="1:8">
      <c r="A40" s="61" t="s">
        <v>319</v>
      </c>
      <c r="B40" s="61"/>
      <c r="C40" s="61"/>
      <c r="D40" s="61"/>
      <c r="E40" s="126">
        <v>11.5</v>
      </c>
      <c r="F40" s="127">
        <v>11.5</v>
      </c>
      <c r="G40" s="127">
        <v>11.5</v>
      </c>
      <c r="H40" s="127">
        <v>11.5</v>
      </c>
    </row>
    <row r="41" spans="1:8">
      <c r="A41" s="61" t="s">
        <v>320</v>
      </c>
      <c r="B41" s="61"/>
      <c r="C41" s="61"/>
      <c r="D41" s="61"/>
      <c r="E41" s="126">
        <v>11.3</v>
      </c>
      <c r="F41" s="127">
        <v>11.3</v>
      </c>
      <c r="G41" s="127">
        <v>11.3</v>
      </c>
      <c r="H41" s="127">
        <v>11.3</v>
      </c>
    </row>
    <row r="42" spans="1:8">
      <c r="A42" s="61" t="s">
        <v>321</v>
      </c>
      <c r="B42" s="61"/>
      <c r="C42" s="61"/>
      <c r="D42" s="61"/>
      <c r="E42" s="126">
        <v>11.3</v>
      </c>
      <c r="F42" s="127">
        <v>11.3</v>
      </c>
      <c r="G42" s="127">
        <v>11.4</v>
      </c>
      <c r="H42" s="127">
        <v>11.3</v>
      </c>
    </row>
    <row r="43" spans="1:8">
      <c r="A43" s="61" t="s">
        <v>322</v>
      </c>
      <c r="B43" s="61"/>
      <c r="C43" s="61"/>
      <c r="D43" s="61"/>
      <c r="E43" s="126">
        <v>11.1</v>
      </c>
      <c r="F43" s="127">
        <v>11.2</v>
      </c>
      <c r="G43" s="127">
        <v>11.2</v>
      </c>
      <c r="H43" s="127">
        <v>11.2</v>
      </c>
    </row>
    <row r="44" spans="1:8">
      <c r="A44" s="61" t="s">
        <v>322</v>
      </c>
      <c r="B44" s="61"/>
      <c r="C44" s="61"/>
      <c r="D44" s="61"/>
      <c r="E44" s="126">
        <v>11.3</v>
      </c>
      <c r="F44" s="127">
        <v>11.3</v>
      </c>
      <c r="G44" s="127">
        <v>11.4</v>
      </c>
      <c r="H44" s="127">
        <v>11.3</v>
      </c>
    </row>
    <row r="45" spans="1:8">
      <c r="A45" s="61" t="s">
        <v>323</v>
      </c>
      <c r="B45" s="61"/>
      <c r="C45" s="61"/>
      <c r="D45" s="61"/>
      <c r="E45" s="126">
        <v>11.3</v>
      </c>
      <c r="F45" s="127">
        <v>11.4</v>
      </c>
      <c r="G45" s="127">
        <v>11.3</v>
      </c>
      <c r="H45" s="127">
        <v>11.3</v>
      </c>
    </row>
    <row r="46" spans="1:8">
      <c r="A46" s="61" t="s">
        <v>324</v>
      </c>
      <c r="B46" s="61"/>
      <c r="C46" s="61"/>
      <c r="D46" s="61"/>
      <c r="E46" s="126">
        <v>11.1</v>
      </c>
      <c r="F46" s="127">
        <v>11.4</v>
      </c>
      <c r="G46" s="127">
        <v>11.2</v>
      </c>
      <c r="H46" s="127">
        <v>11.2</v>
      </c>
    </row>
    <row r="47" spans="1:8">
      <c r="A47" s="61" t="s">
        <v>324</v>
      </c>
      <c r="B47" s="61"/>
      <c r="C47" s="61"/>
      <c r="D47" s="61"/>
      <c r="E47" s="126">
        <v>11.4</v>
      </c>
      <c r="F47" s="127">
        <v>11.4</v>
      </c>
      <c r="G47" s="127">
        <v>11.4</v>
      </c>
      <c r="H47" s="127">
        <v>11.4</v>
      </c>
    </row>
    <row r="48" spans="1:8">
      <c r="A48" s="61" t="s">
        <v>325</v>
      </c>
      <c r="B48" s="61"/>
      <c r="C48" s="61"/>
      <c r="D48" s="61"/>
      <c r="E48" s="126">
        <v>11.4</v>
      </c>
      <c r="F48" s="127">
        <v>11.4</v>
      </c>
      <c r="G48" s="127">
        <v>11.3</v>
      </c>
      <c r="H48" s="127">
        <v>11.4</v>
      </c>
    </row>
    <row r="49" spans="1:8">
      <c r="A49" s="61" t="s">
        <v>326</v>
      </c>
      <c r="B49" s="61"/>
      <c r="C49" s="61"/>
      <c r="D49" s="61"/>
      <c r="E49" s="126">
        <v>11.4</v>
      </c>
      <c r="F49" s="127">
        <v>11.3</v>
      </c>
      <c r="G49" s="127">
        <v>11.3</v>
      </c>
      <c r="H49" s="127">
        <v>11.3</v>
      </c>
    </row>
    <row r="50" spans="1:8">
      <c r="A50" s="61" t="s">
        <v>327</v>
      </c>
      <c r="B50" s="61"/>
      <c r="C50" s="61"/>
      <c r="D50" s="61"/>
      <c r="E50" s="126">
        <v>11.4</v>
      </c>
      <c r="F50" s="127">
        <v>11.4</v>
      </c>
      <c r="G50" s="127">
        <v>11.3</v>
      </c>
      <c r="H50" s="127">
        <v>11.3</v>
      </c>
    </row>
    <row r="51" spans="1:8">
      <c r="A51" s="61" t="s">
        <v>348</v>
      </c>
      <c r="E51" s="112">
        <v>10.961522102355957</v>
      </c>
      <c r="F51" s="111">
        <v>10.991280555725098</v>
      </c>
      <c r="G51" s="111">
        <v>10.988773345947266</v>
      </c>
      <c r="H51" s="111">
        <f t="shared" ref="H51:H59" si="5">AVERAGE(E51:G51)</f>
        <v>10.980525334676107</v>
      </c>
    </row>
    <row r="52" spans="1:8">
      <c r="A52" s="61" t="s">
        <v>349</v>
      </c>
      <c r="E52" s="112">
        <v>11.455920219421387</v>
      </c>
      <c r="F52" s="111">
        <v>11.47702693939209</v>
      </c>
      <c r="G52" s="111">
        <v>11.41429615020752</v>
      </c>
      <c r="H52" s="111">
        <f t="shared" si="5"/>
        <v>11.449081103006998</v>
      </c>
    </row>
    <row r="53" spans="1:8">
      <c r="A53" s="61" t="s">
        <v>350</v>
      </c>
      <c r="E53" s="112">
        <v>11.481462478637695</v>
      </c>
      <c r="F53" s="111">
        <v>11.294193267822266</v>
      </c>
      <c r="G53" s="111">
        <v>11.30172061920166</v>
      </c>
      <c r="H53" s="111">
        <f t="shared" si="5"/>
        <v>11.359125455220541</v>
      </c>
    </row>
    <row r="54" spans="1:8">
      <c r="A54" s="61" t="s">
        <v>350</v>
      </c>
      <c r="E54" s="112">
        <v>11.333268165588301</v>
      </c>
      <c r="F54" s="111">
        <v>11.3499765396118</v>
      </c>
      <c r="G54" s="111">
        <v>11.688117980956999</v>
      </c>
      <c r="H54" s="111">
        <f t="shared" si="5"/>
        <v>11.4571208953857</v>
      </c>
    </row>
    <row r="55" spans="1:8">
      <c r="A55" s="61" t="s">
        <v>360</v>
      </c>
      <c r="E55" s="112">
        <v>11.225685119628906</v>
      </c>
      <c r="F55" s="111">
        <v>11.295048713684082</v>
      </c>
      <c r="G55" s="111">
        <v>11.326059341430664</v>
      </c>
      <c r="H55" s="111">
        <f t="shared" si="5"/>
        <v>11.282264391581217</v>
      </c>
    </row>
    <row r="56" spans="1:8">
      <c r="A56" s="61" t="s">
        <v>361</v>
      </c>
      <c r="E56" s="112">
        <v>11.361672401428223</v>
      </c>
      <c r="F56" s="111">
        <v>11.304685592651367</v>
      </c>
      <c r="G56" s="111">
        <v>11.405701637268066</v>
      </c>
      <c r="H56" s="111">
        <f t="shared" si="5"/>
        <v>11.357353210449219</v>
      </c>
    </row>
    <row r="57" spans="1:8">
      <c r="A57" s="61" t="s">
        <v>362</v>
      </c>
      <c r="E57" s="112">
        <v>10.911848068237305</v>
      </c>
      <c r="F57" s="111">
        <v>10.950149536132812</v>
      </c>
      <c r="G57" s="111">
        <v>10.982019424438477</v>
      </c>
      <c r="H57" s="111">
        <f t="shared" si="5"/>
        <v>10.948005676269531</v>
      </c>
    </row>
    <row r="58" spans="1:8">
      <c r="A58" s="61" t="s">
        <v>363</v>
      </c>
      <c r="B58" s="61"/>
      <c r="C58" s="61"/>
      <c r="D58" s="86"/>
      <c r="E58" s="112">
        <v>11.097690582275391</v>
      </c>
      <c r="F58" s="111">
        <v>11.199633598327637</v>
      </c>
      <c r="G58" s="111">
        <v>11.211821556091309</v>
      </c>
      <c r="H58" s="111">
        <f t="shared" si="5"/>
        <v>11.169715245564779</v>
      </c>
    </row>
    <row r="59" spans="1:8">
      <c r="A59" s="61" t="s">
        <v>364</v>
      </c>
      <c r="B59" s="61"/>
      <c r="C59" s="61"/>
      <c r="D59" s="86"/>
      <c r="E59" s="112">
        <v>11.383224487304688</v>
      </c>
      <c r="F59" s="111">
        <v>11.329494476318359</v>
      </c>
      <c r="G59" s="111">
        <v>11.243021011352539</v>
      </c>
      <c r="H59" s="111">
        <f t="shared" si="5"/>
        <v>11.318579991658529</v>
      </c>
    </row>
    <row r="60" spans="1:8">
      <c r="A60" s="61" t="s">
        <v>364</v>
      </c>
      <c r="B60" s="61"/>
      <c r="C60" s="61"/>
      <c r="D60" s="86"/>
      <c r="E60" s="112">
        <v>11.171065330505371</v>
      </c>
      <c r="F60" s="111">
        <v>11.234642028808594</v>
      </c>
      <c r="G60" s="111">
        <v>11.325413703918457</v>
      </c>
      <c r="H60" s="111">
        <f>AVERAGE(E60:G60)</f>
        <v>11.243707021077475</v>
      </c>
    </row>
    <row r="61" spans="1:8">
      <c r="A61" s="61" t="s">
        <v>365</v>
      </c>
      <c r="B61" s="169"/>
      <c r="C61" s="86"/>
      <c r="D61" s="86"/>
      <c r="E61" s="112">
        <v>11.431556701660156</v>
      </c>
      <c r="F61" s="111">
        <v>11.393752098083496</v>
      </c>
      <c r="G61" s="111">
        <v>11.470895767211914</v>
      </c>
      <c r="H61" s="111">
        <f t="shared" ref="H61:H63" si="6">AVERAGE(E61:G61)</f>
        <v>11.432068188985189</v>
      </c>
    </row>
    <row r="62" spans="1:8">
      <c r="A62" s="61" t="s">
        <v>365</v>
      </c>
      <c r="B62" s="169"/>
      <c r="C62" s="86"/>
      <c r="D62" s="86"/>
      <c r="E62" s="112">
        <v>11.38902759552002</v>
      </c>
      <c r="F62" s="111">
        <v>11.318164825439453</v>
      </c>
      <c r="G62" s="111">
        <v>11.357851982116699</v>
      </c>
      <c r="H62" s="111">
        <f t="shared" si="6"/>
        <v>11.355014801025391</v>
      </c>
    </row>
    <row r="63" spans="1:8">
      <c r="A63" s="61" t="s">
        <v>366</v>
      </c>
      <c r="B63" s="169"/>
      <c r="C63" s="86"/>
      <c r="D63" s="86"/>
      <c r="E63" s="112">
        <v>10.827228546142578</v>
      </c>
      <c r="F63" s="111">
        <v>10.980537414550781</v>
      </c>
      <c r="G63" s="111">
        <v>10.733705520629883</v>
      </c>
      <c r="H63" s="111">
        <f t="shared" si="6"/>
        <v>10.84715716044108</v>
      </c>
    </row>
    <row r="64" spans="1:8">
      <c r="A64" s="61" t="s">
        <v>367</v>
      </c>
      <c r="B64" s="169"/>
      <c r="C64" s="86"/>
      <c r="D64" s="86"/>
      <c r="E64" s="112">
        <v>11.185029029846191</v>
      </c>
      <c r="F64" s="111">
        <v>11.096076965332031</v>
      </c>
      <c r="G64" s="111">
        <v>11.32984447479248</v>
      </c>
      <c r="H64" s="111">
        <f>AVERAGE(E64:G64)</f>
        <v>11.2036501566569</v>
      </c>
    </row>
    <row r="65" spans="1:8">
      <c r="A65" s="61" t="s">
        <v>367</v>
      </c>
      <c r="B65" s="169"/>
      <c r="C65" s="86"/>
      <c r="D65" s="86"/>
      <c r="E65" s="112">
        <v>11.051477432250977</v>
      </c>
      <c r="F65" s="111">
        <v>10.973122596740723</v>
      </c>
      <c r="G65" s="111">
        <v>10.89690113067627</v>
      </c>
      <c r="H65" s="111">
        <f>AVERAGE(E65:G65)</f>
        <v>10.973833719889322</v>
      </c>
    </row>
    <row r="66" spans="1:8">
      <c r="A66" s="61"/>
      <c r="B66" s="61"/>
      <c r="C66" s="61"/>
      <c r="D66" s="61"/>
      <c r="E66" s="61"/>
      <c r="F66" s="61"/>
      <c r="G66" s="61"/>
      <c r="H66" s="61"/>
    </row>
    <row r="67" spans="1:8">
      <c r="A67" s="61"/>
      <c r="B67" s="61"/>
      <c r="C67" s="61"/>
      <c r="D67" s="61"/>
      <c r="E67" s="61"/>
      <c r="F67" s="61"/>
      <c r="G67" s="61" t="s">
        <v>328</v>
      </c>
      <c r="H67" s="128">
        <f>AVERAGE(H27:H65)</f>
        <v>11.294287239792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G1" workbookViewId="0">
      <selection activeCell="O22" sqref="O22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  <col min="15" max="15" width="15.83203125" customWidth="1"/>
  </cols>
  <sheetData>
    <row r="2" spans="1:17">
      <c r="A2" s="104" t="s">
        <v>220</v>
      </c>
      <c r="B2" s="86"/>
      <c r="C2" s="86"/>
      <c r="D2" s="86"/>
      <c r="H2" s="104" t="s">
        <v>288</v>
      </c>
      <c r="I2" s="86"/>
      <c r="J2" s="86"/>
      <c r="K2" s="86"/>
      <c r="O2" s="104" t="s">
        <v>299</v>
      </c>
    </row>
    <row r="3" spans="1:17">
      <c r="A3" s="133" t="s">
        <v>4</v>
      </c>
      <c r="B3" s="133" t="s">
        <v>117</v>
      </c>
      <c r="C3" s="133" t="s">
        <v>117</v>
      </c>
      <c r="D3" s="133" t="s">
        <v>5</v>
      </c>
      <c r="E3" s="150" t="s">
        <v>234</v>
      </c>
      <c r="F3" s="147" t="s">
        <v>235</v>
      </c>
      <c r="H3" s="133" t="s">
        <v>4</v>
      </c>
      <c r="I3" s="133" t="s">
        <v>117</v>
      </c>
      <c r="J3" s="133" t="s">
        <v>117</v>
      </c>
      <c r="K3" s="133" t="s">
        <v>5</v>
      </c>
      <c r="L3" s="150" t="s">
        <v>234</v>
      </c>
      <c r="M3" s="147" t="s">
        <v>235</v>
      </c>
      <c r="O3" s="150" t="s">
        <v>234</v>
      </c>
      <c r="P3" s="150" t="s">
        <v>234</v>
      </c>
      <c r="Q3" s="147" t="s">
        <v>235</v>
      </c>
    </row>
    <row r="4" spans="1:17">
      <c r="A4" s="134"/>
      <c r="B4" s="134"/>
      <c r="C4" s="134"/>
      <c r="D4" s="134"/>
      <c r="E4" s="154"/>
      <c r="F4" s="155"/>
      <c r="H4" s="134"/>
      <c r="I4" s="134"/>
      <c r="J4" s="134"/>
      <c r="K4" s="134"/>
      <c r="L4" s="154"/>
      <c r="M4" s="155"/>
      <c r="O4" s="154"/>
      <c r="P4" s="154"/>
      <c r="Q4" s="155"/>
    </row>
    <row r="5" spans="1:17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06">
        <f>'Determination cell counts RI'!R4</f>
        <v>7.4571022664569835</v>
      </c>
      <c r="F5" s="106">
        <f>'Determination cell counts RI'!S4</f>
        <v>0.10240574729066157</v>
      </c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06">
        <f>'Determination cell counts BH'!R4</f>
        <v>7.5839526193905948</v>
      </c>
      <c r="M5" s="106">
        <f>'Determination cell counts BH'!S4</f>
        <v>9.7104962508850562E-2</v>
      </c>
      <c r="O5" s="31">
        <f>POWER(10,E5)+POWER(10,L5)+POWER(10,E26)</f>
        <v>69260127.028470576</v>
      </c>
      <c r="P5" s="125">
        <f>LOG(O5)</f>
        <v>7.8404832837440983</v>
      </c>
      <c r="Q5" s="125">
        <f>F5+M5+F26</f>
        <v>0.31324718975928001</v>
      </c>
    </row>
    <row r="6" spans="1:17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06">
        <f>'Determination cell counts RI'!R5</f>
        <v>7.3496929991070594</v>
      </c>
      <c r="F6" s="106">
        <f>'Determination cell counts RI'!S5</f>
        <v>2.7681854057980106E-2</v>
      </c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06">
        <f>'Determination cell counts BH'!R5</f>
        <v>7.853925617627791</v>
      </c>
      <c r="M6" s="106">
        <f>'Determination cell counts BH'!S5</f>
        <v>6.3351243581014877E-2</v>
      </c>
      <c r="O6" s="31">
        <f t="shared" ref="O6:O21" si="2">POWER(10,E6)+POWER(10,L6)+POWER(10,E27)</f>
        <v>97490757.768079504</v>
      </c>
      <c r="P6" s="125">
        <f t="shared" ref="P6:P21" si="3">LOG(O6)</f>
        <v>7.988963446051601</v>
      </c>
      <c r="Q6" s="125">
        <f t="shared" ref="Q6:Q21" si="4">F6+M6+F27</f>
        <v>0.12548714897994095</v>
      </c>
    </row>
    <row r="7" spans="1:17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06">
        <f>'Determination cell counts RI'!R6</f>
        <v>7.3575948703999545</v>
      </c>
      <c r="F7" s="106">
        <f>'Determination cell counts RI'!S6</f>
        <v>9.7921935972627491E-3</v>
      </c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06">
        <f>'Determination cell counts BH'!R6</f>
        <v>8.0674030037352331</v>
      </c>
      <c r="M7" s="106">
        <f>'Determination cell counts BH'!S6</f>
        <v>3.4853279959045809E-2</v>
      </c>
      <c r="O7" s="31">
        <f t="shared" si="2"/>
        <v>150324695.64375961</v>
      </c>
      <c r="P7" s="125">
        <f t="shared" si="3"/>
        <v>8.1770303332202179</v>
      </c>
      <c r="Q7" s="125">
        <f t="shared" si="4"/>
        <v>9.9199730336605174E-2</v>
      </c>
    </row>
    <row r="8" spans="1:17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06">
        <f>'Determination cell counts RI'!R7</f>
        <v>7.3091073111212861</v>
      </c>
      <c r="F8" s="106">
        <f>'Determination cell counts RI'!S7</f>
        <v>1.6515108270992961E-2</v>
      </c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06">
        <f>'Determination cell counts BH'!R7</f>
        <v>8.2686571008674985</v>
      </c>
      <c r="M8" s="106">
        <f>'Determination cell counts BH'!S7</f>
        <v>1.4331471333390813E-2</v>
      </c>
      <c r="O8" s="31">
        <f t="shared" si="2"/>
        <v>230387824.51627332</v>
      </c>
      <c r="P8" s="125">
        <f t="shared" si="3"/>
        <v>8.3624595238609079</v>
      </c>
      <c r="Q8" s="125">
        <f t="shared" si="4"/>
        <v>7.2979967934860709E-2</v>
      </c>
    </row>
    <row r="9" spans="1:17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06">
        <f>'Determination cell counts RI'!R8</f>
        <v>7.4812809377570701</v>
      </c>
      <c r="F9" s="106">
        <f>'Determination cell counts RI'!S8</f>
        <v>7.5720020494513485E-2</v>
      </c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06">
        <f>'Determination cell counts BH'!R8</f>
        <v>8.5895236299264255</v>
      </c>
      <c r="M9" s="106">
        <f>'Determination cell counts BH'!S8</f>
        <v>6.3796329359793236E-2</v>
      </c>
      <c r="O9" s="31">
        <f t="shared" si="2"/>
        <v>489606861.60257095</v>
      </c>
      <c r="P9" s="125">
        <f t="shared" si="3"/>
        <v>8.6898474956065659</v>
      </c>
      <c r="Q9" s="125">
        <f t="shared" si="4"/>
        <v>0.25895206649075186</v>
      </c>
    </row>
    <row r="10" spans="1:17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06">
        <f>'Determination cell counts RI'!R9</f>
        <v>7.6643432799044868</v>
      </c>
      <c r="F10" s="106">
        <f>'Determination cell counts RI'!S9</f>
        <v>2.6971704388054876E-2</v>
      </c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06">
        <f>'Determination cell counts BH'!R9</f>
        <v>8.9192424649662012</v>
      </c>
      <c r="M10" s="106">
        <f>'Determination cell counts BH'!S9</f>
        <v>1.8768768422179897E-2</v>
      </c>
      <c r="O10" s="31">
        <f t="shared" si="2"/>
        <v>1021266674.5101821</v>
      </c>
      <c r="P10" s="125">
        <f t="shared" si="3"/>
        <v>9.0091391604473436</v>
      </c>
      <c r="Q10" s="125">
        <f t="shared" si="4"/>
        <v>0.14494881258197762</v>
      </c>
    </row>
    <row r="11" spans="1:17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06">
        <f>'Determination cell counts RI'!R10</f>
        <v>7.8363609227915862</v>
      </c>
      <c r="F11" s="106">
        <f>'Determination cell counts RI'!S10</f>
        <v>0.23148322296408916</v>
      </c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06">
        <f>'Determination cell counts BH'!R10</f>
        <v>9.0069634819192643</v>
      </c>
      <c r="M11" s="106">
        <f>'Determination cell counts BH'!S10</f>
        <v>0.1302829953989261</v>
      </c>
      <c r="O11" s="31">
        <f t="shared" si="2"/>
        <v>1558683667.7481456</v>
      </c>
      <c r="P11" s="125">
        <f t="shared" si="3"/>
        <v>9.1927579847904166</v>
      </c>
      <c r="Q11" s="125">
        <f t="shared" si="4"/>
        <v>0.56760754300539118</v>
      </c>
    </row>
    <row r="12" spans="1:17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06">
        <f>'Determination cell counts RI'!R11</f>
        <v>8.137087220873644</v>
      </c>
      <c r="F12" s="106">
        <f>'Determination cell counts RI'!S11</f>
        <v>4.7594179475827253E-2</v>
      </c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06">
        <f>'Determination cell counts BH'!R11</f>
        <v>9.2290673807599308</v>
      </c>
      <c r="M12" s="106">
        <f>'Determination cell counts BH'!S11</f>
        <v>9.8681511158281582E-2</v>
      </c>
      <c r="O12" s="31">
        <f t="shared" si="2"/>
        <v>3201851152.7659035</v>
      </c>
      <c r="P12" s="125">
        <f t="shared" si="3"/>
        <v>9.5054011386279527</v>
      </c>
      <c r="Q12" s="125">
        <f t="shared" si="4"/>
        <v>0.20915079155706551</v>
      </c>
    </row>
    <row r="13" spans="1:17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06">
        <f>'Determination cell counts RI'!R12</f>
        <v>8.2909806560610679</v>
      </c>
      <c r="F13" s="106">
        <f>'Determination cell counts RI'!S12</f>
        <v>1.1307869765677013E-2</v>
      </c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06">
        <f>'Determination cell counts BH'!R12</f>
        <v>9.4860254580850629</v>
      </c>
      <c r="M13" s="106">
        <f>'Determination cell counts BH'!S12</f>
        <v>3.290648310529401E-2</v>
      </c>
      <c r="O13" s="31">
        <f t="shared" si="2"/>
        <v>4918731039.6297226</v>
      </c>
      <c r="P13" s="125">
        <f t="shared" si="3"/>
        <v>9.6918530756192656</v>
      </c>
      <c r="Q13" s="125">
        <f t="shared" si="4"/>
        <v>0.11853476473326444</v>
      </c>
    </row>
    <row r="14" spans="1:17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06">
        <f>'Determination cell counts RI'!R13</f>
        <v>8.5249250645014865</v>
      </c>
      <c r="F14" s="106">
        <f>'Determination cell counts RI'!S13</f>
        <v>2.0298935742876081E-2</v>
      </c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06">
        <f>'Determination cell counts BH'!R13</f>
        <v>9.5730905150256511</v>
      </c>
      <c r="M14" s="106">
        <f>'Determination cell counts BH'!S13</f>
        <v>4.579273915688413E-2</v>
      </c>
      <c r="O14" s="31">
        <f t="shared" si="2"/>
        <v>6391880623.5698681</v>
      </c>
      <c r="P14" s="125">
        <f t="shared" si="3"/>
        <v>9.805628655384627</v>
      </c>
      <c r="Q14" s="125">
        <f t="shared" si="4"/>
        <v>7.5877195160373195E-2</v>
      </c>
    </row>
    <row r="15" spans="1:17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06">
        <f>'Determination cell counts RI'!R14</f>
        <v>8.6301029073026978</v>
      </c>
      <c r="F15" s="106">
        <f>'Determination cell counts RI'!S14</f>
        <v>1.9620949371945032E-3</v>
      </c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06">
        <f>'Determination cell counts BH'!R14</f>
        <v>9.7543442178554063</v>
      </c>
      <c r="M15" s="106">
        <f>'Determination cell counts BH'!S14</f>
        <v>3.9728888053550779E-2</v>
      </c>
      <c r="O15" s="31">
        <f t="shared" si="2"/>
        <v>8905275747.6366749</v>
      </c>
      <c r="P15" s="125">
        <f t="shared" si="3"/>
        <v>9.9496473717299647</v>
      </c>
      <c r="Q15" s="125">
        <f t="shared" si="4"/>
        <v>0.13935372726333162</v>
      </c>
    </row>
    <row r="16" spans="1:17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06">
        <f>'Determination cell counts RI'!R15</f>
        <v>8.6842140314355696</v>
      </c>
      <c r="F16" s="106">
        <f>'Determination cell counts RI'!S15</f>
        <v>4.6094828697674631E-2</v>
      </c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06">
        <f>'Determination cell counts BH'!R15</f>
        <v>9.7934583327239153</v>
      </c>
      <c r="M16" s="106">
        <f>'Determination cell counts BH'!S15</f>
        <v>7.3336507716748378E-2</v>
      </c>
      <c r="O16" s="31">
        <f t="shared" si="2"/>
        <v>9082663286.1126175</v>
      </c>
      <c r="P16" s="125">
        <f t="shared" si="3"/>
        <v>9.9582132142551192</v>
      </c>
      <c r="Q16" s="125">
        <f t="shared" si="4"/>
        <v>0.1374755668202978</v>
      </c>
    </row>
    <row r="17" spans="1:17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06">
        <f>'Determination cell counts RI'!R16</f>
        <v>8.6251281029889331</v>
      </c>
      <c r="F17" s="106">
        <f>'Determination cell counts RI'!S16</f>
        <v>1.2380681461478199E-2</v>
      </c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06">
        <f>'Determination cell counts BH'!R16</f>
        <v>9.9193130077154557</v>
      </c>
      <c r="M17" s="106">
        <f>'Determination cell counts BH'!S16</f>
        <v>5.4016238096202672E-2</v>
      </c>
      <c r="O17" s="31">
        <f t="shared" si="2"/>
        <v>10731859039.618698</v>
      </c>
      <c r="P17" s="125">
        <f t="shared" si="3"/>
        <v>10.030674959684042</v>
      </c>
      <c r="Q17" s="125">
        <f t="shared" si="4"/>
        <v>0.13526040285347263</v>
      </c>
    </row>
    <row r="18" spans="1:17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06">
        <f>'Determination cell counts RI'!R17</f>
        <v>8.5881443793196688</v>
      </c>
      <c r="F18" s="106">
        <f>'Determination cell counts RI'!S17</f>
        <v>2.5268197981344904E-2</v>
      </c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06">
        <f>'Determination cell counts BH'!R17</f>
        <v>9.9660823318376117</v>
      </c>
      <c r="M18" s="106">
        <f>'Determination cell counts BH'!S17</f>
        <v>1.9537467996128134E-2</v>
      </c>
      <c r="O18" s="31">
        <f t="shared" si="2"/>
        <v>11448796055.134129</v>
      </c>
      <c r="P18" s="125">
        <f t="shared" si="3"/>
        <v>10.058759819068667</v>
      </c>
      <c r="Q18" s="125">
        <f t="shared" si="4"/>
        <v>0.10493249992363932</v>
      </c>
    </row>
    <row r="19" spans="1:17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06">
        <f>'Determination cell counts RI'!R18</f>
        <v>8.5295630995522096</v>
      </c>
      <c r="F19" s="106">
        <f>'Determination cell counts RI'!S18</f>
        <v>1.7121223739956771E-2</v>
      </c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06">
        <f>'Determination cell counts BH'!R18</f>
        <v>10.075775537101348</v>
      </c>
      <c r="M19" s="106">
        <f>'Determination cell counts BH'!S18</f>
        <v>3.7822832527584532E-2</v>
      </c>
      <c r="O19" s="31">
        <f t="shared" si="2"/>
        <v>14392946677.58831</v>
      </c>
      <c r="P19" s="125">
        <f t="shared" si="3"/>
        <v>10.158149716438903</v>
      </c>
      <c r="Q19" s="125">
        <f t="shared" si="4"/>
        <v>0.14577627051203237</v>
      </c>
    </row>
    <row r="20" spans="1:17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06">
        <f>'Determination cell counts RI'!R19</f>
        <v>8.281011665274109</v>
      </c>
      <c r="F20" s="106">
        <f>'Determination cell counts RI'!S19</f>
        <v>5.2767438474615479E-2</v>
      </c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06">
        <f>'Determination cell counts BH'!R19</f>
        <v>10.050920894381274</v>
      </c>
      <c r="M20" s="106">
        <f>'Determination cell counts BH'!S19</f>
        <v>3.8698168028451184E-2</v>
      </c>
      <c r="O20" s="31">
        <f t="shared" si="2"/>
        <v>12898660854.965403</v>
      </c>
      <c r="P20" s="125">
        <f t="shared" si="3"/>
        <v>10.110544623982344</v>
      </c>
      <c r="Q20" s="125">
        <f t="shared" si="4"/>
        <v>0.18795438021173638</v>
      </c>
    </row>
    <row r="21" spans="1:17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06">
        <f>'Determination cell counts RI'!R20</f>
        <v>7.7979970275540618</v>
      </c>
      <c r="F21" s="106">
        <f>'Determination cell counts RI'!S20</f>
        <v>2.3312840514940095E-2</v>
      </c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06">
        <f>'Determination cell counts BH'!R20</f>
        <v>9.717766353609731</v>
      </c>
      <c r="M21" s="106">
        <f>'Determination cell counts BH'!S20</f>
        <v>4.8922579595719745E-2</v>
      </c>
      <c r="O21" s="31">
        <f t="shared" si="2"/>
        <v>6122186151.0490513</v>
      </c>
      <c r="P21" s="125">
        <f t="shared" si="3"/>
        <v>9.7869065306099454</v>
      </c>
      <c r="Q21" s="125">
        <f t="shared" si="4"/>
        <v>0.18082007891069046</v>
      </c>
    </row>
    <row r="23" spans="1:17">
      <c r="A23" s="104" t="s">
        <v>266</v>
      </c>
      <c r="B23" s="86"/>
      <c r="C23" s="86"/>
      <c r="D23" s="86"/>
    </row>
    <row r="24" spans="1:17">
      <c r="A24" s="133" t="s">
        <v>4</v>
      </c>
      <c r="B24" s="133" t="s">
        <v>117</v>
      </c>
      <c r="C24" s="133" t="s">
        <v>117</v>
      </c>
      <c r="D24" s="133" t="s">
        <v>5</v>
      </c>
      <c r="E24" s="150" t="s">
        <v>234</v>
      </c>
      <c r="F24" s="147" t="s">
        <v>235</v>
      </c>
    </row>
    <row r="25" spans="1:17">
      <c r="A25" s="134"/>
      <c r="B25" s="134"/>
      <c r="C25" s="134"/>
      <c r="D25" s="134"/>
      <c r="E25" s="154"/>
      <c r="F25" s="155"/>
    </row>
    <row r="26" spans="1:17">
      <c r="A26" s="40">
        <v>0</v>
      </c>
      <c r="B26" s="32">
        <v>10</v>
      </c>
      <c r="C26" s="32">
        <f>B26</f>
        <v>10</v>
      </c>
      <c r="D26" s="13">
        <f t="shared" ref="D26:D42" si="7">C26/60</f>
        <v>0.16666666666666666</v>
      </c>
      <c r="E26" s="106">
        <f>'Determination cell counts FP'!R4</f>
        <v>6.3512286168259227</v>
      </c>
      <c r="F26" s="106">
        <f>'Determination cell counts FP'!S4</f>
        <v>0.11373647995976785</v>
      </c>
    </row>
    <row r="27" spans="1:17">
      <c r="A27" s="40">
        <v>1</v>
      </c>
      <c r="B27" s="32">
        <v>110</v>
      </c>
      <c r="C27" s="32">
        <f>C26+B27</f>
        <v>120</v>
      </c>
      <c r="D27" s="13">
        <f t="shared" si="7"/>
        <v>2</v>
      </c>
      <c r="E27" s="106">
        <f>'Determination cell counts FP'!R5</f>
        <v>6.5660802292156708</v>
      </c>
      <c r="F27" s="106">
        <f>'Determination cell counts FP'!S5</f>
        <v>3.4454051340945993E-2</v>
      </c>
    </row>
    <row r="28" spans="1:17">
      <c r="A28" s="40">
        <v>2</v>
      </c>
      <c r="B28" s="32">
        <v>80</v>
      </c>
      <c r="C28" s="32">
        <f>C27+B28</f>
        <v>200</v>
      </c>
      <c r="D28" s="13">
        <f t="shared" si="7"/>
        <v>3.3333333333333335</v>
      </c>
      <c r="E28" s="106">
        <f>'Determination cell counts FP'!R6</f>
        <v>7.031539781844323</v>
      </c>
      <c r="F28" s="106">
        <f>'Determination cell counts FP'!S6</f>
        <v>5.4554256780296614E-2</v>
      </c>
    </row>
    <row r="29" spans="1:17">
      <c r="A29" s="40">
        <v>3</v>
      </c>
      <c r="B29" s="32">
        <v>80</v>
      </c>
      <c r="C29" s="32">
        <f>C28+B29</f>
        <v>280</v>
      </c>
      <c r="D29" s="13">
        <f t="shared" si="7"/>
        <v>4.666666666666667</v>
      </c>
      <c r="E29" s="106">
        <f>'Determination cell counts FP'!R7</f>
        <v>7.3870078726714272</v>
      </c>
      <c r="F29" s="106">
        <f>'Determination cell counts FP'!S7</f>
        <v>4.2133388330476931E-2</v>
      </c>
    </row>
    <row r="30" spans="1:17">
      <c r="A30" s="40">
        <v>4</v>
      </c>
      <c r="B30" s="32">
        <v>80</v>
      </c>
      <c r="C30" s="32">
        <f t="shared" ref="C30:C40" si="8">C29+B30</f>
        <v>360</v>
      </c>
      <c r="D30" s="13">
        <f t="shared" si="7"/>
        <v>6</v>
      </c>
      <c r="E30" s="106">
        <f>'Determination cell counts FP'!R8</f>
        <v>7.8494163320082917</v>
      </c>
      <c r="F30" s="106">
        <f>'Determination cell counts FP'!S8</f>
        <v>0.11943571663644517</v>
      </c>
    </row>
    <row r="31" spans="1:17">
      <c r="A31" s="40">
        <v>5</v>
      </c>
      <c r="B31" s="32">
        <v>80</v>
      </c>
      <c r="C31" s="32">
        <f t="shared" si="8"/>
        <v>440</v>
      </c>
      <c r="D31" s="13">
        <f t="shared" si="7"/>
        <v>7.333333333333333</v>
      </c>
      <c r="E31" s="106">
        <f>'Determination cell counts FP'!R9</f>
        <v>8.1607212885136793</v>
      </c>
      <c r="F31" s="106">
        <f>'Determination cell counts FP'!S9</f>
        <v>9.9208339771742843E-2</v>
      </c>
    </row>
    <row r="32" spans="1:17">
      <c r="A32" s="40">
        <v>6</v>
      </c>
      <c r="B32" s="32">
        <v>80</v>
      </c>
      <c r="C32" s="32">
        <f t="shared" si="8"/>
        <v>520</v>
      </c>
      <c r="D32" s="13">
        <f t="shared" si="7"/>
        <v>8.6666666666666661</v>
      </c>
      <c r="E32" s="106">
        <f>'Determination cell counts FP'!R10</f>
        <v>8.6757000969012488</v>
      </c>
      <c r="F32" s="106">
        <f>'Determination cell counts FP'!S10</f>
        <v>0.20584132464237589</v>
      </c>
    </row>
    <row r="33" spans="1:6">
      <c r="A33" s="40">
        <v>7</v>
      </c>
      <c r="B33" s="32">
        <v>80</v>
      </c>
      <c r="C33" s="32">
        <f t="shared" si="8"/>
        <v>600</v>
      </c>
      <c r="D33" s="13">
        <f t="shared" si="7"/>
        <v>10</v>
      </c>
      <c r="E33" s="106">
        <f>'Determination cell counts FP'!R11</f>
        <v>9.1367632794242599</v>
      </c>
      <c r="F33" s="106">
        <f>'Determination cell counts FP'!S11</f>
        <v>6.2875100922956673E-2</v>
      </c>
    </row>
    <row r="34" spans="1:6">
      <c r="A34" s="40">
        <v>8</v>
      </c>
      <c r="B34" s="32">
        <v>80</v>
      </c>
      <c r="C34" s="32">
        <f t="shared" si="8"/>
        <v>680</v>
      </c>
      <c r="D34" s="13">
        <f t="shared" si="7"/>
        <v>11.333333333333334</v>
      </c>
      <c r="E34" s="106">
        <f>'Determination cell counts FP'!R12</f>
        <v>9.220412215084723</v>
      </c>
      <c r="F34" s="106">
        <f>'Determination cell counts FP'!S12</f>
        <v>7.4320411862293406E-2</v>
      </c>
    </row>
    <row r="35" spans="1:6">
      <c r="A35" s="40">
        <v>9</v>
      </c>
      <c r="B35" s="32">
        <v>80</v>
      </c>
      <c r="C35" s="32">
        <f t="shared" si="8"/>
        <v>760</v>
      </c>
      <c r="D35" s="13">
        <f t="shared" si="7"/>
        <v>12.666666666666666</v>
      </c>
      <c r="E35" s="106">
        <f>'Determination cell counts FP'!R13</f>
        <v>9.3645673718530649</v>
      </c>
      <c r="F35" s="106">
        <f>'Determination cell counts FP'!S13</f>
        <v>9.785520260612985E-3</v>
      </c>
    </row>
    <row r="36" spans="1:6">
      <c r="A36" s="40">
        <v>10</v>
      </c>
      <c r="B36" s="32">
        <v>80</v>
      </c>
      <c r="C36" s="32">
        <f t="shared" si="8"/>
        <v>840</v>
      </c>
      <c r="D36" s="13">
        <f t="shared" si="7"/>
        <v>14</v>
      </c>
      <c r="E36" s="106">
        <f>'Determination cell counts FP'!R14</f>
        <v>9.4469484326784539</v>
      </c>
      <c r="F36" s="106">
        <f>'Determination cell counts FP'!S14</f>
        <v>9.7662744272586352E-2</v>
      </c>
    </row>
    <row r="37" spans="1:6">
      <c r="A37" s="40">
        <v>11</v>
      </c>
      <c r="B37" s="32">
        <v>80</v>
      </c>
      <c r="C37" s="32">
        <f t="shared" si="8"/>
        <v>920</v>
      </c>
      <c r="D37" s="13">
        <f t="shared" si="7"/>
        <v>15.333333333333334</v>
      </c>
      <c r="E37" s="106">
        <f>'Determination cell counts FP'!R15</f>
        <v>9.3773281508129589</v>
      </c>
      <c r="F37" s="106">
        <f>'Determination cell counts FP'!S15</f>
        <v>1.8044230405874776E-2</v>
      </c>
    </row>
    <row r="38" spans="1:6">
      <c r="A38" s="40">
        <v>12</v>
      </c>
      <c r="B38" s="32">
        <v>80</v>
      </c>
      <c r="C38" s="32">
        <f t="shared" si="8"/>
        <v>1000</v>
      </c>
      <c r="D38" s="13">
        <f t="shared" si="7"/>
        <v>16.666666666666668</v>
      </c>
      <c r="E38" s="106">
        <f>'Determination cell counts FP'!R16</f>
        <v>9.3022329182244246</v>
      </c>
      <c r="F38" s="106">
        <f>'Determination cell counts FP'!S16</f>
        <v>6.8863483295791755E-2</v>
      </c>
    </row>
    <row r="39" spans="1:6">
      <c r="A39" s="40">
        <v>13</v>
      </c>
      <c r="B39" s="32">
        <v>80</v>
      </c>
      <c r="C39" s="32">
        <f t="shared" si="8"/>
        <v>1080</v>
      </c>
      <c r="D39" s="13">
        <f t="shared" si="7"/>
        <v>18</v>
      </c>
      <c r="E39" s="106">
        <f>'Determination cell counts FP'!R17</f>
        <v>9.2583198815476671</v>
      </c>
      <c r="F39" s="106">
        <f>'Determination cell counts FP'!S17</f>
        <v>6.0126833946166268E-2</v>
      </c>
    </row>
    <row r="40" spans="1:6">
      <c r="A40" s="40">
        <v>14</v>
      </c>
      <c r="B40" s="32">
        <v>360</v>
      </c>
      <c r="C40" s="32">
        <f t="shared" si="8"/>
        <v>1440</v>
      </c>
      <c r="D40" s="13">
        <f t="shared" si="7"/>
        <v>24</v>
      </c>
      <c r="E40" s="106">
        <f>'Determination cell counts FP'!R18</f>
        <v>9.3320703515312875</v>
      </c>
      <c r="F40" s="106">
        <f>'Determination cell counts FP'!S18</f>
        <v>9.0832214244491075E-2</v>
      </c>
    </row>
    <row r="41" spans="1:6">
      <c r="A41" s="40">
        <v>15</v>
      </c>
      <c r="B41" s="32">
        <v>360</v>
      </c>
      <c r="C41" s="32">
        <f>C40+B41</f>
        <v>1800</v>
      </c>
      <c r="D41" s="13">
        <f t="shared" si="7"/>
        <v>30</v>
      </c>
      <c r="E41" s="106">
        <f>'Determination cell counts FP'!R19</f>
        <v>9.165442848561975</v>
      </c>
      <c r="F41" s="106">
        <f>'Determination cell counts FP'!S19</f>
        <v>9.6488773708669706E-2</v>
      </c>
    </row>
    <row r="42" spans="1:6">
      <c r="A42" s="40">
        <v>16</v>
      </c>
      <c r="B42" s="32">
        <v>1080</v>
      </c>
      <c r="C42" s="32">
        <f>C41+B42</f>
        <v>2880</v>
      </c>
      <c r="D42" s="13">
        <f t="shared" si="7"/>
        <v>48</v>
      </c>
      <c r="E42" s="106">
        <f>'Determination cell counts FP'!R20</f>
        <v>8.9233624446759201</v>
      </c>
      <c r="F42" s="106">
        <f>'Determination cell counts FP'!S20</f>
        <v>0.10858465880003063</v>
      </c>
    </row>
  </sheetData>
  <mergeCells count="21"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2" sqref="H2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3" t="s">
        <v>4</v>
      </c>
      <c r="B1" s="133" t="s">
        <v>117</v>
      </c>
      <c r="C1" s="133" t="s">
        <v>117</v>
      </c>
      <c r="D1" s="133" t="s">
        <v>5</v>
      </c>
      <c r="E1" s="133" t="s">
        <v>19</v>
      </c>
      <c r="F1" s="133" t="s">
        <v>24</v>
      </c>
      <c r="G1" s="132" t="s">
        <v>25</v>
      </c>
      <c r="H1" s="129" t="s">
        <v>26</v>
      </c>
      <c r="I1" s="4" t="s">
        <v>27</v>
      </c>
      <c r="J1" s="53" t="s">
        <v>27</v>
      </c>
    </row>
    <row r="2" spans="1:10">
      <c r="A2" s="134"/>
      <c r="B2" s="134"/>
      <c r="C2" s="134"/>
      <c r="D2" s="134"/>
      <c r="E2" s="134"/>
      <c r="F2" s="134"/>
      <c r="G2" s="132"/>
      <c r="H2" s="129"/>
      <c r="I2" s="5" t="s">
        <v>28</v>
      </c>
      <c r="J2" s="54" t="s">
        <v>23</v>
      </c>
    </row>
    <row r="3" spans="1:10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8.6999999999999994E-2</v>
      </c>
      <c r="G3" s="50">
        <v>8.6999999999999994E-2</v>
      </c>
      <c r="H3" s="50">
        <v>8.6999999999999994E-2</v>
      </c>
      <c r="I3" s="51">
        <f>E3*(AVERAGE(F3:H3)*1.6007-0.0118)</f>
        <v>0.12746090000000002</v>
      </c>
      <c r="J3" s="51">
        <f>E3*(STDEV(F3:H3)*1.6007)</f>
        <v>2.7206696834821082E-17</v>
      </c>
    </row>
    <row r="4" spans="1:10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0.12</v>
      </c>
      <c r="G4" s="50">
        <v>0.12</v>
      </c>
      <c r="H4" s="50">
        <v>0.12</v>
      </c>
      <c r="I4" s="51">
        <f>E4*(AVERAGE(F4:H4)*1.6007-0.0118)</f>
        <v>0.180284</v>
      </c>
      <c r="J4" s="51">
        <f t="shared" ref="J4:J9" si="1">E4*(STDEV(F4:H4)*1.6007)</f>
        <v>0</v>
      </c>
    </row>
    <row r="5" spans="1:10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40">
        <v>1</v>
      </c>
      <c r="F5" s="50">
        <v>0.13100000000000001</v>
      </c>
      <c r="G5" s="50">
        <v>0.13100000000000001</v>
      </c>
      <c r="H5" s="50">
        <v>0.13100000000000001</v>
      </c>
      <c r="I5" s="51">
        <f t="shared" ref="I5:I9" si="2">E5*(AVERAGE(F5:H5)*1.6007-0.0118)</f>
        <v>0.1978917</v>
      </c>
      <c r="J5" s="51">
        <f t="shared" si="1"/>
        <v>0</v>
      </c>
    </row>
    <row r="6" spans="1:10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</v>
      </c>
      <c r="F6" s="50">
        <v>0.16200000000000001</v>
      </c>
      <c r="G6" s="50">
        <v>0.16200000000000001</v>
      </c>
      <c r="H6" s="50">
        <v>0.16200000000000001</v>
      </c>
      <c r="I6" s="51">
        <f t="shared" si="2"/>
        <v>0.24751340000000002</v>
      </c>
      <c r="J6" s="51">
        <f t="shared" si="1"/>
        <v>0</v>
      </c>
    </row>
    <row r="7" spans="1:10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</v>
      </c>
      <c r="F7" s="50">
        <v>0.23</v>
      </c>
      <c r="G7" s="50">
        <v>0.23</v>
      </c>
      <c r="H7" s="50">
        <v>0.23</v>
      </c>
      <c r="I7" s="51">
        <f t="shared" si="2"/>
        <v>0.35636100000000004</v>
      </c>
      <c r="J7" s="51">
        <f t="shared" si="1"/>
        <v>0</v>
      </c>
    </row>
    <row r="8" spans="1:10">
      <c r="A8" s="65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10</v>
      </c>
      <c r="F8" s="50">
        <v>5.1999999999999998E-2</v>
      </c>
      <c r="G8" s="50">
        <v>5.2999999999999999E-2</v>
      </c>
      <c r="H8" s="50">
        <v>5.1999999999999998E-2</v>
      </c>
      <c r="I8" s="51">
        <f t="shared" si="2"/>
        <v>0.71969966666666663</v>
      </c>
      <c r="J8" s="51">
        <f t="shared" si="1"/>
        <v>9.241645758918348E-3</v>
      </c>
    </row>
    <row r="9" spans="1:10">
      <c r="A9" s="65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10</v>
      </c>
      <c r="F9" s="50">
        <v>0.112</v>
      </c>
      <c r="G9" s="50">
        <v>0.112</v>
      </c>
      <c r="H9" s="50">
        <v>0.111</v>
      </c>
      <c r="I9" s="51">
        <f t="shared" si="2"/>
        <v>1.6694483333333334</v>
      </c>
      <c r="J9" s="51">
        <f t="shared" si="1"/>
        <v>9.241645758918348E-3</v>
      </c>
    </row>
    <row r="10" spans="1:10">
      <c r="A10" s="65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10</v>
      </c>
      <c r="F10" s="50">
        <v>0.20599999999999999</v>
      </c>
      <c r="G10" s="50">
        <v>0.21</v>
      </c>
      <c r="H10" s="50">
        <v>0.20200000000000001</v>
      </c>
      <c r="I10" s="51">
        <f t="shared" ref="I10:I20" si="4">E10*(AVERAGE(F10:H10)*1.6007-0.0118)</f>
        <v>3.1794419999999999</v>
      </c>
      <c r="J10" s="51">
        <f t="shared" ref="J10:J20" si="5">E10*(STDEV(F10:H10)*1.6007)</f>
        <v>6.4027999999999835E-2</v>
      </c>
    </row>
    <row r="11" spans="1:10">
      <c r="A11" s="65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10</v>
      </c>
      <c r="F11" s="50">
        <v>0.32600000000000001</v>
      </c>
      <c r="G11" s="50">
        <v>0.31900000000000001</v>
      </c>
      <c r="H11" s="50">
        <v>0.32500000000000001</v>
      </c>
      <c r="I11" s="51">
        <f t="shared" si="4"/>
        <v>5.0575966666666661</v>
      </c>
      <c r="J11" s="51">
        <f t="shared" si="5"/>
        <v>6.0601523927483372E-2</v>
      </c>
    </row>
    <row r="12" spans="1:10">
      <c r="A12" s="65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20</v>
      </c>
      <c r="F12" s="50">
        <v>0.22900000000000001</v>
      </c>
      <c r="G12" s="50">
        <v>0.23</v>
      </c>
      <c r="H12" s="50">
        <v>0.23400000000000001</v>
      </c>
      <c r="I12" s="51">
        <f t="shared" si="4"/>
        <v>7.1592340000000014</v>
      </c>
      <c r="J12" s="51">
        <f t="shared" si="5"/>
        <v>8.4701082472421876E-2</v>
      </c>
    </row>
    <row r="13" spans="1:10">
      <c r="A13" s="65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0.28199999999999997</v>
      </c>
      <c r="G13" s="50">
        <v>0.27800000000000002</v>
      </c>
      <c r="H13" s="50">
        <v>0.28000000000000003</v>
      </c>
      <c r="I13" s="51">
        <f t="shared" si="4"/>
        <v>8.727920000000001</v>
      </c>
      <c r="J13" s="51">
        <f t="shared" si="5"/>
        <v>6.4027999999999169E-2</v>
      </c>
    </row>
    <row r="14" spans="1:10">
      <c r="A14" s="65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0.316</v>
      </c>
      <c r="G14" s="50">
        <v>0.34399999999999997</v>
      </c>
      <c r="H14" s="50">
        <v>0.34599999999999997</v>
      </c>
      <c r="I14" s="51">
        <f t="shared" si="4"/>
        <v>10.499361333333329</v>
      </c>
      <c r="J14" s="51">
        <f t="shared" si="5"/>
        <v>0.53697063526912969</v>
      </c>
    </row>
    <row r="15" spans="1:10">
      <c r="A15" s="65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0.307</v>
      </c>
      <c r="G15" s="50">
        <v>0.318</v>
      </c>
      <c r="H15" s="50">
        <v>0.32600000000000001</v>
      </c>
      <c r="I15" s="51">
        <f t="shared" si="4"/>
        <v>9.9124379999999999</v>
      </c>
      <c r="J15" s="51">
        <f t="shared" si="5"/>
        <v>0.30539409594162126</v>
      </c>
    </row>
    <row r="16" spans="1:10">
      <c r="A16" s="65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0.29199999999999998</v>
      </c>
      <c r="G16" s="50">
        <v>0.30599999999999999</v>
      </c>
      <c r="H16" s="50">
        <v>0.311</v>
      </c>
      <c r="I16" s="51">
        <f t="shared" si="4"/>
        <v>9.4642420000000005</v>
      </c>
      <c r="J16" s="51">
        <f t="shared" si="5"/>
        <v>0.31530133366670077</v>
      </c>
    </row>
    <row r="17" spans="1:10">
      <c r="A17" s="65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0.26800000000000002</v>
      </c>
      <c r="G17" s="50">
        <v>0.28699999999999998</v>
      </c>
      <c r="H17" s="50">
        <v>0.27800000000000002</v>
      </c>
      <c r="I17" s="51">
        <f t="shared" si="4"/>
        <v>8.6532206666666678</v>
      </c>
      <c r="J17" s="51">
        <f t="shared" si="5"/>
        <v>0.30427337988284975</v>
      </c>
    </row>
    <row r="18" spans="1:10">
      <c r="A18" s="65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0.21099999999999999</v>
      </c>
      <c r="G18" s="50">
        <v>0.221</v>
      </c>
      <c r="H18" s="50">
        <v>0.223</v>
      </c>
      <c r="I18" s="51">
        <f>E18*(AVERAGE(F18:H18)*1.6007-0.0118)</f>
        <v>6.7537233333333351</v>
      </c>
      <c r="J18" s="51">
        <f t="shared" si="5"/>
        <v>0.20582122364161917</v>
      </c>
    </row>
    <row r="19" spans="1:10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0.183</v>
      </c>
      <c r="G19" s="50">
        <v>0.187</v>
      </c>
      <c r="H19" s="50">
        <v>0.183</v>
      </c>
      <c r="I19" s="51">
        <f>E19*(AVERAGE(F19:H19)*1.6007-0.0118)</f>
        <v>5.6652473333333333</v>
      </c>
      <c r="J19" s="51">
        <f t="shared" si="5"/>
        <v>7.3933166071346784E-2</v>
      </c>
    </row>
    <row r="20" spans="1:10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10</v>
      </c>
      <c r="F20" s="50">
        <v>0.24299999999999999</v>
      </c>
      <c r="G20" s="50">
        <v>0.24099999999999999</v>
      </c>
      <c r="H20" s="50">
        <v>0.252</v>
      </c>
      <c r="I20" s="51">
        <f t="shared" si="4"/>
        <v>3.8090506666666668</v>
      </c>
      <c r="J20" s="51">
        <f t="shared" si="5"/>
        <v>9.3792460690256693E-2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3" t="s">
        <v>4</v>
      </c>
      <c r="B1" s="133" t="s">
        <v>117</v>
      </c>
      <c r="C1" s="133" t="s">
        <v>117</v>
      </c>
      <c r="D1" s="133" t="s">
        <v>5</v>
      </c>
      <c r="E1" s="4" t="s">
        <v>29</v>
      </c>
      <c r="F1" s="4" t="s">
        <v>2</v>
      </c>
      <c r="G1" s="4" t="s">
        <v>32</v>
      </c>
    </row>
    <row r="2" spans="1:7">
      <c r="A2" s="134"/>
      <c r="B2" s="134"/>
      <c r="C2" s="134"/>
      <c r="D2" s="134"/>
      <c r="E2" s="5" t="s">
        <v>30</v>
      </c>
      <c r="F2" s="5" t="s">
        <v>31</v>
      </c>
      <c r="G2" s="5" t="s">
        <v>33</v>
      </c>
    </row>
    <row r="3" spans="1:7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5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5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5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5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5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5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5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5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5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5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5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6" t="s">
        <v>3</v>
      </c>
      <c r="B22" s="157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B102" sqref="B102:B103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70.599999999999994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2" t="s">
        <v>5</v>
      </c>
      <c r="B3" s="132" t="s">
        <v>36</v>
      </c>
      <c r="C3" s="132"/>
      <c r="D3" s="132" t="s">
        <v>52</v>
      </c>
      <c r="E3" s="132"/>
      <c r="F3" s="132"/>
      <c r="G3" s="23" t="s">
        <v>53</v>
      </c>
    </row>
    <row r="4" spans="1:10">
      <c r="A4" s="132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7">
        <v>276.37</v>
      </c>
      <c r="C5" s="12">
        <f>B5/1000</f>
        <v>0.27637</v>
      </c>
      <c r="D5" s="12">
        <f>C5/1000*$B$1</f>
        <v>1.9511721999999999E-2</v>
      </c>
      <c r="E5" s="12">
        <f>D5/22.4</f>
        <v>8.7105901785714283E-4</v>
      </c>
      <c r="F5" s="12">
        <f>E5/Calculation!K$4*1000</f>
        <v>5.7005298873093505E-4</v>
      </c>
      <c r="G5" s="12">
        <f>(0+F5)/2*30</f>
        <v>8.5507948309640255E-3</v>
      </c>
      <c r="I5" s="80">
        <v>-0.16666666666666666</v>
      </c>
      <c r="J5" t="s">
        <v>162</v>
      </c>
    </row>
    <row r="6" spans="1:10">
      <c r="A6" s="12">
        <v>0.5</v>
      </c>
      <c r="B6" s="77">
        <v>1172.67</v>
      </c>
      <c r="C6" s="12">
        <f t="shared" ref="C6:C69" si="0">B6/1000</f>
        <v>1.1726700000000001</v>
      </c>
      <c r="D6" s="12">
        <f>C6/1000*$B$1</f>
        <v>8.2790501999999988E-2</v>
      </c>
      <c r="E6" s="12">
        <f>D6/22.4</f>
        <v>3.6960045535714284E-3</v>
      </c>
      <c r="F6" s="12">
        <f>E6/Calculation!K$4*1000</f>
        <v>2.4188010214390336E-3</v>
      </c>
      <c r="G6" s="12">
        <f>G5+(F6+F5)/2*30</f>
        <v>5.3383604983513556E-2</v>
      </c>
      <c r="I6" s="80">
        <v>0.16666666666666666</v>
      </c>
      <c r="J6" t="s">
        <v>163</v>
      </c>
    </row>
    <row r="7" spans="1:10">
      <c r="A7" s="12">
        <v>1</v>
      </c>
      <c r="B7" s="77">
        <v>1386.87</v>
      </c>
      <c r="C7" s="12">
        <f t="shared" si="0"/>
        <v>1.3868699999999998</v>
      </c>
      <c r="D7" s="12">
        <f t="shared" ref="D7:D69" si="1">C7/1000*$B$1</f>
        <v>9.7913021999999988E-2</v>
      </c>
      <c r="E7" s="12">
        <f t="shared" ref="E7:E69" si="2">D7/22.4</f>
        <v>4.3711170535714284E-3</v>
      </c>
      <c r="F7" s="12">
        <f>E7/Calculation!K$4*1000</f>
        <v>2.8606194177416941E-3</v>
      </c>
      <c r="G7" s="12">
        <f t="shared" ref="G7:G70" si="3">G6+(F7+F6)/2*30</f>
        <v>0.13257491157122447</v>
      </c>
      <c r="I7" s="80">
        <v>2</v>
      </c>
      <c r="J7" t="s">
        <v>164</v>
      </c>
    </row>
    <row r="8" spans="1:10">
      <c r="A8" s="12">
        <v>1.5</v>
      </c>
      <c r="B8" s="77">
        <v>1706.08</v>
      </c>
      <c r="C8" s="12">
        <f t="shared" si="0"/>
        <v>1.7060799999999998</v>
      </c>
      <c r="D8" s="12">
        <f t="shared" si="1"/>
        <v>0.12044924799999998</v>
      </c>
      <c r="E8" s="12">
        <f t="shared" si="2"/>
        <v>5.3771985714285708E-3</v>
      </c>
      <c r="F8" s="12">
        <f>E8/Calculation!K$4*1000</f>
        <v>3.5190360857331611E-3</v>
      </c>
      <c r="G8" s="12">
        <f t="shared" si="3"/>
        <v>0.2282697441233473</v>
      </c>
      <c r="I8" s="80">
        <v>3.3333333333333335</v>
      </c>
      <c r="J8" t="s">
        <v>165</v>
      </c>
    </row>
    <row r="9" spans="1:10">
      <c r="A9" s="12">
        <v>2</v>
      </c>
      <c r="B9" s="77">
        <v>2514.1799999999998</v>
      </c>
      <c r="C9" s="12">
        <f t="shared" si="0"/>
        <v>2.5141799999999996</v>
      </c>
      <c r="D9" s="12">
        <f t="shared" si="1"/>
        <v>0.17750110799999996</v>
      </c>
      <c r="E9" s="12">
        <f t="shared" si="2"/>
        <v>7.9241566071428567E-3</v>
      </c>
      <c r="F9" s="12">
        <f>E9/Calculation!K$5*1000</f>
        <v>5.3467149377262419E-3</v>
      </c>
      <c r="G9" s="12">
        <f t="shared" si="3"/>
        <v>0.36125600947523834</v>
      </c>
      <c r="I9" s="80">
        <v>4.666666666666667</v>
      </c>
      <c r="J9" t="s">
        <v>166</v>
      </c>
    </row>
    <row r="10" spans="1:10">
      <c r="A10" s="12">
        <v>2.5</v>
      </c>
      <c r="B10" s="77">
        <v>3118.99</v>
      </c>
      <c r="C10" s="12">
        <f t="shared" si="0"/>
        <v>3.1189899999999997</v>
      </c>
      <c r="D10" s="12">
        <f t="shared" si="1"/>
        <v>0.22020069399999997</v>
      </c>
      <c r="E10" s="12">
        <f t="shared" si="2"/>
        <v>9.8303881249999989E-3</v>
      </c>
      <c r="F10" s="12">
        <f>E10/Calculation!K$5*1000</f>
        <v>6.6329182570932753E-3</v>
      </c>
      <c r="G10" s="12">
        <f t="shared" si="3"/>
        <v>0.54095050739753114</v>
      </c>
      <c r="I10" s="80">
        <v>6</v>
      </c>
      <c r="J10" t="s">
        <v>167</v>
      </c>
    </row>
    <row r="11" spans="1:10">
      <c r="A11" s="12">
        <v>3</v>
      </c>
      <c r="B11" s="77">
        <v>3800.25</v>
      </c>
      <c r="C11" s="12">
        <f t="shared" si="0"/>
        <v>3.8002500000000001</v>
      </c>
      <c r="D11" s="12">
        <f t="shared" si="1"/>
        <v>0.26829765</v>
      </c>
      <c r="E11" s="12">
        <f t="shared" si="2"/>
        <v>1.1977573660714287E-2</v>
      </c>
      <c r="F11" s="12">
        <f>E11/Calculation!K$5*1000</f>
        <v>8.0817019633018152E-3</v>
      </c>
      <c r="G11" s="12">
        <f t="shared" si="3"/>
        <v>0.76166981070345752</v>
      </c>
      <c r="I11" s="80">
        <v>7.333333333333333</v>
      </c>
      <c r="J11" t="s">
        <v>168</v>
      </c>
    </row>
    <row r="12" spans="1:10">
      <c r="A12" s="12">
        <v>3.5</v>
      </c>
      <c r="B12" s="77">
        <v>4435.3</v>
      </c>
      <c r="C12" s="12">
        <f t="shared" si="0"/>
        <v>4.4352999999999998</v>
      </c>
      <c r="D12" s="12">
        <f t="shared" si="1"/>
        <v>0.31313217999999993</v>
      </c>
      <c r="E12" s="12">
        <f t="shared" si="2"/>
        <v>1.3979115178571427E-2</v>
      </c>
      <c r="F12" s="12">
        <f>E12/Calculation!K$6*1000</f>
        <v>9.7477170267856739E-3</v>
      </c>
      <c r="G12" s="12">
        <f t="shared" si="3"/>
        <v>1.0291110955547698</v>
      </c>
      <c r="I12" s="80">
        <v>8.6666666666666661</v>
      </c>
      <c r="J12" t="s">
        <v>169</v>
      </c>
    </row>
    <row r="13" spans="1:10">
      <c r="A13" s="12">
        <v>4</v>
      </c>
      <c r="B13" s="77">
        <v>6153.14</v>
      </c>
      <c r="C13" s="12">
        <f t="shared" si="0"/>
        <v>6.1531400000000005</v>
      </c>
      <c r="D13" s="12">
        <f t="shared" si="1"/>
        <v>0.43441168400000002</v>
      </c>
      <c r="E13" s="12">
        <f t="shared" si="2"/>
        <v>1.9393378750000002E-2</v>
      </c>
      <c r="F13" s="12">
        <f>E13/Calculation!K$6*1000</f>
        <v>1.3523114004959308E-2</v>
      </c>
      <c r="G13" s="12">
        <f t="shared" si="3"/>
        <v>1.3781735610309445</v>
      </c>
      <c r="I13" s="80">
        <v>10</v>
      </c>
      <c r="J13" t="s">
        <v>170</v>
      </c>
    </row>
    <row r="14" spans="1:10">
      <c r="A14" s="12">
        <v>4.5</v>
      </c>
      <c r="B14" s="77">
        <v>7292.2</v>
      </c>
      <c r="C14" s="12">
        <f t="shared" si="0"/>
        <v>7.2922000000000002</v>
      </c>
      <c r="D14" s="12">
        <f t="shared" si="1"/>
        <v>0.51482932000000003</v>
      </c>
      <c r="E14" s="12">
        <f t="shared" si="2"/>
        <v>2.2983451785714287E-2</v>
      </c>
      <c r="F14" s="12">
        <f>E14/Calculation!K$6*1000</f>
        <v>1.6026492481393931E-2</v>
      </c>
      <c r="G14" s="12">
        <f t="shared" si="3"/>
        <v>1.8214176583262431</v>
      </c>
      <c r="I14" s="80">
        <v>11.333333333333334</v>
      </c>
      <c r="J14" t="s">
        <v>171</v>
      </c>
    </row>
    <row r="15" spans="1:10">
      <c r="A15" s="12">
        <v>5</v>
      </c>
      <c r="B15" s="77">
        <v>10934.52</v>
      </c>
      <c r="C15" s="12">
        <f t="shared" si="0"/>
        <v>10.934520000000001</v>
      </c>
      <c r="D15" s="12">
        <f t="shared" si="1"/>
        <v>0.77197711200000008</v>
      </c>
      <c r="E15" s="12">
        <f t="shared" si="2"/>
        <v>3.4463263928571436E-2</v>
      </c>
      <c r="F15" s="12">
        <f>E15/Calculation!K$7*1000</f>
        <v>2.4826715969418361E-2</v>
      </c>
      <c r="G15" s="12">
        <f t="shared" si="3"/>
        <v>2.4342157850884276</v>
      </c>
      <c r="I15" s="80">
        <v>12.666666666666666</v>
      </c>
      <c r="J15" t="s">
        <v>172</v>
      </c>
    </row>
    <row r="16" spans="1:10">
      <c r="A16" s="12">
        <v>5.5</v>
      </c>
      <c r="B16" s="77">
        <v>15865.44</v>
      </c>
      <c r="C16" s="12">
        <f t="shared" si="0"/>
        <v>15.865440000000001</v>
      </c>
      <c r="D16" s="12">
        <f t="shared" si="1"/>
        <v>1.1201000640000001</v>
      </c>
      <c r="E16" s="12">
        <f t="shared" si="2"/>
        <v>5.0004467142857147E-2</v>
      </c>
      <c r="F16" s="12">
        <f>E16/Calculation!K$7*1000</f>
        <v>3.602231946256889E-2</v>
      </c>
      <c r="G16" s="12">
        <f t="shared" si="3"/>
        <v>3.3469513165682363</v>
      </c>
      <c r="I16" s="80">
        <v>14</v>
      </c>
      <c r="J16" t="s">
        <v>173</v>
      </c>
    </row>
    <row r="17" spans="1:10">
      <c r="A17" s="12">
        <v>6</v>
      </c>
      <c r="B17" s="77">
        <v>19138.150000000001</v>
      </c>
      <c r="C17" s="12">
        <f t="shared" si="0"/>
        <v>19.138150000000003</v>
      </c>
      <c r="D17" s="12">
        <f t="shared" si="1"/>
        <v>1.3511533900000001</v>
      </c>
      <c r="E17" s="12">
        <f t="shared" si="2"/>
        <v>6.0319347767857155E-2</v>
      </c>
      <c r="F17" s="12">
        <f>E17/Calculation!K$8*1000</f>
        <v>4.500486602022636E-2</v>
      </c>
      <c r="G17" s="12">
        <f t="shared" si="3"/>
        <v>4.5623590988101652</v>
      </c>
      <c r="I17" s="80">
        <v>15.333333333333334</v>
      </c>
      <c r="J17" t="s">
        <v>174</v>
      </c>
    </row>
    <row r="18" spans="1:10">
      <c r="A18" s="12">
        <v>6.5</v>
      </c>
      <c r="B18" s="77">
        <v>29157.89</v>
      </c>
      <c r="C18" s="12">
        <f t="shared" si="0"/>
        <v>29.157889999999998</v>
      </c>
      <c r="D18" s="12">
        <f t="shared" si="1"/>
        <v>2.0585470339999996</v>
      </c>
      <c r="E18" s="12">
        <f t="shared" si="2"/>
        <v>9.189942116071427E-2</v>
      </c>
      <c r="F18" s="12">
        <f>E18/Calculation!K$8*1000</f>
        <v>6.8567073248067226E-2</v>
      </c>
      <c r="G18" s="12">
        <f t="shared" si="3"/>
        <v>6.2659381878345695</v>
      </c>
      <c r="I18" s="80">
        <v>16.666666666666668</v>
      </c>
      <c r="J18" t="s">
        <v>175</v>
      </c>
    </row>
    <row r="19" spans="1:10">
      <c r="A19" s="12">
        <v>7</v>
      </c>
      <c r="B19" s="77">
        <v>31176.46</v>
      </c>
      <c r="C19" s="12">
        <f t="shared" si="0"/>
        <v>31.176459999999999</v>
      </c>
      <c r="D19" s="12">
        <f t="shared" si="1"/>
        <v>2.2010580759999998</v>
      </c>
      <c r="E19" s="12">
        <f t="shared" si="2"/>
        <v>9.8261521249999997E-2</v>
      </c>
      <c r="F19" s="12">
        <f>E19/Calculation!K$8*1000</f>
        <v>7.331389947748064E-2</v>
      </c>
      <c r="G19" s="12">
        <f t="shared" si="3"/>
        <v>8.3941527787177872</v>
      </c>
      <c r="I19" s="80">
        <v>18</v>
      </c>
      <c r="J19" t="s">
        <v>176</v>
      </c>
    </row>
    <row r="20" spans="1:10">
      <c r="A20" s="12">
        <v>7.5</v>
      </c>
      <c r="B20" s="77">
        <v>39331.360000000001</v>
      </c>
      <c r="C20" s="12">
        <f t="shared" si="0"/>
        <v>39.331360000000004</v>
      </c>
      <c r="D20" s="12">
        <f t="shared" si="1"/>
        <v>2.7767940159999998</v>
      </c>
      <c r="E20" s="12">
        <f t="shared" si="2"/>
        <v>0.12396401857142857</v>
      </c>
      <c r="F20" s="12">
        <f>E20/Calculation!K$9*1000</f>
        <v>9.5606864245866507E-2</v>
      </c>
      <c r="G20" s="12">
        <f t="shared" si="3"/>
        <v>10.927964234567995</v>
      </c>
      <c r="I20" s="80">
        <v>24</v>
      </c>
      <c r="J20" t="s">
        <v>177</v>
      </c>
    </row>
    <row r="21" spans="1:10">
      <c r="A21" s="12">
        <v>8</v>
      </c>
      <c r="B21" s="77">
        <v>46836.09</v>
      </c>
      <c r="C21" s="12">
        <f t="shared" si="0"/>
        <v>46.836089999999999</v>
      </c>
      <c r="D21" s="12">
        <f t="shared" si="1"/>
        <v>3.3066279539999996</v>
      </c>
      <c r="E21" s="12">
        <f t="shared" si="2"/>
        <v>0.147617319375</v>
      </c>
      <c r="F21" s="12">
        <f>E21/Calculation!K$9*1000</f>
        <v>0.11384939901486209</v>
      </c>
      <c r="G21" s="12">
        <f t="shared" si="3"/>
        <v>14.069808183478923</v>
      </c>
      <c r="I21" s="80">
        <v>30</v>
      </c>
      <c r="J21" t="s">
        <v>178</v>
      </c>
    </row>
    <row r="22" spans="1:10">
      <c r="A22" s="12">
        <v>8.5</v>
      </c>
      <c r="B22" s="77">
        <v>32079.48</v>
      </c>
      <c r="C22" s="12">
        <f t="shared" si="0"/>
        <v>32.079479999999997</v>
      </c>
      <c r="D22" s="12">
        <f t="shared" si="1"/>
        <v>2.2648112879999993</v>
      </c>
      <c r="E22" s="12">
        <f t="shared" si="2"/>
        <v>0.10110764678571427</v>
      </c>
      <c r="F22" s="12">
        <f>E22/Calculation!K$9*1000</f>
        <v>7.7978958506341733E-2</v>
      </c>
      <c r="G22" s="12">
        <f t="shared" si="3"/>
        <v>16.947233546296978</v>
      </c>
      <c r="I22" s="80">
        <v>48</v>
      </c>
      <c r="J22" t="s">
        <v>179</v>
      </c>
    </row>
    <row r="23" spans="1:10">
      <c r="A23" s="12">
        <v>9</v>
      </c>
      <c r="B23" s="77">
        <v>36128.370000000003</v>
      </c>
      <c r="C23" s="12">
        <f t="shared" si="0"/>
        <v>36.128370000000004</v>
      </c>
      <c r="D23" s="12">
        <f t="shared" si="1"/>
        <v>2.5506629220000003</v>
      </c>
      <c r="E23" s="12">
        <f t="shared" si="2"/>
        <v>0.11386888044642859</v>
      </c>
      <c r="F23" s="12">
        <f>E23/Calculation!K$10*1000</f>
        <v>9.0787480557101674E-2</v>
      </c>
      <c r="G23" s="12">
        <f t="shared" si="3"/>
        <v>19.478730132248629</v>
      </c>
    </row>
    <row r="24" spans="1:10">
      <c r="A24" s="12">
        <v>9.5</v>
      </c>
      <c r="B24" s="77">
        <v>30897.57</v>
      </c>
      <c r="C24" s="12">
        <f t="shared" si="0"/>
        <v>30.897569999999998</v>
      </c>
      <c r="D24" s="12">
        <f t="shared" si="1"/>
        <v>2.1813684419999997</v>
      </c>
      <c r="E24" s="12">
        <f t="shared" si="2"/>
        <v>9.7382519732142847E-2</v>
      </c>
      <c r="F24" s="12">
        <f>E24/Calculation!K$10*1000</f>
        <v>7.7642930905454266E-2</v>
      </c>
      <c r="G24" s="12">
        <f t="shared" si="3"/>
        <v>22.005186304186967</v>
      </c>
    </row>
    <row r="25" spans="1:10">
      <c r="A25" s="12">
        <v>10</v>
      </c>
      <c r="B25" s="77">
        <v>31105.9</v>
      </c>
      <c r="C25" s="12">
        <f t="shared" si="0"/>
        <v>31.105900000000002</v>
      </c>
      <c r="D25" s="12">
        <f t="shared" si="1"/>
        <v>2.19607654</v>
      </c>
      <c r="E25" s="12">
        <f t="shared" si="2"/>
        <v>9.8039131250000008E-2</v>
      </c>
      <c r="F25" s="12">
        <f>E25/Calculation!K$11*1000</f>
        <v>8.1070853777325966E-2</v>
      </c>
      <c r="G25" s="12">
        <f t="shared" si="3"/>
        <v>24.385893074428672</v>
      </c>
    </row>
    <row r="26" spans="1:10">
      <c r="A26" s="12">
        <v>10.5</v>
      </c>
      <c r="B26" s="77">
        <v>34376.089999999997</v>
      </c>
      <c r="C26" s="12">
        <f t="shared" si="0"/>
        <v>34.376089999999998</v>
      </c>
      <c r="D26" s="12">
        <f t="shared" si="1"/>
        <v>2.4269519539999997</v>
      </c>
      <c r="E26" s="12">
        <f t="shared" si="2"/>
        <v>0.10834606937499999</v>
      </c>
      <c r="F26" s="12">
        <f>E26/Calculation!K$11*1000</f>
        <v>8.9593902308764475E-2</v>
      </c>
      <c r="G26" s="12">
        <f t="shared" si="3"/>
        <v>26.945864415720028</v>
      </c>
    </row>
    <row r="27" spans="1:10">
      <c r="A27" s="12">
        <v>11</v>
      </c>
      <c r="B27" s="77">
        <v>36844.06</v>
      </c>
      <c r="C27" s="12">
        <f t="shared" si="0"/>
        <v>36.844059999999999</v>
      </c>
      <c r="D27" s="12">
        <f t="shared" si="1"/>
        <v>2.6011906359999997</v>
      </c>
      <c r="E27" s="12">
        <f t="shared" si="2"/>
        <v>0.11612458196428571</v>
      </c>
      <c r="F27" s="12">
        <f>E27/Calculation!K$11*1000</f>
        <v>9.6026136547183144E-2</v>
      </c>
      <c r="G27" s="12">
        <f t="shared" si="3"/>
        <v>29.730164998559243</v>
      </c>
    </row>
    <row r="28" spans="1:10">
      <c r="A28" s="12">
        <v>11.5</v>
      </c>
      <c r="B28" s="77">
        <v>36916.31</v>
      </c>
      <c r="C28" s="12">
        <f t="shared" si="0"/>
        <v>36.916309999999996</v>
      </c>
      <c r="D28" s="12">
        <f t="shared" si="1"/>
        <v>2.6062914859999995</v>
      </c>
      <c r="E28" s="12">
        <f t="shared" si="2"/>
        <v>0.11635229848214285</v>
      </c>
      <c r="F28" s="12">
        <f>E28/Calculation!K$12*1000</f>
        <v>9.9881271050837842E-2</v>
      </c>
      <c r="G28" s="12">
        <f t="shared" si="3"/>
        <v>32.668776112529557</v>
      </c>
    </row>
    <row r="29" spans="1:10">
      <c r="A29" s="12">
        <v>12</v>
      </c>
      <c r="B29" s="77">
        <v>35137.15</v>
      </c>
      <c r="C29" s="12">
        <f t="shared" si="0"/>
        <v>35.137149999999998</v>
      </c>
      <c r="D29" s="12">
        <f t="shared" si="1"/>
        <v>2.4806827899999999</v>
      </c>
      <c r="E29" s="12">
        <f t="shared" si="2"/>
        <v>0.11074476741071429</v>
      </c>
      <c r="F29" s="12">
        <f>E29/Calculation!K$12*1000</f>
        <v>9.5067551526789848E-2</v>
      </c>
      <c r="G29" s="12">
        <f t="shared" si="3"/>
        <v>35.593008451193974</v>
      </c>
    </row>
    <row r="30" spans="1:10">
      <c r="A30" s="12">
        <v>12.5</v>
      </c>
      <c r="B30" s="77">
        <v>39110.44</v>
      </c>
      <c r="C30" s="12">
        <f t="shared" si="0"/>
        <v>39.110440000000004</v>
      </c>
      <c r="D30" s="12">
        <f t="shared" si="1"/>
        <v>2.7611970640000001</v>
      </c>
      <c r="E30" s="12">
        <f t="shared" si="2"/>
        <v>0.12326772607142858</v>
      </c>
      <c r="F30" s="12">
        <f>E30/Calculation!K$12*1000</f>
        <v>0.10581773905781837</v>
      </c>
      <c r="G30" s="12">
        <f t="shared" si="3"/>
        <v>38.606287809963099</v>
      </c>
    </row>
    <row r="31" spans="1:10">
      <c r="A31" s="12">
        <v>13</v>
      </c>
      <c r="B31" s="77">
        <v>35682.32</v>
      </c>
      <c r="C31" s="12">
        <f t="shared" si="0"/>
        <v>35.682319999999997</v>
      </c>
      <c r="D31" s="12">
        <f t="shared" si="1"/>
        <v>2.5191717919999994</v>
      </c>
      <c r="E31" s="12">
        <f t="shared" si="2"/>
        <v>0.11246302642857141</v>
      </c>
      <c r="F31" s="12">
        <f>E31/Calculation!K$13*1000</f>
        <v>9.947303679861294E-2</v>
      </c>
      <c r="G31" s="12">
        <f t="shared" si="3"/>
        <v>41.685649447809567</v>
      </c>
    </row>
    <row r="32" spans="1:10">
      <c r="A32" s="12">
        <v>13.5</v>
      </c>
      <c r="B32" s="77">
        <v>39319.599999999999</v>
      </c>
      <c r="C32" s="12">
        <f t="shared" si="0"/>
        <v>39.319600000000001</v>
      </c>
      <c r="D32" s="12">
        <f t="shared" si="1"/>
        <v>2.7759637599999998</v>
      </c>
      <c r="E32" s="12">
        <f t="shared" si="2"/>
        <v>0.12392695357142856</v>
      </c>
      <c r="F32" s="12">
        <f>E32/Calculation!K$13*1000</f>
        <v>0.10961282836168562</v>
      </c>
      <c r="G32" s="12">
        <f t="shared" si="3"/>
        <v>44.821937425214045</v>
      </c>
    </row>
    <row r="33" spans="1:7">
      <c r="A33" s="12">
        <v>14</v>
      </c>
      <c r="B33" s="77">
        <v>39677.449999999997</v>
      </c>
      <c r="C33" s="12">
        <f t="shared" si="0"/>
        <v>39.67745</v>
      </c>
      <c r="D33" s="12">
        <f t="shared" si="1"/>
        <v>2.8012279699999998</v>
      </c>
      <c r="E33" s="12">
        <f t="shared" si="2"/>
        <v>0.1250548200892857</v>
      </c>
      <c r="F33" s="12">
        <f>E33/Calculation!K$14*1000</f>
        <v>0.11502715674928</v>
      </c>
      <c r="G33" s="12">
        <f t="shared" si="3"/>
        <v>48.191537201878532</v>
      </c>
    </row>
    <row r="34" spans="1:7">
      <c r="A34" s="12">
        <v>14.5</v>
      </c>
      <c r="B34" s="77">
        <v>31062.22</v>
      </c>
      <c r="C34" s="12">
        <f t="shared" si="0"/>
        <v>31.06222</v>
      </c>
      <c r="D34" s="12">
        <f t="shared" si="1"/>
        <v>2.192992732</v>
      </c>
      <c r="E34" s="12">
        <f t="shared" si="2"/>
        <v>9.7901461250000002E-2</v>
      </c>
      <c r="F34" s="12">
        <f>E34/Calculation!K$14*1000</f>
        <v>9.0051120949572627E-2</v>
      </c>
      <c r="G34" s="12">
        <f t="shared" si="3"/>
        <v>51.267711367361322</v>
      </c>
    </row>
    <row r="35" spans="1:7">
      <c r="A35" s="12">
        <v>15</v>
      </c>
      <c r="B35" s="77">
        <v>26667.24</v>
      </c>
      <c r="C35" s="12">
        <f t="shared" si="0"/>
        <v>26.667240000000003</v>
      </c>
      <c r="D35" s="12">
        <f t="shared" si="1"/>
        <v>1.8827071440000001</v>
      </c>
      <c r="E35" s="12">
        <f t="shared" si="2"/>
        <v>8.4049426071428582E-2</v>
      </c>
      <c r="F35" s="12">
        <f>E35/Calculation!K$14*1000</f>
        <v>7.7309827006288731E-2</v>
      </c>
      <c r="G35" s="12">
        <f t="shared" si="3"/>
        <v>53.77812558669924</v>
      </c>
    </row>
    <row r="36" spans="1:7">
      <c r="A36" s="12">
        <v>15.5</v>
      </c>
      <c r="B36" s="77">
        <v>21825.37</v>
      </c>
      <c r="C36" s="12">
        <f t="shared" si="0"/>
        <v>21.825369999999999</v>
      </c>
      <c r="D36" s="12">
        <f t="shared" si="1"/>
        <v>1.540871122</v>
      </c>
      <c r="E36" s="12">
        <f t="shared" si="2"/>
        <v>6.8788889375000009E-2</v>
      </c>
      <c r="F36" s="12">
        <f>E36/Calculation!K$15*1000</f>
        <v>6.582888391991519E-2</v>
      </c>
      <c r="G36" s="12">
        <f t="shared" si="3"/>
        <v>55.925206250592296</v>
      </c>
    </row>
    <row r="37" spans="1:7">
      <c r="A37" s="12">
        <v>16</v>
      </c>
      <c r="B37" s="77">
        <v>16236.72</v>
      </c>
      <c r="C37" s="12">
        <f t="shared" si="0"/>
        <v>16.236719999999998</v>
      </c>
      <c r="D37" s="12">
        <f t="shared" si="1"/>
        <v>1.1463124319999998</v>
      </c>
      <c r="E37" s="12">
        <f t="shared" si="2"/>
        <v>5.1174662142857139E-2</v>
      </c>
      <c r="F37" s="12">
        <f>E37/Calculation!K$15*1000</f>
        <v>4.8972601890376437E-2</v>
      </c>
      <c r="G37" s="12">
        <f t="shared" si="3"/>
        <v>57.64722853774667</v>
      </c>
    </row>
    <row r="38" spans="1:7">
      <c r="A38" s="12">
        <v>16.5</v>
      </c>
      <c r="B38" s="77">
        <v>13390.74</v>
      </c>
      <c r="C38" s="12">
        <f t="shared" si="0"/>
        <v>13.390739999999999</v>
      </c>
      <c r="D38" s="12">
        <f t="shared" si="1"/>
        <v>0.94538624399999993</v>
      </c>
      <c r="E38" s="12">
        <f t="shared" si="2"/>
        <v>4.2204743035714289E-2</v>
      </c>
      <c r="F38" s="12">
        <f>E38/Calculation!K$15*1000</f>
        <v>4.0388660951075059E-2</v>
      </c>
      <c r="G38" s="12">
        <f t="shared" si="3"/>
        <v>58.987647480368445</v>
      </c>
    </row>
    <row r="39" spans="1:7">
      <c r="A39" s="12">
        <v>17</v>
      </c>
      <c r="B39" s="77">
        <v>11191.57</v>
      </c>
      <c r="C39" s="12">
        <f t="shared" si="0"/>
        <v>11.19157</v>
      </c>
      <c r="D39" s="12">
        <f t="shared" si="1"/>
        <v>0.79012484199999988</v>
      </c>
      <c r="E39" s="12">
        <f t="shared" si="2"/>
        <v>3.5273430446428569E-2</v>
      </c>
      <c r="F39" s="12">
        <f>E39/Calculation!K$16*1000</f>
        <v>3.5176560943956485E-2</v>
      </c>
      <c r="G39" s="12">
        <f t="shared" si="3"/>
        <v>60.12112580879392</v>
      </c>
    </row>
    <row r="40" spans="1:7">
      <c r="A40" s="12">
        <v>17.5</v>
      </c>
      <c r="B40" s="77">
        <v>9356.1299999999992</v>
      </c>
      <c r="C40" s="12">
        <f t="shared" si="0"/>
        <v>9.3561299999999985</v>
      </c>
      <c r="D40" s="12">
        <f t="shared" si="1"/>
        <v>0.66054277799999983</v>
      </c>
      <c r="E40" s="12">
        <f t="shared" si="2"/>
        <v>2.9488516874999995E-2</v>
      </c>
      <c r="F40" s="12">
        <f>E40/Calculation!K$16*1000</f>
        <v>2.9407534165856942E-2</v>
      </c>
      <c r="G40" s="12">
        <f t="shared" si="3"/>
        <v>61.089887235441118</v>
      </c>
    </row>
    <row r="41" spans="1:7">
      <c r="A41" s="12">
        <v>18</v>
      </c>
      <c r="B41" s="77">
        <v>7489.61</v>
      </c>
      <c r="C41" s="12">
        <f t="shared" si="0"/>
        <v>7.4896099999999999</v>
      </c>
      <c r="D41" s="12">
        <f t="shared" si="1"/>
        <v>0.52876646599999999</v>
      </c>
      <c r="E41" s="12">
        <f t="shared" si="2"/>
        <v>2.360564580357143E-2</v>
      </c>
      <c r="F41" s="12">
        <f>E41/Calculation!K$17*1000</f>
        <v>2.452646175883785E-2</v>
      </c>
      <c r="G41" s="12">
        <f t="shared" si="3"/>
        <v>61.898897174311543</v>
      </c>
    </row>
    <row r="42" spans="1:7">
      <c r="A42" s="12">
        <v>18.5</v>
      </c>
      <c r="B42" s="77">
        <v>6098.54</v>
      </c>
      <c r="C42" s="12">
        <f t="shared" si="0"/>
        <v>6.0985399999999998</v>
      </c>
      <c r="D42" s="12">
        <f t="shared" si="1"/>
        <v>0.43055692399999995</v>
      </c>
      <c r="E42" s="12">
        <f t="shared" si="2"/>
        <v>1.9221291249999998E-2</v>
      </c>
      <c r="F42" s="12">
        <f>E42/Calculation!K$17*1000</f>
        <v>1.9971081016867762E-2</v>
      </c>
      <c r="G42" s="12">
        <f t="shared" si="3"/>
        <v>62.566360315947129</v>
      </c>
    </row>
    <row r="43" spans="1:7">
      <c r="A43" s="12">
        <v>19</v>
      </c>
      <c r="B43" s="77">
        <v>4220.25</v>
      </c>
      <c r="C43" s="12">
        <f t="shared" si="0"/>
        <v>4.2202500000000001</v>
      </c>
      <c r="D43" s="12">
        <f t="shared" si="1"/>
        <v>0.29794964999999995</v>
      </c>
      <c r="E43" s="12">
        <f t="shared" si="2"/>
        <v>1.3301323660714284E-2</v>
      </c>
      <c r="F43" s="12">
        <f>E43/Calculation!K$17*1000</f>
        <v>1.3820185595476323E-2</v>
      </c>
      <c r="G43" s="12">
        <f t="shared" si="3"/>
        <v>63.073229315132288</v>
      </c>
    </row>
    <row r="44" spans="1:7">
      <c r="A44" s="12">
        <v>19.5</v>
      </c>
      <c r="B44" s="77">
        <v>2722.5</v>
      </c>
      <c r="C44" s="12">
        <f t="shared" si="0"/>
        <v>2.7225000000000001</v>
      </c>
      <c r="D44" s="12">
        <f t="shared" si="1"/>
        <v>0.1922085</v>
      </c>
      <c r="E44" s="12">
        <f t="shared" si="2"/>
        <v>8.5807366071428571E-3</v>
      </c>
      <c r="F44" s="12">
        <f>E44/Calculation!K$17*1000</f>
        <v>8.9154564975260468E-3</v>
      </c>
      <c r="G44" s="12">
        <f t="shared" si="3"/>
        <v>63.414263946527321</v>
      </c>
    </row>
    <row r="45" spans="1:7">
      <c r="A45" s="12">
        <v>20</v>
      </c>
      <c r="B45" s="77">
        <v>1427.19</v>
      </c>
      <c r="C45" s="12">
        <f t="shared" si="0"/>
        <v>1.42719</v>
      </c>
      <c r="D45" s="12">
        <f t="shared" si="1"/>
        <v>0.100759614</v>
      </c>
      <c r="E45" s="12">
        <f t="shared" si="2"/>
        <v>4.4981970535714283E-3</v>
      </c>
      <c r="F45" s="12">
        <f>E45/Calculation!K$17*1000</f>
        <v>4.673664043601174E-3</v>
      </c>
      <c r="G45" s="12">
        <f t="shared" si="3"/>
        <v>63.618100754644232</v>
      </c>
    </row>
    <row r="46" spans="1:7">
      <c r="A46" s="12">
        <v>20.5</v>
      </c>
      <c r="B46" s="77">
        <v>582.13</v>
      </c>
      <c r="C46" s="12">
        <f t="shared" si="0"/>
        <v>0.58213000000000004</v>
      </c>
      <c r="D46" s="12">
        <f t="shared" si="1"/>
        <v>4.1098377999999998E-2</v>
      </c>
      <c r="E46" s="12">
        <f t="shared" si="2"/>
        <v>1.8347490178571429E-3</v>
      </c>
      <c r="F46" s="12">
        <f>E46/Calculation!K$17*1000</f>
        <v>1.9063194456950734E-3</v>
      </c>
      <c r="G46" s="12">
        <f t="shared" si="3"/>
        <v>63.716800506983674</v>
      </c>
    </row>
    <row r="47" spans="1:7">
      <c r="A47" s="12">
        <v>21</v>
      </c>
      <c r="B47" s="77">
        <v>357.01</v>
      </c>
      <c r="C47" s="12">
        <f t="shared" si="0"/>
        <v>0.35700999999999999</v>
      </c>
      <c r="D47" s="12">
        <f t="shared" si="1"/>
        <v>2.5204905999999999E-2</v>
      </c>
      <c r="E47" s="12">
        <f t="shared" si="2"/>
        <v>1.1252190178571428E-3</v>
      </c>
      <c r="F47" s="12">
        <f>E47/Calculation!K$17*1000</f>
        <v>1.1691118913431675E-3</v>
      </c>
      <c r="G47" s="12">
        <f t="shared" si="3"/>
        <v>63.762931977039244</v>
      </c>
    </row>
    <row r="48" spans="1:7">
      <c r="A48" s="12">
        <v>21.5</v>
      </c>
      <c r="B48" s="77">
        <v>226.81</v>
      </c>
      <c r="C48" s="12">
        <f t="shared" si="0"/>
        <v>0.22681000000000001</v>
      </c>
      <c r="D48" s="12">
        <f t="shared" si="1"/>
        <v>1.6012785999999998E-2</v>
      </c>
      <c r="E48" s="12">
        <f t="shared" si="2"/>
        <v>7.1485651785714284E-4</v>
      </c>
      <c r="F48" s="12">
        <f>E48/Calculation!K$17*1000</f>
        <v>7.427418505799384E-4</v>
      </c>
      <c r="G48" s="12">
        <f t="shared" si="3"/>
        <v>63.791609783168091</v>
      </c>
    </row>
    <row r="49" spans="1:7">
      <c r="A49" s="12">
        <v>22</v>
      </c>
      <c r="B49" s="77">
        <v>237.73</v>
      </c>
      <c r="C49" s="12">
        <f t="shared" si="0"/>
        <v>0.23773</v>
      </c>
      <c r="D49" s="12">
        <f t="shared" si="1"/>
        <v>1.6783737999999999E-2</v>
      </c>
      <c r="E49" s="12">
        <f t="shared" si="2"/>
        <v>7.4927401785714292E-4</v>
      </c>
      <c r="F49" s="12">
        <f>E49/Calculation!K$17*1000</f>
        <v>7.7850191851491909E-4</v>
      </c>
      <c r="G49" s="12">
        <f t="shared" si="3"/>
        <v>63.814428439704514</v>
      </c>
    </row>
    <row r="50" spans="1:7">
      <c r="A50" s="12">
        <v>22.5</v>
      </c>
      <c r="B50" s="77">
        <v>199.92</v>
      </c>
      <c r="C50" s="12">
        <f t="shared" si="0"/>
        <v>0.19991999999999999</v>
      </c>
      <c r="D50" s="12">
        <f t="shared" si="1"/>
        <v>1.4114351999999998E-2</v>
      </c>
      <c r="E50" s="12">
        <f t="shared" si="2"/>
        <v>6.3010499999999994E-4</v>
      </c>
      <c r="F50" s="12">
        <f>E50/Calculation!K$17*1000</f>
        <v>6.5468432065579683E-4</v>
      </c>
      <c r="G50" s="12">
        <f t="shared" si="3"/>
        <v>63.835926233292078</v>
      </c>
    </row>
    <row r="51" spans="1:7">
      <c r="A51" s="12">
        <v>23</v>
      </c>
      <c r="B51" s="77">
        <v>162.12</v>
      </c>
      <c r="C51" s="12">
        <f t="shared" si="0"/>
        <v>0.16212000000000001</v>
      </c>
      <c r="D51" s="12">
        <f t="shared" si="1"/>
        <v>1.1445672E-2</v>
      </c>
      <c r="E51" s="12">
        <f t="shared" si="2"/>
        <v>5.1096750000000004E-4</v>
      </c>
      <c r="F51" s="12">
        <f>E51/Calculation!K$17*1000</f>
        <v>5.3089947011163369E-4</v>
      </c>
      <c r="G51" s="12">
        <f t="shared" si="3"/>
        <v>63.85370999015359</v>
      </c>
    </row>
    <row r="52" spans="1:7">
      <c r="A52" s="12">
        <v>23.5</v>
      </c>
      <c r="B52" s="77">
        <v>223.45</v>
      </c>
      <c r="C52" s="12">
        <f t="shared" si="0"/>
        <v>0.22344999999999998</v>
      </c>
      <c r="D52" s="12">
        <f t="shared" si="1"/>
        <v>1.5775569999999999E-2</v>
      </c>
      <c r="E52" s="12">
        <f t="shared" si="2"/>
        <v>7.0426651785714285E-4</v>
      </c>
      <c r="F52" s="12">
        <f>E52/Calculation!K$17*1000</f>
        <v>7.3173875275379062E-4</v>
      </c>
      <c r="G52" s="12">
        <f t="shared" si="3"/>
        <v>63.872649563496573</v>
      </c>
    </row>
    <row r="53" spans="1:7">
      <c r="A53" s="12">
        <v>24</v>
      </c>
      <c r="B53" s="77">
        <v>241.93</v>
      </c>
      <c r="C53" s="12">
        <f t="shared" si="0"/>
        <v>0.24193000000000001</v>
      </c>
      <c r="D53" s="12">
        <f t="shared" si="1"/>
        <v>1.7080258000000001E-2</v>
      </c>
      <c r="E53" s="12">
        <f t="shared" si="2"/>
        <v>7.6251151785714291E-4</v>
      </c>
      <c r="F53" s="12">
        <f>E53/Calculation!K$18*1000</f>
        <v>8.3267700461380802E-4</v>
      </c>
      <c r="G53" s="12">
        <f t="shared" si="3"/>
        <v>63.896115799857085</v>
      </c>
    </row>
    <row r="54" spans="1:7">
      <c r="A54" s="12">
        <v>24.5</v>
      </c>
      <c r="B54" s="77">
        <v>241.93</v>
      </c>
      <c r="C54" s="12">
        <f t="shared" si="0"/>
        <v>0.24193000000000001</v>
      </c>
      <c r="D54" s="12">
        <f t="shared" si="1"/>
        <v>1.7080258000000001E-2</v>
      </c>
      <c r="E54" s="12">
        <f t="shared" si="2"/>
        <v>7.6251151785714291E-4</v>
      </c>
      <c r="F54" s="12">
        <f>E54/Calculation!K$18*1000</f>
        <v>8.3267700461380802E-4</v>
      </c>
      <c r="G54" s="12">
        <f t="shared" si="3"/>
        <v>63.921096109995503</v>
      </c>
    </row>
    <row r="55" spans="1:7">
      <c r="A55" s="12">
        <v>25</v>
      </c>
      <c r="B55" s="77">
        <v>273.01</v>
      </c>
      <c r="C55" s="12">
        <f t="shared" si="0"/>
        <v>0.27300999999999997</v>
      </c>
      <c r="D55" s="12">
        <f t="shared" si="1"/>
        <v>1.9274505999999997E-2</v>
      </c>
      <c r="E55" s="12">
        <f t="shared" si="2"/>
        <v>8.6046901785714273E-4</v>
      </c>
      <c r="F55" s="12">
        <f>E55/Calculation!K$18*1000</f>
        <v>9.3964844802056668E-4</v>
      </c>
      <c r="G55" s="12">
        <f t="shared" si="3"/>
        <v>63.94768099178502</v>
      </c>
    </row>
    <row r="56" spans="1:7">
      <c r="A56" s="12">
        <v>25.5</v>
      </c>
      <c r="B56" s="77">
        <v>293.17</v>
      </c>
      <c r="C56" s="12">
        <f t="shared" si="0"/>
        <v>0.29317000000000004</v>
      </c>
      <c r="D56" s="12">
        <f t="shared" si="1"/>
        <v>2.0697802000000001E-2</v>
      </c>
      <c r="E56" s="12">
        <f t="shared" si="2"/>
        <v>9.2400901785714301E-4</v>
      </c>
      <c r="F56" s="12">
        <f>E56/Calculation!K$18*1000</f>
        <v>1.0090353302303564E-3</v>
      </c>
      <c r="G56" s="12">
        <f t="shared" si="3"/>
        <v>63.976911248458784</v>
      </c>
    </row>
    <row r="57" spans="1:7">
      <c r="A57" s="12">
        <v>26</v>
      </c>
      <c r="B57" s="77">
        <v>278.89</v>
      </c>
      <c r="C57" s="12">
        <f t="shared" si="0"/>
        <v>0.27888999999999997</v>
      </c>
      <c r="D57" s="12">
        <f t="shared" si="1"/>
        <v>1.9689633999999994E-2</v>
      </c>
      <c r="E57" s="12">
        <f t="shared" si="2"/>
        <v>8.7900151785714261E-4</v>
      </c>
      <c r="F57" s="12">
        <f>E57/Calculation!K$18*1000</f>
        <v>9.5988628866508854E-4</v>
      </c>
      <c r="G57" s="12">
        <f t="shared" si="3"/>
        <v>64.00644507274221</v>
      </c>
    </row>
    <row r="58" spans="1:7">
      <c r="A58" s="12">
        <v>26.5</v>
      </c>
      <c r="B58" s="77">
        <v>303.25</v>
      </c>
      <c r="C58" s="12">
        <f t="shared" si="0"/>
        <v>0.30325000000000002</v>
      </c>
      <c r="D58" s="12">
        <f t="shared" si="1"/>
        <v>2.140945E-2</v>
      </c>
      <c r="E58" s="12">
        <f t="shared" si="2"/>
        <v>9.5577901785714287E-4</v>
      </c>
      <c r="F58" s="12">
        <f>E58/Calculation!K$18*1000</f>
        <v>1.0437287713352512E-3</v>
      </c>
      <c r="G58" s="12">
        <f t="shared" si="3"/>
        <v>64.036499298642212</v>
      </c>
    </row>
    <row r="59" spans="1:7">
      <c r="A59" s="12">
        <v>27</v>
      </c>
      <c r="B59" s="77">
        <v>305.77</v>
      </c>
      <c r="C59" s="12">
        <f t="shared" si="0"/>
        <v>0.30576999999999999</v>
      </c>
      <c r="D59" s="12">
        <f t="shared" si="1"/>
        <v>2.1587361999999995E-2</v>
      </c>
      <c r="E59" s="12">
        <f t="shared" si="2"/>
        <v>9.6372151785714276E-4</v>
      </c>
      <c r="F59" s="12">
        <f>E59/Calculation!K$18*1000</f>
        <v>1.0524021316114746E-3</v>
      </c>
      <c r="G59" s="12">
        <f t="shared" si="3"/>
        <v>64.067941262186409</v>
      </c>
    </row>
    <row r="60" spans="1:7">
      <c r="A60" s="12">
        <v>27.5</v>
      </c>
      <c r="B60" s="77">
        <v>314.17</v>
      </c>
      <c r="C60" s="12">
        <f t="shared" si="0"/>
        <v>0.31417</v>
      </c>
      <c r="D60" s="12">
        <f t="shared" si="1"/>
        <v>2.2180401999999998E-2</v>
      </c>
      <c r="E60" s="12">
        <f t="shared" si="2"/>
        <v>9.9019651785714285E-4</v>
      </c>
      <c r="F60" s="12">
        <f>E60/Calculation!K$18*1000</f>
        <v>1.0813133325322203E-3</v>
      </c>
      <c r="G60" s="12">
        <f t="shared" si="3"/>
        <v>64.099946994148567</v>
      </c>
    </row>
    <row r="61" spans="1:7">
      <c r="A61" s="12">
        <v>28</v>
      </c>
      <c r="B61" s="77">
        <v>262.08999999999997</v>
      </c>
      <c r="C61" s="12">
        <f t="shared" si="0"/>
        <v>0.26208999999999999</v>
      </c>
      <c r="D61" s="12">
        <f t="shared" si="1"/>
        <v>1.8503553999999998E-2</v>
      </c>
      <c r="E61" s="12">
        <f t="shared" si="2"/>
        <v>8.2605151785714287E-4</v>
      </c>
      <c r="F61" s="12">
        <f>E61/Calculation!K$18*1000</f>
        <v>9.0206388682359756E-4</v>
      </c>
      <c r="G61" s="12">
        <f t="shared" si="3"/>
        <v>64.129697652438907</v>
      </c>
    </row>
    <row r="62" spans="1:7">
      <c r="A62" s="12">
        <v>28.5</v>
      </c>
      <c r="B62" s="77">
        <v>318.37</v>
      </c>
      <c r="C62" s="12">
        <f t="shared" si="0"/>
        <v>0.31836999999999999</v>
      </c>
      <c r="D62" s="12">
        <f t="shared" si="1"/>
        <v>2.2476922E-2</v>
      </c>
      <c r="E62" s="12">
        <f t="shared" si="2"/>
        <v>1.0034340178571429E-3</v>
      </c>
      <c r="F62" s="12">
        <f>E62/Calculation!K$18*1000</f>
        <v>1.0957689329925931E-3</v>
      </c>
      <c r="G62" s="12">
        <f t="shared" si="3"/>
        <v>64.159665144736152</v>
      </c>
    </row>
    <row r="63" spans="1:7">
      <c r="A63" s="12">
        <v>29</v>
      </c>
      <c r="B63" s="77">
        <v>287.29000000000002</v>
      </c>
      <c r="C63" s="12">
        <f t="shared" si="0"/>
        <v>0.28729000000000005</v>
      </c>
      <c r="D63" s="12">
        <f t="shared" si="1"/>
        <v>2.0282674000000001E-2</v>
      </c>
      <c r="E63" s="12">
        <f t="shared" si="2"/>
        <v>9.0547651785714291E-4</v>
      </c>
      <c r="F63" s="12">
        <f>E63/Calculation!K$18*1000</f>
        <v>9.8879748958583436E-4</v>
      </c>
      <c r="G63" s="12">
        <f t="shared" si="3"/>
        <v>64.190933641074835</v>
      </c>
    </row>
    <row r="64" spans="1:7">
      <c r="A64" s="12">
        <v>29.5</v>
      </c>
      <c r="B64" s="77">
        <v>343.57</v>
      </c>
      <c r="C64" s="12">
        <f t="shared" si="0"/>
        <v>0.34356999999999999</v>
      </c>
      <c r="D64" s="12">
        <f t="shared" si="1"/>
        <v>2.4256041999999995E-2</v>
      </c>
      <c r="E64" s="12">
        <f t="shared" si="2"/>
        <v>1.0828590178571427E-3</v>
      </c>
      <c r="F64" s="12">
        <f>E64/Calculation!K$18*1000</f>
        <v>1.1825025357548296E-3</v>
      </c>
      <c r="G64" s="12">
        <f t="shared" si="3"/>
        <v>64.223503141454941</v>
      </c>
    </row>
    <row r="65" spans="1:7">
      <c r="A65" s="12">
        <v>30</v>
      </c>
      <c r="B65" s="77">
        <v>330.13</v>
      </c>
      <c r="C65" s="12">
        <f t="shared" si="0"/>
        <v>0.33012999999999998</v>
      </c>
      <c r="D65" s="12">
        <f t="shared" si="1"/>
        <v>2.3307177999999998E-2</v>
      </c>
      <c r="E65" s="12">
        <f t="shared" si="2"/>
        <v>1.0404990178571429E-3</v>
      </c>
      <c r="F65" s="12">
        <f>E65/Calculation!K$19*1000</f>
        <v>1.1973330344043057E-3</v>
      </c>
      <c r="G65" s="12">
        <f t="shared" si="3"/>
        <v>64.259200675007321</v>
      </c>
    </row>
    <row r="66" spans="1:7">
      <c r="A66" s="12">
        <v>30.5</v>
      </c>
      <c r="B66" s="77">
        <v>319.20999999999998</v>
      </c>
      <c r="C66" s="12">
        <f t="shared" si="0"/>
        <v>0.31920999999999999</v>
      </c>
      <c r="D66" s="12">
        <f t="shared" si="1"/>
        <v>2.2536225999999999E-2</v>
      </c>
      <c r="E66" s="12">
        <f t="shared" si="2"/>
        <v>1.0060815178571428E-3</v>
      </c>
      <c r="F66" s="12">
        <f>E66/Calculation!K$19*1000</f>
        <v>1.1577277978741659E-3</v>
      </c>
      <c r="G66" s="12">
        <f t="shared" si="3"/>
        <v>64.294526587491504</v>
      </c>
    </row>
    <row r="67" spans="1:7">
      <c r="A67" s="12">
        <v>31</v>
      </c>
      <c r="B67" s="77">
        <v>362.05</v>
      </c>
      <c r="C67" s="12">
        <f t="shared" si="0"/>
        <v>0.36205000000000004</v>
      </c>
      <c r="D67" s="12">
        <f t="shared" si="1"/>
        <v>2.556073E-2</v>
      </c>
      <c r="E67" s="12">
        <f t="shared" si="2"/>
        <v>1.1411040178571428E-3</v>
      </c>
      <c r="F67" s="12">
        <f>E67/Calculation!K$19*1000</f>
        <v>1.31310218733856E-3</v>
      </c>
      <c r="G67" s="12">
        <f t="shared" si="3"/>
        <v>64.331589037269694</v>
      </c>
    </row>
    <row r="68" spans="1:7">
      <c r="A68" s="12">
        <v>31.5</v>
      </c>
      <c r="B68" s="77">
        <v>311.64999999999998</v>
      </c>
      <c r="C68" s="12">
        <f t="shared" si="0"/>
        <v>0.31164999999999998</v>
      </c>
      <c r="D68" s="12">
        <f t="shared" si="1"/>
        <v>2.2002489999999996E-2</v>
      </c>
      <c r="E68" s="12">
        <f t="shared" si="2"/>
        <v>9.8225401785714274E-4</v>
      </c>
      <c r="F68" s="12">
        <f>E68/Calculation!K$19*1000</f>
        <v>1.1303087879686844E-3</v>
      </c>
      <c r="G68" s="12">
        <f t="shared" si="3"/>
        <v>64.368240201899297</v>
      </c>
    </row>
    <row r="69" spans="1:7">
      <c r="A69" s="12">
        <v>32</v>
      </c>
      <c r="B69" s="77">
        <v>327.61</v>
      </c>
      <c r="C69" s="12">
        <f t="shared" si="0"/>
        <v>0.32761000000000001</v>
      </c>
      <c r="D69" s="12">
        <f t="shared" si="1"/>
        <v>2.3129265999999999E-2</v>
      </c>
      <c r="E69" s="12">
        <f t="shared" si="2"/>
        <v>1.0325565178571428E-3</v>
      </c>
      <c r="F69" s="12">
        <f>E69/Calculation!K$19*1000</f>
        <v>1.1881933644358118E-3</v>
      </c>
      <c r="G69" s="12">
        <f t="shared" si="3"/>
        <v>64.403017734185369</v>
      </c>
    </row>
    <row r="70" spans="1:7">
      <c r="A70" s="12">
        <v>32.5</v>
      </c>
      <c r="B70" s="77">
        <v>335.17</v>
      </c>
      <c r="C70" s="12">
        <f t="shared" ref="C70:C101" si="4">B70/1000</f>
        <v>0.33517000000000002</v>
      </c>
      <c r="D70" s="12">
        <f t="shared" ref="D70:D101" si="5">C70/1000*$B$1</f>
        <v>2.3663001999999999E-2</v>
      </c>
      <c r="E70" s="12">
        <f t="shared" ref="E70:E101" si="6">D70/22.4</f>
        <v>1.0563840178571429E-3</v>
      </c>
      <c r="F70" s="12">
        <f>E70/Calculation!K$19*1000</f>
        <v>1.2156123743412932E-3</v>
      </c>
      <c r="G70" s="12">
        <f t="shared" si="3"/>
        <v>64.439074820267024</v>
      </c>
    </row>
    <row r="71" spans="1:7">
      <c r="A71" s="12">
        <v>33</v>
      </c>
      <c r="B71" s="77">
        <v>257.05</v>
      </c>
      <c r="C71" s="12">
        <f t="shared" si="4"/>
        <v>0.25705</v>
      </c>
      <c r="D71" s="12">
        <f t="shared" si="5"/>
        <v>1.8147729999999997E-2</v>
      </c>
      <c r="E71" s="12">
        <f t="shared" si="6"/>
        <v>8.1016651785714277E-4</v>
      </c>
      <c r="F71" s="12">
        <f>E71/Calculation!K$19*1000</f>
        <v>9.3228260531798594E-4</v>
      </c>
      <c r="G71" s="12">
        <f t="shared" ref="G71:G101" si="7">G70+(F71+F70)/2*30</f>
        <v>64.471293244961913</v>
      </c>
    </row>
    <row r="72" spans="1:7">
      <c r="A72" s="12">
        <v>33.5</v>
      </c>
      <c r="B72" s="77">
        <v>271.33</v>
      </c>
      <c r="C72" s="12">
        <f t="shared" si="4"/>
        <v>0.27132999999999996</v>
      </c>
      <c r="D72" s="12">
        <f t="shared" si="5"/>
        <v>1.9155897999999998E-2</v>
      </c>
      <c r="E72" s="12">
        <f t="shared" si="6"/>
        <v>8.5517401785714284E-4</v>
      </c>
      <c r="F72" s="12">
        <f>E72/Calculation!K$19*1000</f>
        <v>9.8407406847278423E-4</v>
      </c>
      <c r="G72" s="12">
        <f t="shared" si="7"/>
        <v>64.500038595068773</v>
      </c>
    </row>
    <row r="73" spans="1:7">
      <c r="A73" s="12">
        <v>34</v>
      </c>
      <c r="B73" s="77">
        <v>339.37</v>
      </c>
      <c r="C73" s="12">
        <f t="shared" si="4"/>
        <v>0.33937</v>
      </c>
      <c r="D73" s="12">
        <f t="shared" si="5"/>
        <v>2.3959522E-2</v>
      </c>
      <c r="E73" s="12">
        <f t="shared" si="6"/>
        <v>1.069621517857143E-3</v>
      </c>
      <c r="F73" s="12">
        <f>E73/Calculation!K$19*1000</f>
        <v>1.2308451576221163E-3</v>
      </c>
      <c r="G73" s="12">
        <f t="shared" si="7"/>
        <v>64.533262383460197</v>
      </c>
    </row>
    <row r="74" spans="1:7">
      <c r="A74" s="12">
        <v>34.5</v>
      </c>
      <c r="B74" s="77">
        <v>266.29000000000002</v>
      </c>
      <c r="C74" s="12">
        <f t="shared" si="4"/>
        <v>0.26629000000000003</v>
      </c>
      <c r="D74" s="12">
        <f t="shared" si="5"/>
        <v>1.8800074E-2</v>
      </c>
      <c r="E74" s="12">
        <f t="shared" si="6"/>
        <v>8.3928901785714285E-4</v>
      </c>
      <c r="F74" s="12">
        <f>E74/Calculation!K$19*1000</f>
        <v>9.6579472853579665E-4</v>
      </c>
      <c r="G74" s="12">
        <f t="shared" si="7"/>
        <v>64.566211981752559</v>
      </c>
    </row>
    <row r="75" spans="1:7">
      <c r="A75" s="12">
        <v>35</v>
      </c>
      <c r="B75" s="77">
        <v>330.97</v>
      </c>
      <c r="C75" s="12">
        <f t="shared" si="4"/>
        <v>0.33097000000000004</v>
      </c>
      <c r="D75" s="12">
        <f t="shared" si="5"/>
        <v>2.3366482000000001E-2</v>
      </c>
      <c r="E75" s="12">
        <f t="shared" si="6"/>
        <v>1.043146517857143E-3</v>
      </c>
      <c r="F75" s="12">
        <f>E75/Calculation!K$19*1000</f>
        <v>1.2003795910604704E-3</v>
      </c>
      <c r="G75" s="12">
        <f t="shared" si="7"/>
        <v>64.598704596546497</v>
      </c>
    </row>
    <row r="76" spans="1:7">
      <c r="A76" s="12">
        <v>35.5</v>
      </c>
      <c r="B76" s="77">
        <v>315.85000000000002</v>
      </c>
      <c r="C76" s="12">
        <f t="shared" si="4"/>
        <v>0.31585000000000002</v>
      </c>
      <c r="D76" s="12">
        <f t="shared" si="5"/>
        <v>2.2299009999999998E-2</v>
      </c>
      <c r="E76" s="12">
        <f t="shared" si="6"/>
        <v>9.9549151785714284E-4</v>
      </c>
      <c r="F76" s="12">
        <f>E76/Calculation!K$19*1000</f>
        <v>1.1455415712495075E-3</v>
      </c>
      <c r="G76" s="12">
        <f t="shared" si="7"/>
        <v>64.633893413981141</v>
      </c>
    </row>
    <row r="77" spans="1:7">
      <c r="A77" s="12">
        <v>36</v>
      </c>
      <c r="B77" s="77">
        <v>240.25</v>
      </c>
      <c r="C77" s="12">
        <f t="shared" si="4"/>
        <v>0.24024999999999999</v>
      </c>
      <c r="D77" s="12">
        <f t="shared" si="5"/>
        <v>1.6961649999999998E-2</v>
      </c>
      <c r="E77" s="12">
        <f t="shared" si="6"/>
        <v>7.5721651785714281E-4</v>
      </c>
      <c r="F77" s="12">
        <f>E77/Calculation!K$19*1000</f>
        <v>8.7135147219469418E-4</v>
      </c>
      <c r="G77" s="12">
        <f t="shared" si="7"/>
        <v>64.664146809632811</v>
      </c>
    </row>
    <row r="78" spans="1:7">
      <c r="A78" s="12">
        <v>36.5</v>
      </c>
      <c r="B78" s="77">
        <v>288.97000000000003</v>
      </c>
      <c r="C78" s="12">
        <f t="shared" si="4"/>
        <v>0.28897</v>
      </c>
      <c r="D78" s="12">
        <f t="shared" si="5"/>
        <v>2.0401281999999996E-2</v>
      </c>
      <c r="E78" s="12">
        <f t="shared" si="6"/>
        <v>9.107715178571428E-4</v>
      </c>
      <c r="F78" s="12">
        <f>E78/Calculation!K$19*1000</f>
        <v>1.0480517582522407E-3</v>
      </c>
      <c r="G78" s="12">
        <f t="shared" si="7"/>
        <v>64.692937858089522</v>
      </c>
    </row>
    <row r="79" spans="1:7">
      <c r="A79" s="12">
        <v>37</v>
      </c>
      <c r="B79" s="77">
        <v>275.52999999999997</v>
      </c>
      <c r="C79" s="12">
        <f t="shared" si="4"/>
        <v>0.27553</v>
      </c>
      <c r="D79" s="12">
        <f t="shared" si="5"/>
        <v>1.9452417999999999E-2</v>
      </c>
      <c r="E79" s="12">
        <f t="shared" si="6"/>
        <v>8.6841151785714283E-4</v>
      </c>
      <c r="F79" s="12">
        <f>E79/Calculation!K$19*1000</f>
        <v>9.9930685175360725E-4</v>
      </c>
      <c r="G79" s="12">
        <f t="shared" si="7"/>
        <v>64.723648237239615</v>
      </c>
    </row>
    <row r="80" spans="1:7">
      <c r="A80" s="12">
        <v>37.5</v>
      </c>
      <c r="B80" s="77">
        <v>294.01</v>
      </c>
      <c r="C80" s="12">
        <f t="shared" si="4"/>
        <v>0.29400999999999999</v>
      </c>
      <c r="D80" s="12">
        <f t="shared" si="5"/>
        <v>2.0757105999999997E-2</v>
      </c>
      <c r="E80" s="12">
        <f t="shared" si="6"/>
        <v>9.2665651785714279E-4</v>
      </c>
      <c r="F80" s="12">
        <f>E80/Calculation!K$19*1000</f>
        <v>1.066331098189228E-3</v>
      </c>
      <c r="G80" s="12">
        <f t="shared" si="7"/>
        <v>64.754632806488758</v>
      </c>
    </row>
    <row r="81" spans="1:7">
      <c r="A81" s="12">
        <v>38</v>
      </c>
      <c r="B81" s="77">
        <v>348.61</v>
      </c>
      <c r="C81" s="12">
        <f t="shared" si="4"/>
        <v>0.34861000000000003</v>
      </c>
      <c r="D81" s="12">
        <f t="shared" si="5"/>
        <v>2.4611866E-2</v>
      </c>
      <c r="E81" s="12">
        <f t="shared" si="6"/>
        <v>1.0987440178571429E-3</v>
      </c>
      <c r="F81" s="12">
        <f>E81/Calculation!K$19*1000</f>
        <v>1.2643572808399266E-3</v>
      </c>
      <c r="G81" s="12">
        <f t="shared" si="7"/>
        <v>64.78959313217419</v>
      </c>
    </row>
    <row r="82" spans="1:7">
      <c r="A82" s="12">
        <v>38.5</v>
      </c>
      <c r="B82" s="77">
        <v>265.45</v>
      </c>
      <c r="C82" s="12">
        <f t="shared" si="4"/>
        <v>0.26544999999999996</v>
      </c>
      <c r="D82" s="12">
        <f t="shared" si="5"/>
        <v>1.8740769999999997E-2</v>
      </c>
      <c r="E82" s="12">
        <f t="shared" si="6"/>
        <v>8.3664151785714275E-4</v>
      </c>
      <c r="F82" s="12">
        <f>E82/Calculation!K$19*1000</f>
        <v>9.6274817187963187E-4</v>
      </c>
      <c r="G82" s="12">
        <f t="shared" si="7"/>
        <v>64.82299971396499</v>
      </c>
    </row>
    <row r="83" spans="1:7">
      <c r="A83" s="12">
        <v>39</v>
      </c>
      <c r="B83" s="77">
        <v>297.37</v>
      </c>
      <c r="C83" s="12">
        <f t="shared" si="4"/>
        <v>0.29737000000000002</v>
      </c>
      <c r="D83" s="12">
        <f t="shared" si="5"/>
        <v>2.0994321999999999E-2</v>
      </c>
      <c r="E83" s="12">
        <f t="shared" si="6"/>
        <v>9.3724651785714289E-4</v>
      </c>
      <c r="F83" s="12">
        <f>E83/Calculation!K$19*1000</f>
        <v>1.0785173248138865E-3</v>
      </c>
      <c r="G83" s="12">
        <f t="shared" si="7"/>
        <v>64.853618696415396</v>
      </c>
    </row>
    <row r="84" spans="1:7">
      <c r="A84" s="12">
        <v>39.5</v>
      </c>
      <c r="B84" s="77">
        <v>259.57</v>
      </c>
      <c r="C84" s="12">
        <f t="shared" si="4"/>
        <v>0.25956999999999997</v>
      </c>
      <c r="D84" s="12">
        <f t="shared" si="5"/>
        <v>1.8325641999999996E-2</v>
      </c>
      <c r="E84" s="12">
        <f t="shared" si="6"/>
        <v>8.1810901785714276E-4</v>
      </c>
      <c r="F84" s="12">
        <f>E84/Calculation!K$19*1000</f>
        <v>9.4142227528647984E-4</v>
      </c>
      <c r="G84" s="12">
        <f t="shared" si="7"/>
        <v>64.883917790416902</v>
      </c>
    </row>
    <row r="85" spans="1:7">
      <c r="A85" s="12">
        <v>40</v>
      </c>
      <c r="B85" s="77">
        <v>215.04</v>
      </c>
      <c r="C85" s="12">
        <f t="shared" si="4"/>
        <v>0.21503999999999998</v>
      </c>
      <c r="D85" s="12">
        <f t="shared" si="5"/>
        <v>1.5181823999999997E-2</v>
      </c>
      <c r="E85" s="12">
        <f t="shared" si="6"/>
        <v>6.7775999999999991E-4</v>
      </c>
      <c r="F85" s="12">
        <f>E85/Calculation!K$19*1000</f>
        <v>7.7991850397813537E-4</v>
      </c>
      <c r="G85" s="12">
        <f t="shared" si="7"/>
        <v>64.909737902105874</v>
      </c>
    </row>
    <row r="86" spans="1:7">
      <c r="A86" s="12">
        <v>40.5</v>
      </c>
      <c r="B86" s="77">
        <v>243.61</v>
      </c>
      <c r="C86" s="12">
        <f t="shared" si="4"/>
        <v>0.24361000000000002</v>
      </c>
      <c r="D86" s="12">
        <f t="shared" si="5"/>
        <v>1.7198866E-2</v>
      </c>
      <c r="E86" s="12">
        <f t="shared" si="6"/>
        <v>7.6780651785714291E-4</v>
      </c>
      <c r="F86" s="12">
        <f>E86/Calculation!K$19*1000</f>
        <v>8.8353769881935275E-4</v>
      </c>
      <c r="G86" s="12">
        <f t="shared" si="7"/>
        <v>64.934689745147836</v>
      </c>
    </row>
    <row r="87" spans="1:7">
      <c r="A87" s="12">
        <v>41</v>
      </c>
      <c r="B87" s="77">
        <v>195.72</v>
      </c>
      <c r="C87" s="12">
        <f t="shared" si="4"/>
        <v>0.19572000000000001</v>
      </c>
      <c r="D87" s="12">
        <f t="shared" si="5"/>
        <v>1.3817831999999999E-2</v>
      </c>
      <c r="E87" s="12">
        <f t="shared" si="6"/>
        <v>6.1686749999999995E-4</v>
      </c>
      <c r="F87" s="12">
        <f>E87/Calculation!K$19*1000</f>
        <v>7.0984770088634982E-4</v>
      </c>
      <c r="G87" s="12">
        <f t="shared" si="7"/>
        <v>64.958590526143425</v>
      </c>
    </row>
    <row r="88" spans="1:7">
      <c r="A88" s="12">
        <v>41.5</v>
      </c>
      <c r="B88" s="77">
        <v>186.48</v>
      </c>
      <c r="C88" s="12">
        <f t="shared" si="4"/>
        <v>0.18647999999999998</v>
      </c>
      <c r="D88" s="12">
        <f t="shared" si="5"/>
        <v>1.3165487999999998E-2</v>
      </c>
      <c r="E88" s="12">
        <f t="shared" si="6"/>
        <v>5.8774499999999998E-4</v>
      </c>
      <c r="F88" s="12">
        <f>E88/Calculation!K$19*1000</f>
        <v>6.7633557766853933E-4</v>
      </c>
      <c r="G88" s="12">
        <f t="shared" si="7"/>
        <v>64.979383275321752</v>
      </c>
    </row>
    <row r="89" spans="1:7">
      <c r="A89" s="12">
        <v>42</v>
      </c>
      <c r="B89" s="77">
        <v>185.64</v>
      </c>
      <c r="C89" s="12">
        <f t="shared" si="4"/>
        <v>0.18564</v>
      </c>
      <c r="D89" s="12">
        <f t="shared" si="5"/>
        <v>1.3106183999999998E-2</v>
      </c>
      <c r="E89" s="12">
        <f t="shared" si="6"/>
        <v>5.8509749999999998E-4</v>
      </c>
      <c r="F89" s="12">
        <f>E89/Calculation!K$19*1000</f>
        <v>6.7328902101237477E-4</v>
      </c>
      <c r="G89" s="12">
        <f t="shared" si="7"/>
        <v>64.999627644301967</v>
      </c>
    </row>
    <row r="90" spans="1:7">
      <c r="A90" s="12">
        <v>42.5</v>
      </c>
      <c r="B90" s="77">
        <v>249.49</v>
      </c>
      <c r="C90" s="12">
        <f t="shared" si="4"/>
        <v>0.24949000000000002</v>
      </c>
      <c r="D90" s="12">
        <f t="shared" si="5"/>
        <v>1.7613993999999997E-2</v>
      </c>
      <c r="E90" s="12">
        <f t="shared" si="6"/>
        <v>7.8633901785714279E-4</v>
      </c>
      <c r="F90" s="12">
        <f>E90/Calculation!K$19*1000</f>
        <v>9.0486359541250467E-4</v>
      </c>
      <c r="G90" s="12">
        <f t="shared" si="7"/>
        <v>65.023299933548344</v>
      </c>
    </row>
    <row r="91" spans="1:7">
      <c r="A91" s="12">
        <v>43</v>
      </c>
      <c r="B91" s="77">
        <v>241.93</v>
      </c>
      <c r="C91" s="12">
        <f t="shared" si="4"/>
        <v>0.24193000000000001</v>
      </c>
      <c r="D91" s="12">
        <f t="shared" si="5"/>
        <v>1.7080258000000001E-2</v>
      </c>
      <c r="E91" s="12">
        <f t="shared" si="6"/>
        <v>7.6251151785714291E-4</v>
      </c>
      <c r="F91" s="12">
        <f>E91/Calculation!K$19*1000</f>
        <v>8.7744458550702352E-4</v>
      </c>
      <c r="G91" s="12">
        <f t="shared" si="7"/>
        <v>65.050034556262133</v>
      </c>
    </row>
    <row r="92" spans="1:7">
      <c r="A92" s="12">
        <v>43.5</v>
      </c>
      <c r="B92" s="77">
        <v>242.77</v>
      </c>
      <c r="C92" s="12">
        <f t="shared" si="4"/>
        <v>0.24277000000000001</v>
      </c>
      <c r="D92" s="12">
        <f t="shared" si="5"/>
        <v>1.7139562000000001E-2</v>
      </c>
      <c r="E92" s="12">
        <f t="shared" si="6"/>
        <v>7.6515901785714291E-4</v>
      </c>
      <c r="F92" s="12">
        <f>E92/Calculation!K$19*1000</f>
        <v>8.8049114216318808E-4</v>
      </c>
      <c r="G92" s="12">
        <f t="shared" si="7"/>
        <v>65.076403592177186</v>
      </c>
    </row>
    <row r="93" spans="1:7">
      <c r="A93" s="12">
        <v>44</v>
      </c>
      <c r="B93" s="77">
        <v>244.45</v>
      </c>
      <c r="C93" s="12">
        <f t="shared" si="4"/>
        <v>0.24445</v>
      </c>
      <c r="D93" s="12">
        <f t="shared" si="5"/>
        <v>1.725817E-2</v>
      </c>
      <c r="E93" s="12">
        <f t="shared" si="6"/>
        <v>7.7045401785714291E-4</v>
      </c>
      <c r="F93" s="12">
        <f>E93/Calculation!K$19*1000</f>
        <v>8.8658425547551731E-4</v>
      </c>
      <c r="G93" s="12">
        <f t="shared" si="7"/>
        <v>65.102909723141764</v>
      </c>
    </row>
    <row r="94" spans="1:7">
      <c r="A94" s="12">
        <v>44.5</v>
      </c>
      <c r="B94" s="77">
        <v>233.53</v>
      </c>
      <c r="C94" s="12">
        <f t="shared" si="4"/>
        <v>0.23352999999999999</v>
      </c>
      <c r="D94" s="12">
        <f t="shared" si="5"/>
        <v>1.6487217999999998E-2</v>
      </c>
      <c r="E94" s="12">
        <f t="shared" si="6"/>
        <v>7.3603651785714283E-4</v>
      </c>
      <c r="F94" s="12">
        <f>E94/Calculation!K$19*1000</f>
        <v>8.4697901894537748E-4</v>
      </c>
      <c r="G94" s="12">
        <f t="shared" si="7"/>
        <v>65.128913172258081</v>
      </c>
    </row>
    <row r="95" spans="1:7">
      <c r="A95" s="12">
        <v>45</v>
      </c>
      <c r="B95" s="77">
        <v>210</v>
      </c>
      <c r="C95" s="12">
        <f t="shared" si="4"/>
        <v>0.21</v>
      </c>
      <c r="D95" s="12">
        <f t="shared" si="5"/>
        <v>1.4825999999999997E-2</v>
      </c>
      <c r="E95" s="12">
        <f t="shared" si="6"/>
        <v>6.6187499999999992E-4</v>
      </c>
      <c r="F95" s="12">
        <f>E95/Calculation!K$19*1000</f>
        <v>7.6163916404114779E-4</v>
      </c>
      <c r="G95" s="12">
        <f t="shared" si="7"/>
        <v>65.153042445002882</v>
      </c>
    </row>
    <row r="96" spans="1:7">
      <c r="A96" s="12">
        <v>45.5</v>
      </c>
      <c r="B96" s="77">
        <v>223.45</v>
      </c>
      <c r="C96" s="12">
        <f t="shared" si="4"/>
        <v>0.22344999999999998</v>
      </c>
      <c r="D96" s="12">
        <f t="shared" si="5"/>
        <v>1.5775569999999999E-2</v>
      </c>
      <c r="E96" s="12">
        <f t="shared" si="6"/>
        <v>7.0426651785714285E-4</v>
      </c>
      <c r="F96" s="12">
        <f>E96/Calculation!K$19*1000</f>
        <v>8.1042033907140242E-4</v>
      </c>
      <c r="G96" s="12">
        <f t="shared" si="7"/>
        <v>65.176623337549572</v>
      </c>
    </row>
    <row r="97" spans="1:7">
      <c r="A97" s="12">
        <v>46</v>
      </c>
      <c r="B97" s="77">
        <v>224.29</v>
      </c>
      <c r="C97" s="12">
        <f t="shared" si="4"/>
        <v>0.22428999999999999</v>
      </c>
      <c r="D97" s="12">
        <f t="shared" si="5"/>
        <v>1.5834873999999999E-2</v>
      </c>
      <c r="E97" s="12">
        <f t="shared" si="6"/>
        <v>7.0691401785714285E-4</v>
      </c>
      <c r="F97" s="12">
        <f>E97/Calculation!K$19*1000</f>
        <v>8.1346689572756698E-4</v>
      </c>
      <c r="G97" s="12">
        <f t="shared" si="7"/>
        <v>65.200981646071554</v>
      </c>
    </row>
    <row r="98" spans="1:7">
      <c r="A98" s="12">
        <v>46.5</v>
      </c>
      <c r="B98" s="77">
        <v>251.17</v>
      </c>
      <c r="C98" s="12">
        <f t="shared" si="4"/>
        <v>0.25117</v>
      </c>
      <c r="D98" s="12">
        <f t="shared" si="5"/>
        <v>1.7732601999999997E-2</v>
      </c>
      <c r="E98" s="12">
        <f t="shared" si="6"/>
        <v>7.9163401785714278E-4</v>
      </c>
      <c r="F98" s="12">
        <f>E98/Calculation!K$19*1000</f>
        <v>9.109567087248339E-4</v>
      </c>
      <c r="G98" s="12">
        <f t="shared" si="7"/>
        <v>65.226848000138347</v>
      </c>
    </row>
    <row r="99" spans="1:7">
      <c r="A99" s="12">
        <v>47</v>
      </c>
      <c r="B99" s="77">
        <v>229.33</v>
      </c>
      <c r="C99" s="12">
        <f t="shared" si="4"/>
        <v>0.22933000000000001</v>
      </c>
      <c r="D99" s="12">
        <f t="shared" si="5"/>
        <v>1.6190698E-2</v>
      </c>
      <c r="E99" s="12">
        <f t="shared" si="6"/>
        <v>7.2279901785714295E-4</v>
      </c>
      <c r="F99" s="12">
        <f>E99/Calculation!K$19*1000</f>
        <v>8.3174623566455467E-4</v>
      </c>
      <c r="G99" s="12">
        <f t="shared" si="7"/>
        <v>65.252988544304188</v>
      </c>
    </row>
    <row r="100" spans="1:7">
      <c r="A100" s="12">
        <v>47.5</v>
      </c>
      <c r="B100" s="77">
        <v>206.64</v>
      </c>
      <c r="C100" s="12">
        <f t="shared" si="4"/>
        <v>0.20663999999999999</v>
      </c>
      <c r="D100" s="12">
        <f t="shared" si="5"/>
        <v>1.4588783999999999E-2</v>
      </c>
      <c r="E100" s="12">
        <f t="shared" si="6"/>
        <v>6.5128500000000004E-4</v>
      </c>
      <c r="F100" s="12">
        <f>E100/Calculation!K$19*1000</f>
        <v>7.4945293741648965E-4</v>
      </c>
      <c r="G100" s="12">
        <f t="shared" si="7"/>
        <v>65.276706531900402</v>
      </c>
    </row>
    <row r="101" spans="1:7">
      <c r="A101" s="12">
        <v>48</v>
      </c>
      <c r="B101" s="77">
        <v>236.05</v>
      </c>
      <c r="C101" s="12">
        <f t="shared" si="4"/>
        <v>0.23605000000000001</v>
      </c>
      <c r="D101" s="12">
        <f t="shared" si="5"/>
        <v>1.666513E-2</v>
      </c>
      <c r="E101" s="12">
        <f t="shared" si="6"/>
        <v>7.4397901785714293E-4</v>
      </c>
      <c r="F101" s="12">
        <f>E101/Calculation!K$20*1000</f>
        <v>9.0476179623852316E-4</v>
      </c>
      <c r="G101" s="12">
        <f t="shared" si="7"/>
        <v>65.301519752905222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92"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70.599999999999994</v>
      </c>
      <c r="C1" s="9" t="s">
        <v>51</v>
      </c>
    </row>
    <row r="3" spans="1:12">
      <c r="A3" s="132" t="s">
        <v>5</v>
      </c>
      <c r="B3" s="132" t="s">
        <v>36</v>
      </c>
      <c r="C3" s="132"/>
      <c r="D3" s="132" t="s">
        <v>52</v>
      </c>
      <c r="E3" s="132"/>
      <c r="F3" s="132"/>
      <c r="G3" s="8" t="s">
        <v>53</v>
      </c>
    </row>
    <row r="4" spans="1:12">
      <c r="A4" s="132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7">
        <v>551.41999999999996</v>
      </c>
      <c r="C5" s="36">
        <f>B5/1000</f>
        <v>0.55141999999999991</v>
      </c>
      <c r="D5" s="12">
        <f>C5/1000*$B$1</f>
        <v>3.8930251999999992E-2</v>
      </c>
      <c r="E5" s="12">
        <f>D5/22.4</f>
        <v>1.7379576785714283E-3</v>
      </c>
      <c r="F5" s="12">
        <f>E5/Calculation!K$4*1000</f>
        <v>1.1373832870644866E-3</v>
      </c>
      <c r="G5" s="12">
        <f>(0+F5)/2*30</f>
        <v>1.70607493059673E-2</v>
      </c>
    </row>
    <row r="6" spans="1:12">
      <c r="A6" s="35">
        <v>0.5</v>
      </c>
      <c r="B6" s="77">
        <v>755.47</v>
      </c>
      <c r="C6" s="36">
        <f t="shared" ref="C6:C69" si="0">B6/1000</f>
        <v>0.75546999999999997</v>
      </c>
      <c r="D6" s="12">
        <f>C6/1000*$B$1</f>
        <v>5.3336181999999989E-2</v>
      </c>
      <c r="E6" s="12">
        <f t="shared" ref="E6:E69" si="1">D6/22.4</f>
        <v>2.3810795535714282E-3</v>
      </c>
      <c r="F6" s="12">
        <f>E6/Calculation!K$4*1000</f>
        <v>1.5582658443266618E-3</v>
      </c>
      <c r="G6" s="12">
        <f>G5+(F6+F5)/2*30</f>
        <v>5.7495486276834526E-2</v>
      </c>
    </row>
    <row r="7" spans="1:12">
      <c r="A7" s="35">
        <v>1</v>
      </c>
      <c r="B7" s="77">
        <v>864.51</v>
      </c>
      <c r="C7" s="36">
        <f t="shared" si="0"/>
        <v>0.86451</v>
      </c>
      <c r="D7" s="12">
        <f t="shared" ref="D7:D69" si="2">C7/1000*$B$1</f>
        <v>6.1034405999999992E-2</v>
      </c>
      <c r="E7" s="12">
        <f t="shared" si="1"/>
        <v>2.7247502678571429E-3</v>
      </c>
      <c r="F7" s="12">
        <f>E7/Calculation!K$4*1000</f>
        <v>1.7831765723044497E-3</v>
      </c>
      <c r="G7" s="12">
        <f>G6+(F7+F6)/2*30</f>
        <v>0.10761712252630121</v>
      </c>
    </row>
    <row r="8" spans="1:12">
      <c r="A8" s="35">
        <v>1.5</v>
      </c>
      <c r="B8" s="77">
        <v>890.97</v>
      </c>
      <c r="C8" s="36">
        <f t="shared" si="0"/>
        <v>0.89097000000000004</v>
      </c>
      <c r="D8" s="12">
        <f t="shared" si="2"/>
        <v>6.2902481999999996E-2</v>
      </c>
      <c r="E8" s="12">
        <f t="shared" si="1"/>
        <v>2.8081465178571427E-3</v>
      </c>
      <c r="F8" s="12">
        <f>E8/Calculation!K$4*1000</f>
        <v>1.8377541389065428E-3</v>
      </c>
      <c r="G8" s="12">
        <f t="shared" ref="G8:G70" si="3">G7+(F8+F7)/2*30</f>
        <v>0.16193108319446609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7">
        <v>969.4</v>
      </c>
      <c r="C9" s="36">
        <f t="shared" si="0"/>
        <v>0.96939999999999993</v>
      </c>
      <c r="D9" s="12">
        <f t="shared" si="2"/>
        <v>6.8439639999999996E-2</v>
      </c>
      <c r="E9" s="12">
        <f t="shared" si="1"/>
        <v>3.0553410714285714E-3</v>
      </c>
      <c r="F9" s="12">
        <f>E9/Calculation!K$5*1000</f>
        <v>2.0615490778829754E-3</v>
      </c>
      <c r="G9" s="12">
        <f t="shared" si="3"/>
        <v>0.22042063144630886</v>
      </c>
    </row>
    <row r="10" spans="1:12">
      <c r="A10" s="35">
        <v>2.5</v>
      </c>
      <c r="B10" s="77">
        <v>1053.0899999999999</v>
      </c>
      <c r="C10" s="36">
        <f t="shared" si="0"/>
        <v>1.0530899999999999</v>
      </c>
      <c r="D10" s="12">
        <f t="shared" si="2"/>
        <v>7.4348153999999986E-2</v>
      </c>
      <c r="E10" s="12">
        <f t="shared" si="1"/>
        <v>3.3191140178571426E-3</v>
      </c>
      <c r="F10" s="12">
        <f>E10/Calculation!K$5*1000</f>
        <v>2.2395262207837658E-3</v>
      </c>
      <c r="G10" s="12">
        <f t="shared" si="3"/>
        <v>0.28493676092630998</v>
      </c>
    </row>
    <row r="11" spans="1:12">
      <c r="A11" s="35">
        <v>3</v>
      </c>
      <c r="B11" s="77">
        <v>1204.22</v>
      </c>
      <c r="C11" s="36">
        <f t="shared" si="0"/>
        <v>1.2042200000000001</v>
      </c>
      <c r="D11" s="12">
        <f t="shared" si="2"/>
        <v>8.5017931999999991E-2</v>
      </c>
      <c r="E11" s="12">
        <f t="shared" si="1"/>
        <v>3.7954433928571426E-3</v>
      </c>
      <c r="F11" s="12">
        <f>E11/Calculation!K$5*1000</f>
        <v>2.5609228704025545E-3</v>
      </c>
      <c r="G11" s="12">
        <f t="shared" si="3"/>
        <v>0.35694349729410479</v>
      </c>
    </row>
    <row r="12" spans="1:12">
      <c r="A12" s="35">
        <v>3.5</v>
      </c>
      <c r="B12" s="77">
        <v>1368.58</v>
      </c>
      <c r="C12" s="36">
        <f t="shared" si="0"/>
        <v>1.3685799999999999</v>
      </c>
      <c r="D12" s="12">
        <f t="shared" si="2"/>
        <v>9.662174799999998E-2</v>
      </c>
      <c r="E12" s="12">
        <f t="shared" si="1"/>
        <v>4.3134708928571422E-3</v>
      </c>
      <c r="F12" s="12">
        <f>E12/Calculation!K$6*1000</f>
        <v>3.0078079427588523E-3</v>
      </c>
      <c r="G12" s="12">
        <f t="shared" si="3"/>
        <v>0.44047445949152592</v>
      </c>
    </row>
    <row r="13" spans="1:12">
      <c r="A13" s="35">
        <v>4</v>
      </c>
      <c r="B13" s="77">
        <v>1597.98</v>
      </c>
      <c r="C13" s="36">
        <f t="shared" si="0"/>
        <v>1.59798</v>
      </c>
      <c r="D13" s="12">
        <f t="shared" si="2"/>
        <v>0.11281738799999999</v>
      </c>
      <c r="E13" s="12">
        <f t="shared" si="1"/>
        <v>5.0364905357142857E-3</v>
      </c>
      <c r="F13" s="12">
        <f>E13/Calculation!K$6*1000</f>
        <v>3.5119736780968532E-3</v>
      </c>
      <c r="G13" s="12">
        <f t="shared" si="3"/>
        <v>0.53827118380436145</v>
      </c>
    </row>
    <row r="14" spans="1:12">
      <c r="A14" s="35">
        <v>4.5</v>
      </c>
      <c r="B14" s="77">
        <v>2009.9</v>
      </c>
      <c r="C14" s="36">
        <f t="shared" si="0"/>
        <v>2.0099</v>
      </c>
      <c r="D14" s="12">
        <f t="shared" si="2"/>
        <v>0.14189894</v>
      </c>
      <c r="E14" s="12">
        <f t="shared" si="1"/>
        <v>6.3347741071428576E-3</v>
      </c>
      <c r="F14" s="12">
        <f>E14/Calculation!K$6*1000</f>
        <v>4.4172742434866932E-3</v>
      </c>
      <c r="G14" s="12">
        <f t="shared" si="3"/>
        <v>0.65720990262811463</v>
      </c>
    </row>
    <row r="15" spans="1:12">
      <c r="A15" s="35">
        <v>5</v>
      </c>
      <c r="B15" s="77">
        <v>2525.9299999999998</v>
      </c>
      <c r="C15" s="36">
        <f t="shared" si="0"/>
        <v>2.5259299999999998</v>
      </c>
      <c r="D15" s="12">
        <f t="shared" si="2"/>
        <v>0.17833065799999995</v>
      </c>
      <c r="E15" s="12">
        <f t="shared" si="1"/>
        <v>7.9611900892857124E-3</v>
      </c>
      <c r="F15" s="12">
        <f>E15/Calculation!K$7*1000</f>
        <v>5.7350982639048529E-3</v>
      </c>
      <c r="G15" s="12">
        <f t="shared" si="3"/>
        <v>0.80949549023898781</v>
      </c>
    </row>
    <row r="16" spans="1:12">
      <c r="A16" s="35">
        <v>5.5</v>
      </c>
      <c r="B16" s="77">
        <v>3402.71</v>
      </c>
      <c r="C16" s="36">
        <f t="shared" si="0"/>
        <v>3.4027099999999999</v>
      </c>
      <c r="D16" s="12">
        <f t="shared" si="2"/>
        <v>0.24023132599999997</v>
      </c>
      <c r="E16" s="12">
        <f t="shared" si="1"/>
        <v>1.0724612767857142E-2</v>
      </c>
      <c r="F16" s="12">
        <f>E16/Calculation!K$7*1000</f>
        <v>7.7258182980413891E-3</v>
      </c>
      <c r="G16" s="12">
        <f t="shared" si="3"/>
        <v>1.0114092386681814</v>
      </c>
    </row>
    <row r="17" spans="1:7">
      <c r="A17" s="35">
        <v>6</v>
      </c>
      <c r="B17" s="77">
        <v>4709.12</v>
      </c>
      <c r="C17" s="36">
        <f t="shared" si="0"/>
        <v>4.7091199999999995</v>
      </c>
      <c r="D17" s="12">
        <f t="shared" si="2"/>
        <v>0.33246387199999994</v>
      </c>
      <c r="E17" s="12">
        <f t="shared" si="1"/>
        <v>1.4842137142857141E-2</v>
      </c>
      <c r="F17" s="12">
        <f>E17/Calculation!K$8*1000</f>
        <v>1.1073866317965336E-2</v>
      </c>
      <c r="G17" s="12">
        <f t="shared" si="3"/>
        <v>1.2934045079082823</v>
      </c>
    </row>
    <row r="18" spans="1:7">
      <c r="A18" s="35">
        <v>6.5</v>
      </c>
      <c r="B18" s="77">
        <v>6266.76</v>
      </c>
      <c r="C18" s="36">
        <f t="shared" si="0"/>
        <v>6.2667600000000006</v>
      </c>
      <c r="D18" s="12">
        <f t="shared" si="2"/>
        <v>0.442433256</v>
      </c>
      <c r="E18" s="12">
        <f t="shared" si="1"/>
        <v>1.9751484642857146E-2</v>
      </c>
      <c r="F18" s="12">
        <f>E18/Calculation!K$8*1000</f>
        <v>1.473677937422968E-2</v>
      </c>
      <c r="G18" s="12">
        <f t="shared" si="3"/>
        <v>1.6805641932912074</v>
      </c>
    </row>
    <row r="19" spans="1:7">
      <c r="A19" s="35">
        <v>7</v>
      </c>
      <c r="B19" s="77">
        <v>8407.7000000000007</v>
      </c>
      <c r="C19" s="36">
        <f t="shared" si="0"/>
        <v>8.4077000000000002</v>
      </c>
      <c r="D19" s="12">
        <f t="shared" si="2"/>
        <v>0.59358361999999998</v>
      </c>
      <c r="E19" s="12">
        <f t="shared" si="1"/>
        <v>2.6499268749999999E-2</v>
      </c>
      <c r="F19" s="12">
        <f>E19/Calculation!K$8*1000</f>
        <v>1.9771368289947414E-2</v>
      </c>
      <c r="G19" s="12">
        <f t="shared" si="3"/>
        <v>2.1981864082538638</v>
      </c>
    </row>
    <row r="20" spans="1:7">
      <c r="A20" s="35">
        <v>7.5</v>
      </c>
      <c r="B20" s="77">
        <v>10710.93</v>
      </c>
      <c r="C20" s="36">
        <f t="shared" si="0"/>
        <v>10.710930000000001</v>
      </c>
      <c r="D20" s="12">
        <f t="shared" si="2"/>
        <v>0.75619165799999999</v>
      </c>
      <c r="E20" s="12">
        <f t="shared" si="1"/>
        <v>3.3758556160714284E-2</v>
      </c>
      <c r="F20" s="12">
        <f>E20/Calculation!K$9*1000</f>
        <v>2.603618157259192E-2</v>
      </c>
      <c r="G20" s="12">
        <f t="shared" si="3"/>
        <v>2.8852996561919539</v>
      </c>
    </row>
    <row r="21" spans="1:7">
      <c r="A21" s="35">
        <v>8</v>
      </c>
      <c r="B21" s="77">
        <v>13245.15</v>
      </c>
      <c r="C21" s="36">
        <f t="shared" si="0"/>
        <v>13.245149999999999</v>
      </c>
      <c r="D21" s="12">
        <f t="shared" si="2"/>
        <v>0.93510758999999988</v>
      </c>
      <c r="E21" s="12">
        <f t="shared" si="1"/>
        <v>4.1745874553571427E-2</v>
      </c>
      <c r="F21" s="12">
        <f>E21/Calculation!K$9*1000</f>
        <v>3.2196376071565766E-2</v>
      </c>
      <c r="G21" s="12">
        <f t="shared" si="3"/>
        <v>3.7587880208543192</v>
      </c>
    </row>
    <row r="22" spans="1:7">
      <c r="A22" s="35">
        <v>8.5</v>
      </c>
      <c r="B22" s="77">
        <v>11091.93</v>
      </c>
      <c r="C22" s="36">
        <f t="shared" si="0"/>
        <v>11.09193</v>
      </c>
      <c r="D22" s="12">
        <f t="shared" si="2"/>
        <v>0.78309025799999987</v>
      </c>
      <c r="E22" s="12">
        <f t="shared" si="1"/>
        <v>3.4959386517857141E-2</v>
      </c>
      <c r="F22" s="12">
        <f>E22/Calculation!K$9*1000</f>
        <v>2.6962318255322318E-2</v>
      </c>
      <c r="G22" s="12">
        <f t="shared" si="3"/>
        <v>4.6461684357576409</v>
      </c>
    </row>
    <row r="23" spans="1:7">
      <c r="A23" s="35">
        <v>9</v>
      </c>
      <c r="B23" s="77">
        <v>17634.64</v>
      </c>
      <c r="C23" s="36">
        <f t="shared" si="0"/>
        <v>17.634640000000001</v>
      </c>
      <c r="D23" s="12">
        <f t="shared" si="2"/>
        <v>1.2450055839999998</v>
      </c>
      <c r="E23" s="12">
        <f t="shared" si="1"/>
        <v>5.5580606428571426E-2</v>
      </c>
      <c r="F23" s="12">
        <f>E23/Calculation!K$10*1000</f>
        <v>4.4314330708290654E-2</v>
      </c>
      <c r="G23" s="12">
        <f t="shared" si="3"/>
        <v>5.7153181702118356</v>
      </c>
    </row>
    <row r="24" spans="1:7">
      <c r="A24" s="35">
        <v>9.5</v>
      </c>
      <c r="B24" s="77">
        <v>19347.39</v>
      </c>
      <c r="C24" s="36">
        <f t="shared" si="0"/>
        <v>19.347390000000001</v>
      </c>
      <c r="D24" s="12">
        <f t="shared" si="2"/>
        <v>1.3659257339999997</v>
      </c>
      <c r="E24" s="12">
        <f t="shared" si="1"/>
        <v>6.0978827410714274E-2</v>
      </c>
      <c r="F24" s="12">
        <f>E24/Calculation!K$10*1000</f>
        <v>4.8618323867245121E-2</v>
      </c>
      <c r="G24" s="12">
        <f t="shared" si="3"/>
        <v>7.109307988844872</v>
      </c>
    </row>
    <row r="25" spans="1:7">
      <c r="A25" s="35">
        <v>10</v>
      </c>
      <c r="B25" s="77">
        <v>21316.959999999999</v>
      </c>
      <c r="C25" s="36">
        <f t="shared" si="0"/>
        <v>21.316959999999998</v>
      </c>
      <c r="D25" s="12">
        <f t="shared" si="2"/>
        <v>1.5049773759999998</v>
      </c>
      <c r="E25" s="12">
        <f t="shared" si="1"/>
        <v>6.7186490000000001E-2</v>
      </c>
      <c r="F25" s="12">
        <f>E25/Calculation!K$11*1000</f>
        <v>5.5558082136736318E-2</v>
      </c>
      <c r="G25" s="12">
        <f t="shared" si="3"/>
        <v>8.6719540789045944</v>
      </c>
    </row>
    <row r="26" spans="1:7">
      <c r="A26" s="35">
        <v>10.5</v>
      </c>
      <c r="B26" s="77">
        <v>22664.34</v>
      </c>
      <c r="C26" s="36">
        <f t="shared" si="0"/>
        <v>22.664339999999999</v>
      </c>
      <c r="D26" s="12">
        <f t="shared" si="2"/>
        <v>1.6001024039999998</v>
      </c>
      <c r="E26" s="12">
        <f t="shared" si="1"/>
        <v>7.1433143035714283E-2</v>
      </c>
      <c r="F26" s="12">
        <f>E26/Calculation!K$11*1000</f>
        <v>5.9069738991625369E-2</v>
      </c>
      <c r="G26" s="12">
        <f t="shared" si="3"/>
        <v>10.391371395830019</v>
      </c>
    </row>
    <row r="27" spans="1:7">
      <c r="A27" s="35">
        <v>11</v>
      </c>
      <c r="B27" s="77">
        <v>23841.62</v>
      </c>
      <c r="C27" s="36">
        <f t="shared" si="0"/>
        <v>23.841619999999999</v>
      </c>
      <c r="D27" s="12">
        <f t="shared" si="2"/>
        <v>1.6832183719999996</v>
      </c>
      <c r="E27" s="12">
        <f t="shared" si="1"/>
        <v>7.5143677321428556E-2</v>
      </c>
      <c r="F27" s="12">
        <f>E27/Calculation!K$11*1000</f>
        <v>6.2138066695854144E-2</v>
      </c>
      <c r="G27" s="12">
        <f t="shared" si="3"/>
        <v>12.209488481142213</v>
      </c>
    </row>
    <row r="28" spans="1:7">
      <c r="A28" s="35">
        <v>11.5</v>
      </c>
      <c r="B28" s="77">
        <v>24550.69</v>
      </c>
      <c r="C28" s="36">
        <f t="shared" si="0"/>
        <v>24.550689999999999</v>
      </c>
      <c r="D28" s="12">
        <f t="shared" si="2"/>
        <v>1.7332787139999999</v>
      </c>
      <c r="E28" s="12">
        <f t="shared" si="1"/>
        <v>7.7378514017857142E-2</v>
      </c>
      <c r="F28" s="12">
        <f>E28/Calculation!K$12*1000</f>
        <v>6.6424681187667298E-2</v>
      </c>
      <c r="G28" s="12">
        <f t="shared" si="3"/>
        <v>14.137929699395034</v>
      </c>
    </row>
    <row r="29" spans="1:7">
      <c r="A29" s="35">
        <v>12</v>
      </c>
      <c r="B29" s="77">
        <v>25234.9</v>
      </c>
      <c r="C29" s="36">
        <f t="shared" si="0"/>
        <v>25.234900000000003</v>
      </c>
      <c r="D29" s="12">
        <f t="shared" si="2"/>
        <v>1.7815839400000002</v>
      </c>
      <c r="E29" s="12">
        <f t="shared" si="1"/>
        <v>7.9534997321428588E-2</v>
      </c>
      <c r="F29" s="12">
        <f>E29/Calculation!K$12*1000</f>
        <v>6.827588908102647E-2</v>
      </c>
      <c r="G29" s="12">
        <f t="shared" si="3"/>
        <v>16.158438253425441</v>
      </c>
    </row>
    <row r="30" spans="1:7">
      <c r="A30" s="35">
        <v>12.5</v>
      </c>
      <c r="B30" s="77">
        <v>25272.2</v>
      </c>
      <c r="C30" s="36">
        <f t="shared" si="0"/>
        <v>25.272200000000002</v>
      </c>
      <c r="D30" s="12">
        <f t="shared" si="2"/>
        <v>1.78421732</v>
      </c>
      <c r="E30" s="12">
        <f t="shared" si="1"/>
        <v>7.965255892857144E-2</v>
      </c>
      <c r="F30" s="12">
        <f>E30/Calculation!K$12*1000</f>
        <v>6.837680846896628E-2</v>
      </c>
      <c r="G30" s="12">
        <f t="shared" si="3"/>
        <v>18.208228716675332</v>
      </c>
    </row>
    <row r="31" spans="1:7">
      <c r="A31" s="35">
        <v>13</v>
      </c>
      <c r="B31" s="77">
        <v>25345.54</v>
      </c>
      <c r="C31" s="36">
        <f t="shared" si="0"/>
        <v>25.34554</v>
      </c>
      <c r="D31" s="12">
        <f t="shared" si="2"/>
        <v>1.7893951239999999</v>
      </c>
      <c r="E31" s="12">
        <f t="shared" si="1"/>
        <v>7.9883710892857146E-2</v>
      </c>
      <c r="F31" s="12">
        <f>E31/Calculation!K$13*1000</f>
        <v>7.065677997116547E-2</v>
      </c>
      <c r="G31" s="12">
        <f t="shared" si="3"/>
        <v>20.293732543277308</v>
      </c>
    </row>
    <row r="32" spans="1:7">
      <c r="A32" s="35">
        <v>13.5</v>
      </c>
      <c r="B32" s="77">
        <v>24143.71</v>
      </c>
      <c r="C32" s="36">
        <f t="shared" si="0"/>
        <v>24.143709999999999</v>
      </c>
      <c r="D32" s="12">
        <f t="shared" si="2"/>
        <v>1.7045459259999998</v>
      </c>
      <c r="E32" s="12">
        <f t="shared" si="1"/>
        <v>7.609580026785713E-2</v>
      </c>
      <c r="F32" s="12">
        <f>E32/Calculation!K$13*1000</f>
        <v>6.7306390203468819E-2</v>
      </c>
      <c r="G32" s="12">
        <f t="shared" si="3"/>
        <v>22.363180095896823</v>
      </c>
    </row>
    <row r="33" spans="1:7">
      <c r="A33" s="35">
        <v>14</v>
      </c>
      <c r="B33" s="77">
        <v>24342.66</v>
      </c>
      <c r="C33" s="36">
        <f t="shared" si="0"/>
        <v>24.342659999999999</v>
      </c>
      <c r="D33" s="12">
        <f t="shared" si="2"/>
        <v>1.7185917959999997</v>
      </c>
      <c r="E33" s="12">
        <f t="shared" si="1"/>
        <v>7.6722848035714275E-2</v>
      </c>
      <c r="F33" s="12">
        <f>E33/Calculation!K$14*1000</f>
        <v>7.0570738984345738E-2</v>
      </c>
      <c r="G33" s="12">
        <f t="shared" si="3"/>
        <v>24.431337033714041</v>
      </c>
    </row>
    <row r="34" spans="1:7">
      <c r="A34" s="35">
        <v>14.5</v>
      </c>
      <c r="B34" s="77">
        <v>24124.74</v>
      </c>
      <c r="C34" s="36">
        <f t="shared" si="0"/>
        <v>24.124740000000003</v>
      </c>
      <c r="D34" s="12">
        <f t="shared" si="2"/>
        <v>1.703206644</v>
      </c>
      <c r="E34" s="12">
        <f t="shared" si="1"/>
        <v>7.603601089285715E-2</v>
      </c>
      <c r="F34" s="12">
        <f>E34/Calculation!K$14*1000</f>
        <v>6.9938976660940302E-2</v>
      </c>
      <c r="G34" s="12">
        <f t="shared" si="3"/>
        <v>26.538982768393332</v>
      </c>
    </row>
    <row r="35" spans="1:7">
      <c r="A35" s="35">
        <v>15</v>
      </c>
      <c r="B35" s="77">
        <v>23490.9</v>
      </c>
      <c r="C35" s="36">
        <f t="shared" si="0"/>
        <v>23.4909</v>
      </c>
      <c r="D35" s="12">
        <f t="shared" si="2"/>
        <v>1.6584575399999997</v>
      </c>
      <c r="E35" s="12">
        <f t="shared" si="1"/>
        <v>7.4038283035714275E-2</v>
      </c>
      <c r="F35" s="12">
        <f>E35/Calculation!K$14*1000</f>
        <v>6.8101438889889884E-2</v>
      </c>
      <c r="G35" s="12">
        <f t="shared" si="3"/>
        <v>28.609589001655785</v>
      </c>
    </row>
    <row r="36" spans="1:7">
      <c r="A36" s="35">
        <v>15.5</v>
      </c>
      <c r="B36" s="77">
        <v>22560.720000000001</v>
      </c>
      <c r="C36" s="36">
        <f t="shared" si="0"/>
        <v>22.56072</v>
      </c>
      <c r="D36" s="12">
        <f t="shared" si="2"/>
        <v>1.5927868319999998</v>
      </c>
      <c r="E36" s="12">
        <f t="shared" si="1"/>
        <v>7.1106555000000002E-2</v>
      </c>
      <c r="F36" s="12">
        <f>E36/Calculation!K$15*1000</f>
        <v>6.8046819734543282E-2</v>
      </c>
      <c r="G36" s="12">
        <f t="shared" si="3"/>
        <v>30.651812881022281</v>
      </c>
    </row>
    <row r="37" spans="1:7">
      <c r="A37" s="35">
        <v>16</v>
      </c>
      <c r="B37" s="77">
        <v>19648.21</v>
      </c>
      <c r="C37" s="36">
        <f t="shared" si="0"/>
        <v>19.648209999999999</v>
      </c>
      <c r="D37" s="12">
        <f t="shared" si="2"/>
        <v>1.3871636259999998</v>
      </c>
      <c r="E37" s="12">
        <f t="shared" si="1"/>
        <v>6.1926947589285707E-2</v>
      </c>
      <c r="F37" s="12">
        <f>E37/Calculation!K$15*1000</f>
        <v>5.9262213438952764E-2</v>
      </c>
      <c r="G37" s="12">
        <f t="shared" si="3"/>
        <v>32.561448378624718</v>
      </c>
    </row>
    <row r="38" spans="1:7">
      <c r="A38" s="35">
        <v>16.5</v>
      </c>
      <c r="B38" s="77">
        <v>17363.95</v>
      </c>
      <c r="C38" s="36">
        <f t="shared" si="0"/>
        <v>17.363949999999999</v>
      </c>
      <c r="D38" s="12">
        <f t="shared" si="2"/>
        <v>1.2258948699999999</v>
      </c>
      <c r="E38" s="12">
        <f t="shared" si="1"/>
        <v>5.4727449553571429E-2</v>
      </c>
      <c r="F38" s="12">
        <f>E38/Calculation!K$15*1000</f>
        <v>5.2372511849339151E-2</v>
      </c>
      <c r="G38" s="12">
        <f t="shared" si="3"/>
        <v>34.235969257949094</v>
      </c>
    </row>
    <row r="39" spans="1:7">
      <c r="A39" s="35">
        <v>17</v>
      </c>
      <c r="B39" s="77">
        <v>15836.28</v>
      </c>
      <c r="C39" s="36">
        <f t="shared" si="0"/>
        <v>15.83628</v>
      </c>
      <c r="D39" s="12">
        <f t="shared" si="2"/>
        <v>1.1180413680000001</v>
      </c>
      <c r="E39" s="12">
        <f t="shared" si="1"/>
        <v>4.9912561071428579E-2</v>
      </c>
      <c r="F39" s="12">
        <f>E39/Calculation!K$16*1000</f>
        <v>4.9775488921175434E-2</v>
      </c>
      <c r="G39" s="12">
        <f>G38+(F39+F38)/2*30</f>
        <v>35.768189269506813</v>
      </c>
    </row>
    <row r="40" spans="1:7">
      <c r="A40" s="35">
        <v>17.5</v>
      </c>
      <c r="B40" s="77">
        <v>14159.23</v>
      </c>
      <c r="C40" s="36">
        <f t="shared" si="0"/>
        <v>14.159229999999999</v>
      </c>
      <c r="D40" s="12">
        <f t="shared" si="2"/>
        <v>0.99964163799999983</v>
      </c>
      <c r="E40" s="12">
        <f t="shared" si="1"/>
        <v>4.4626858839285709E-2</v>
      </c>
      <c r="F40" s="12">
        <f>E40/Calculation!K$16*1000</f>
        <v>4.450430252542735E-2</v>
      </c>
      <c r="G40" s="12">
        <f t="shared" si="3"/>
        <v>37.182386141205853</v>
      </c>
    </row>
    <row r="41" spans="1:7">
      <c r="A41" s="35">
        <v>18</v>
      </c>
      <c r="B41" s="77">
        <v>12383.35</v>
      </c>
      <c r="C41" s="36">
        <f t="shared" si="0"/>
        <v>12.38335</v>
      </c>
      <c r="D41" s="12">
        <f t="shared" si="2"/>
        <v>0.87426450999999994</v>
      </c>
      <c r="E41" s="12">
        <f t="shared" si="1"/>
        <v>3.9029665625000001E-2</v>
      </c>
      <c r="F41" s="12">
        <f>E41/Calculation!K$17*1000</f>
        <v>4.0552146269472601E-2</v>
      </c>
      <c r="G41" s="12">
        <f t="shared" si="3"/>
        <v>38.458232873129354</v>
      </c>
    </row>
    <row r="42" spans="1:7">
      <c r="A42" s="35">
        <v>18.5</v>
      </c>
      <c r="B42" s="77">
        <v>11187.74</v>
      </c>
      <c r="C42" s="36">
        <f t="shared" si="0"/>
        <v>11.18774</v>
      </c>
      <c r="D42" s="12">
        <f t="shared" si="2"/>
        <v>0.78985444399999993</v>
      </c>
      <c r="E42" s="12">
        <f t="shared" si="1"/>
        <v>3.5261359107142856E-2</v>
      </c>
      <c r="F42" s="12">
        <f>E42/Calculation!K$17*1000</f>
        <v>3.6636844545686699E-2</v>
      </c>
      <c r="G42" s="12">
        <f t="shared" si="3"/>
        <v>39.616067735356744</v>
      </c>
    </row>
    <row r="43" spans="1:7">
      <c r="A43" s="35">
        <v>19</v>
      </c>
      <c r="B43" s="77">
        <v>9971.7199999999993</v>
      </c>
      <c r="C43" s="36">
        <f t="shared" si="0"/>
        <v>9.9717199999999995</v>
      </c>
      <c r="D43" s="12">
        <f t="shared" si="2"/>
        <v>0.70400343199999993</v>
      </c>
      <c r="E43" s="12">
        <f t="shared" si="1"/>
        <v>3.1428724642857141E-2</v>
      </c>
      <c r="F43" s="12">
        <f>E43/Calculation!K$17*1000</f>
        <v>3.2654705552069944E-2</v>
      </c>
      <c r="G43" s="12">
        <f t="shared" si="3"/>
        <v>40.655440986823095</v>
      </c>
    </row>
    <row r="44" spans="1:7">
      <c r="A44" s="35">
        <v>19.5</v>
      </c>
      <c r="B44" s="77">
        <v>8504.15</v>
      </c>
      <c r="C44" s="36">
        <f t="shared" si="0"/>
        <v>8.5041499999999992</v>
      </c>
      <c r="D44" s="12">
        <f t="shared" si="2"/>
        <v>0.60039298999999979</v>
      </c>
      <c r="E44" s="12">
        <f t="shared" si="1"/>
        <v>2.680325848214285E-2</v>
      </c>
      <c r="F44" s="12">
        <f>E44/Calculation!K$17*1000</f>
        <v>2.7848807850665232E-2</v>
      </c>
      <c r="G44" s="12">
        <f t="shared" si="3"/>
        <v>41.562993687864122</v>
      </c>
    </row>
    <row r="45" spans="1:7">
      <c r="A45" s="35">
        <v>20</v>
      </c>
      <c r="B45" s="77">
        <v>7277.77</v>
      </c>
      <c r="C45" s="36">
        <f t="shared" si="0"/>
        <v>7.2777700000000003</v>
      </c>
      <c r="D45" s="12">
        <f t="shared" si="2"/>
        <v>0.51381056199999997</v>
      </c>
      <c r="E45" s="12">
        <f t="shared" si="1"/>
        <v>2.2937971517857144E-2</v>
      </c>
      <c r="F45" s="12">
        <f>E45/Calculation!K$17*1000</f>
        <v>2.3832742638751195E-2</v>
      </c>
      <c r="G45" s="12">
        <f t="shared" si="3"/>
        <v>42.338216945205367</v>
      </c>
    </row>
    <row r="46" spans="1:7">
      <c r="A46" s="35">
        <v>20.5</v>
      </c>
      <c r="B46" s="77">
        <v>6165.53</v>
      </c>
      <c r="C46" s="36">
        <f t="shared" si="0"/>
        <v>6.1655299999999995</v>
      </c>
      <c r="D46" s="12">
        <f t="shared" si="2"/>
        <v>0.43528641799999995</v>
      </c>
      <c r="E46" s="12">
        <f t="shared" si="1"/>
        <v>1.9432429374999997E-2</v>
      </c>
      <c r="F46" s="12">
        <f>E46/Calculation!K$17*1000</f>
        <v>2.0190455279776583E-2</v>
      </c>
      <c r="G46" s="12">
        <f t="shared" si="3"/>
        <v>42.998564913983287</v>
      </c>
    </row>
    <row r="47" spans="1:7">
      <c r="A47" s="35">
        <v>21</v>
      </c>
      <c r="B47" s="77">
        <v>5089.4799999999996</v>
      </c>
      <c r="C47" s="36">
        <f t="shared" si="0"/>
        <v>5.08948</v>
      </c>
      <c r="D47" s="12">
        <f t="shared" si="2"/>
        <v>0.35931728800000001</v>
      </c>
      <c r="E47" s="12">
        <f t="shared" si="1"/>
        <v>1.6040950357142859E-2</v>
      </c>
      <c r="F47" s="12">
        <f>E47/Calculation!K$17*1000</f>
        <v>1.6666680453637783E-2</v>
      </c>
      <c r="G47" s="12">
        <f t="shared" si="3"/>
        <v>43.551421949984501</v>
      </c>
    </row>
    <row r="48" spans="1:7">
      <c r="A48" s="35">
        <v>21.5</v>
      </c>
      <c r="B48" s="77">
        <v>4361.59</v>
      </c>
      <c r="C48" s="36">
        <f t="shared" si="0"/>
        <v>4.3615900000000005</v>
      </c>
      <c r="D48" s="12">
        <f t="shared" si="2"/>
        <v>0.30792825400000001</v>
      </c>
      <c r="E48" s="12">
        <f t="shared" si="1"/>
        <v>1.374679705357143E-2</v>
      </c>
      <c r="F48" s="12">
        <f>E48/Calculation!K$17*1000</f>
        <v>1.4283036145103629E-2</v>
      </c>
      <c r="G48" s="12">
        <f t="shared" si="3"/>
        <v>44.015667698965622</v>
      </c>
    </row>
    <row r="49" spans="1:7">
      <c r="A49" s="35">
        <v>22</v>
      </c>
      <c r="B49" s="77">
        <v>3636.73</v>
      </c>
      <c r="C49" s="36">
        <f t="shared" si="0"/>
        <v>3.63673</v>
      </c>
      <c r="D49" s="12">
        <f t="shared" si="2"/>
        <v>0.25675313799999999</v>
      </c>
      <c r="E49" s="12">
        <f t="shared" si="1"/>
        <v>1.1462193660714286E-2</v>
      </c>
      <c r="F49" s="12">
        <f>E49/Calculation!K$17*1000</f>
        <v>1.1909314273001983E-2</v>
      </c>
      <c r="G49" s="12">
        <f t="shared" si="3"/>
        <v>44.408552955237205</v>
      </c>
    </row>
    <row r="50" spans="1:7">
      <c r="A50" s="35">
        <v>22.5</v>
      </c>
      <c r="B50" s="77">
        <v>3073.68</v>
      </c>
      <c r="C50" s="36">
        <f t="shared" si="0"/>
        <v>3.07368</v>
      </c>
      <c r="D50" s="12">
        <f t="shared" si="2"/>
        <v>0.21700180799999999</v>
      </c>
      <c r="E50" s="12">
        <f t="shared" si="1"/>
        <v>9.6875807142857151E-3</v>
      </c>
      <c r="F50" s="12">
        <f>E50/Calculation!K$17*1000</f>
        <v>1.0065476704248249E-2</v>
      </c>
      <c r="G50" s="12">
        <f t="shared" si="3"/>
        <v>44.73817481989596</v>
      </c>
    </row>
    <row r="51" spans="1:7">
      <c r="A51" s="35">
        <v>23</v>
      </c>
      <c r="B51" s="77">
        <v>2656.49</v>
      </c>
      <c r="C51" s="36">
        <f t="shared" si="0"/>
        <v>2.6564899999999998</v>
      </c>
      <c r="D51" s="12">
        <f t="shared" si="2"/>
        <v>0.18754819399999995</v>
      </c>
      <c r="E51" s="12">
        <f t="shared" si="1"/>
        <v>8.3726872321428555E-3</v>
      </c>
      <c r="F51" s="12">
        <f>E51/Calculation!K$17*1000</f>
        <v>8.6992914714831802E-3</v>
      </c>
      <c r="G51" s="12">
        <f t="shared" si="3"/>
        <v>45.019646342531928</v>
      </c>
    </row>
    <row r="52" spans="1:7">
      <c r="A52" s="35">
        <v>23.5</v>
      </c>
      <c r="B52" s="77">
        <v>2221.29</v>
      </c>
      <c r="C52" s="36">
        <f t="shared" si="0"/>
        <v>2.2212899999999998</v>
      </c>
      <c r="D52" s="12">
        <f t="shared" si="2"/>
        <v>0.15682307399999998</v>
      </c>
      <c r="E52" s="12">
        <f t="shared" si="1"/>
        <v>7.0010300892857135E-3</v>
      </c>
      <c r="F52" s="12">
        <f>E52/Calculation!K$17*1000</f>
        <v>7.2741283244773663E-3</v>
      </c>
      <c r="G52" s="12">
        <f t="shared" si="3"/>
        <v>45.259247639471333</v>
      </c>
    </row>
    <row r="53" spans="1:7">
      <c r="A53" s="35">
        <v>24</v>
      </c>
      <c r="B53" s="77">
        <v>1927.49</v>
      </c>
      <c r="C53" s="36">
        <f t="shared" si="0"/>
        <v>1.9274899999999999</v>
      </c>
      <c r="D53" s="12">
        <f t="shared" si="2"/>
        <v>0.13608079399999998</v>
      </c>
      <c r="E53" s="12">
        <f t="shared" si="1"/>
        <v>6.0750354464285707E-3</v>
      </c>
      <c r="F53" s="12">
        <f>E53/Calculation!K$18*1000</f>
        <v>6.6340536503247576E-3</v>
      </c>
      <c r="G53" s="12">
        <f t="shared" si="3"/>
        <v>45.467870369093362</v>
      </c>
    </row>
    <row r="54" spans="1:7">
      <c r="A54" s="35">
        <v>24.5</v>
      </c>
      <c r="B54" s="77">
        <v>1678.8</v>
      </c>
      <c r="C54" s="36">
        <f t="shared" si="0"/>
        <v>1.6787999999999998</v>
      </c>
      <c r="D54" s="12">
        <f t="shared" si="2"/>
        <v>0.11852327999999998</v>
      </c>
      <c r="E54" s="12">
        <f t="shared" si="1"/>
        <v>5.2912178571428567E-3</v>
      </c>
      <c r="F54" s="12">
        <f>E54/Calculation!K$18*1000</f>
        <v>5.778110012589017E-3</v>
      </c>
      <c r="G54" s="12">
        <f t="shared" si="3"/>
        <v>45.654052824037066</v>
      </c>
    </row>
    <row r="55" spans="1:7">
      <c r="A55" s="35">
        <v>25</v>
      </c>
      <c r="B55" s="77">
        <v>1438.24</v>
      </c>
      <c r="C55" s="36">
        <f t="shared" si="0"/>
        <v>1.43824</v>
      </c>
      <c r="D55" s="12">
        <f t="shared" si="2"/>
        <v>0.10153974399999999</v>
      </c>
      <c r="E55" s="12">
        <f t="shared" si="1"/>
        <v>4.5330242857142856E-3</v>
      </c>
      <c r="F55" s="12">
        <f>E55/Calculation!K$18*1000</f>
        <v>4.9501482871729969E-3</v>
      </c>
      <c r="G55" s="12">
        <f t="shared" si="3"/>
        <v>45.814976698533499</v>
      </c>
    </row>
    <row r="56" spans="1:7">
      <c r="A56" s="35">
        <v>25.5</v>
      </c>
      <c r="B56" s="77">
        <v>1219.21</v>
      </c>
      <c r="C56" s="36">
        <f t="shared" si="0"/>
        <v>1.2192100000000001</v>
      </c>
      <c r="D56" s="12">
        <f t="shared" si="2"/>
        <v>8.6076226000000006E-2</v>
      </c>
      <c r="E56" s="12">
        <f t="shared" si="1"/>
        <v>3.8426886607142862E-3</v>
      </c>
      <c r="F56" s="12">
        <f>E56/Calculation!K$18*1000</f>
        <v>4.1962887231645554E-3</v>
      </c>
      <c r="G56" s="12">
        <f t="shared" si="3"/>
        <v>45.952173253688564</v>
      </c>
    </row>
    <row r="57" spans="1:7">
      <c r="A57" s="35">
        <v>26</v>
      </c>
      <c r="B57" s="77">
        <v>1071.43</v>
      </c>
      <c r="C57" s="36">
        <f t="shared" si="0"/>
        <v>1.0714300000000001</v>
      </c>
      <c r="D57" s="12">
        <f t="shared" si="2"/>
        <v>7.564295800000001E-2</v>
      </c>
      <c r="E57" s="12">
        <f t="shared" si="1"/>
        <v>3.3769177678571434E-3</v>
      </c>
      <c r="F57" s="12">
        <f>E57/Calculation!K$18*1000</f>
        <v>3.6876580955374385E-3</v>
      </c>
      <c r="G57" s="12">
        <f t="shared" si="3"/>
        <v>46.07043245596909</v>
      </c>
    </row>
    <row r="58" spans="1:7">
      <c r="A58" s="35">
        <v>26.5</v>
      </c>
      <c r="B58" s="77">
        <v>925.56</v>
      </c>
      <c r="C58" s="36">
        <f t="shared" si="0"/>
        <v>0.92555999999999994</v>
      </c>
      <c r="D58" s="12">
        <f t="shared" si="2"/>
        <v>6.5344535999999995E-2</v>
      </c>
      <c r="E58" s="12">
        <f t="shared" si="1"/>
        <v>2.9171667857142859E-3</v>
      </c>
      <c r="F58" s="12">
        <f>E58/Calculation!K$18*1000</f>
        <v>3.1856013243101566E-3</v>
      </c>
      <c r="G58" s="12">
        <f t="shared" si="3"/>
        <v>46.173531347266803</v>
      </c>
    </row>
    <row r="59" spans="1:7">
      <c r="A59" s="35">
        <v>27</v>
      </c>
      <c r="B59" s="77">
        <v>828.16</v>
      </c>
      <c r="C59" s="36">
        <f t="shared" si="0"/>
        <v>0.82816000000000001</v>
      </c>
      <c r="D59" s="12">
        <f t="shared" si="2"/>
        <v>5.8468095999999997E-2</v>
      </c>
      <c r="E59" s="12">
        <f t="shared" si="1"/>
        <v>2.6101828571428571E-3</v>
      </c>
      <c r="F59" s="12">
        <f>E59/Calculation!K$18*1000</f>
        <v>2.8503690660148439E-3</v>
      </c>
      <c r="G59" s="12">
        <f t="shared" si="3"/>
        <v>46.264070903121677</v>
      </c>
    </row>
    <row r="60" spans="1:7">
      <c r="A60" s="35">
        <v>27.5</v>
      </c>
      <c r="B60" s="77">
        <v>737.93</v>
      </c>
      <c r="C60" s="36">
        <f t="shared" si="0"/>
        <v>0.73792999999999997</v>
      </c>
      <c r="D60" s="12">
        <f t="shared" si="2"/>
        <v>5.209785799999999E-2</v>
      </c>
      <c r="E60" s="12">
        <f t="shared" si="1"/>
        <v>2.3257972321428567E-3</v>
      </c>
      <c r="F60" s="12">
        <f>E60/Calculation!K$18*1000</f>
        <v>2.5398145827911678E-3</v>
      </c>
      <c r="G60" s="12">
        <f t="shared" si="3"/>
        <v>46.344923657853769</v>
      </c>
    </row>
    <row r="61" spans="1:7">
      <c r="A61" s="35">
        <v>28</v>
      </c>
      <c r="B61" s="77">
        <v>631.28</v>
      </c>
      <c r="C61" s="36">
        <f t="shared" si="0"/>
        <v>0.63127999999999995</v>
      </c>
      <c r="D61" s="12">
        <f t="shared" si="2"/>
        <v>4.456836799999999E-2</v>
      </c>
      <c r="E61" s="12">
        <f t="shared" si="1"/>
        <v>1.9896592857142855E-3</v>
      </c>
      <c r="F61" s="12">
        <f>E61/Calculation!K$18*1000</f>
        <v>2.1727455853867016E-3</v>
      </c>
      <c r="G61" s="12">
        <f t="shared" si="3"/>
        <v>46.415612060376439</v>
      </c>
    </row>
    <row r="62" spans="1:7">
      <c r="A62" s="35">
        <v>28.5</v>
      </c>
      <c r="B62" s="77">
        <v>565.91999999999996</v>
      </c>
      <c r="C62" s="36">
        <f t="shared" si="0"/>
        <v>0.56591999999999998</v>
      </c>
      <c r="D62" s="12">
        <f t="shared" si="2"/>
        <v>3.9953952000000001E-2</v>
      </c>
      <c r="E62" s="12">
        <f t="shared" si="1"/>
        <v>1.7836585714285716E-3</v>
      </c>
      <c r="F62" s="12">
        <f>E62/Calculation!K$18*1000</f>
        <v>1.9477889077462334E-3</v>
      </c>
      <c r="G62" s="12">
        <f t="shared" si="3"/>
        <v>46.477420077773431</v>
      </c>
    </row>
    <row r="63" spans="1:7">
      <c r="A63" s="35">
        <v>29</v>
      </c>
      <c r="B63" s="77">
        <v>511.56</v>
      </c>
      <c r="C63" s="36">
        <f t="shared" si="0"/>
        <v>0.51156000000000001</v>
      </c>
      <c r="D63" s="12">
        <f t="shared" si="2"/>
        <v>3.6116135999999993E-2</v>
      </c>
      <c r="E63" s="12">
        <f t="shared" si="1"/>
        <v>1.6123274999999997E-3</v>
      </c>
      <c r="F63" s="12">
        <f>E63/Calculation!K$18*1000</f>
        <v>1.7606921360734079E-3</v>
      </c>
      <c r="G63" s="12">
        <f t="shared" si="3"/>
        <v>46.533047293430727</v>
      </c>
    </row>
    <row r="64" spans="1:7">
      <c r="A64" s="35">
        <v>29.5</v>
      </c>
      <c r="B64" s="77">
        <v>459.59</v>
      </c>
      <c r="C64" s="36">
        <f t="shared" si="0"/>
        <v>0.45959</v>
      </c>
      <c r="D64" s="12">
        <f t="shared" si="2"/>
        <v>3.2447053999999996E-2</v>
      </c>
      <c r="E64" s="12">
        <f t="shared" si="1"/>
        <v>1.4485291964285714E-3</v>
      </c>
      <c r="F64" s="12">
        <f>E64/Calculation!K$18*1000</f>
        <v>1.5818212894244616E-3</v>
      </c>
      <c r="G64" s="12">
        <f t="shared" si="3"/>
        <v>46.583184994813195</v>
      </c>
    </row>
    <row r="65" spans="1:7">
      <c r="A65" s="35">
        <v>30</v>
      </c>
      <c r="B65" s="77">
        <v>405.39</v>
      </c>
      <c r="C65" s="36">
        <f t="shared" si="0"/>
        <v>0.40538999999999997</v>
      </c>
      <c r="D65" s="12">
        <f t="shared" si="2"/>
        <v>2.8620533999999996E-2</v>
      </c>
      <c r="E65" s="12">
        <f t="shared" si="1"/>
        <v>1.2777024107142856E-3</v>
      </c>
      <c r="F65" s="12">
        <f>E65/Calculation!K$19*1000</f>
        <v>1.4702900033840044E-3</v>
      </c>
      <c r="G65" s="12">
        <f t="shared" si="3"/>
        <v>46.628966664205322</v>
      </c>
    </row>
    <row r="66" spans="1:7">
      <c r="A66" s="35">
        <v>30.5</v>
      </c>
      <c r="B66" s="77">
        <v>395.19</v>
      </c>
      <c r="C66" s="36">
        <f t="shared" si="0"/>
        <v>0.39518999999999999</v>
      </c>
      <c r="D66" s="12">
        <f t="shared" si="2"/>
        <v>2.7900413999999995E-2</v>
      </c>
      <c r="E66" s="12">
        <f t="shared" si="1"/>
        <v>1.2455541964285714E-3</v>
      </c>
      <c r="F66" s="12">
        <f>E66/Calculation!K$19*1000</f>
        <v>1.4332961011305774E-3</v>
      </c>
      <c r="G66" s="12">
        <f t="shared" si="3"/>
        <v>46.672520455773039</v>
      </c>
    </row>
    <row r="67" spans="1:7">
      <c r="A67" s="35">
        <v>31</v>
      </c>
      <c r="B67" s="77">
        <v>360.44</v>
      </c>
      <c r="C67" s="36">
        <f t="shared" si="0"/>
        <v>0.36043999999999998</v>
      </c>
      <c r="D67" s="12">
        <f t="shared" si="2"/>
        <v>2.5447063999999995E-2</v>
      </c>
      <c r="E67" s="12">
        <f t="shared" si="1"/>
        <v>1.1360296428571427E-3</v>
      </c>
      <c r="F67" s="12">
        <f>E67/Calculation!K$19*1000</f>
        <v>1.3072629537475779E-3</v>
      </c>
      <c r="G67" s="12">
        <f t="shared" si="3"/>
        <v>46.713628841596211</v>
      </c>
    </row>
    <row r="68" spans="1:7">
      <c r="A68" s="35">
        <v>31.5</v>
      </c>
      <c r="B68" s="77">
        <v>336.84</v>
      </c>
      <c r="C68" s="36">
        <f t="shared" si="0"/>
        <v>0.33683999999999997</v>
      </c>
      <c r="D68" s="12">
        <f t="shared" si="2"/>
        <v>2.3780903999999995E-2</v>
      </c>
      <c r="E68" s="12">
        <f t="shared" si="1"/>
        <v>1.0616474999999999E-3</v>
      </c>
      <c r="F68" s="12">
        <f>E68/Calculation!K$19*1000</f>
        <v>1.2216692191220012E-3</v>
      </c>
      <c r="G68" s="12">
        <f t="shared" si="3"/>
        <v>46.751562824189257</v>
      </c>
    </row>
    <row r="69" spans="1:7">
      <c r="A69" s="35">
        <v>32</v>
      </c>
      <c r="B69" s="77">
        <v>307.19</v>
      </c>
      <c r="C69" s="36">
        <f t="shared" si="0"/>
        <v>0.30719000000000002</v>
      </c>
      <c r="D69" s="12">
        <f t="shared" si="2"/>
        <v>2.1687614000000001E-2</v>
      </c>
      <c r="E69" s="12">
        <f t="shared" si="1"/>
        <v>9.6819705357142872E-4</v>
      </c>
      <c r="F69" s="12">
        <f>E69/Calculation!K$19*1000</f>
        <v>1.1141330228657156E-3</v>
      </c>
      <c r="G69" s="12">
        <f t="shared" si="3"/>
        <v>46.78659985781907</v>
      </c>
    </row>
    <row r="70" spans="1:7">
      <c r="A70" s="35">
        <v>32.5</v>
      </c>
      <c r="B70" s="77">
        <v>275.14999999999998</v>
      </c>
      <c r="C70" s="36">
        <f t="shared" ref="C70:C101" si="4">B70/1000</f>
        <v>0.27514999999999995</v>
      </c>
      <c r="D70" s="12">
        <f t="shared" ref="D70:D101" si="5">C70/1000*$B$1</f>
        <v>1.9425589999999993E-2</v>
      </c>
      <c r="E70" s="12">
        <f t="shared" ref="E70:E101" si="6">D70/22.4</f>
        <v>8.6721383928571399E-4</v>
      </c>
      <c r="F70" s="12">
        <f>E70/Calculation!K$19*1000</f>
        <v>9.9792864755200847E-4</v>
      </c>
      <c r="G70" s="12">
        <f t="shared" si="3"/>
        <v>46.818280782875334</v>
      </c>
    </row>
    <row r="71" spans="1:7">
      <c r="A71" s="35">
        <v>33</v>
      </c>
      <c r="B71" s="77">
        <v>258.89</v>
      </c>
      <c r="C71" s="36">
        <f t="shared" si="4"/>
        <v>0.25889000000000001</v>
      </c>
      <c r="D71" s="12">
        <f t="shared" si="5"/>
        <v>1.8277634000000001E-2</v>
      </c>
      <c r="E71" s="12">
        <f t="shared" si="6"/>
        <v>8.1596580357142868E-4</v>
      </c>
      <c r="F71" s="12">
        <f>E71/Calculation!K$19*1000</f>
        <v>9.3895601513625153E-4</v>
      </c>
      <c r="G71" s="12">
        <f t="shared" ref="G71:G101" si="7">G70+(F71+F70)/2*30</f>
        <v>46.847334052815661</v>
      </c>
    </row>
    <row r="72" spans="1:7">
      <c r="A72" s="35">
        <v>33.5</v>
      </c>
      <c r="B72" s="77">
        <v>239.44</v>
      </c>
      <c r="C72" s="36">
        <f t="shared" si="4"/>
        <v>0.23943999999999999</v>
      </c>
      <c r="D72" s="12">
        <f t="shared" si="5"/>
        <v>1.6904463999999998E-2</v>
      </c>
      <c r="E72" s="12">
        <f t="shared" si="6"/>
        <v>7.5466357142857138E-4</v>
      </c>
      <c r="F72" s="12">
        <f>E72/Calculation!K$19*1000</f>
        <v>8.6841372113339265E-4</v>
      </c>
      <c r="G72" s="12">
        <f t="shared" si="7"/>
        <v>46.874444598859704</v>
      </c>
    </row>
    <row r="73" spans="1:7">
      <c r="A73" s="35">
        <v>34</v>
      </c>
      <c r="B73" s="77">
        <v>217.12</v>
      </c>
      <c r="C73" s="36">
        <f t="shared" si="4"/>
        <v>0.21712000000000001</v>
      </c>
      <c r="D73" s="12">
        <f t="shared" si="5"/>
        <v>1.5328672E-2</v>
      </c>
      <c r="E73" s="12">
        <f t="shared" si="6"/>
        <v>6.8431571428571435E-4</v>
      </c>
      <c r="F73" s="12">
        <f>E73/Calculation!K$19*1000</f>
        <v>7.8746235855530508E-4</v>
      </c>
      <c r="G73" s="12">
        <f t="shared" si="7"/>
        <v>46.899282740055035</v>
      </c>
    </row>
    <row r="74" spans="1:7">
      <c r="A74" s="35">
        <v>34.5</v>
      </c>
      <c r="B74" s="77">
        <v>207.88</v>
      </c>
      <c r="C74" s="36">
        <f t="shared" si="4"/>
        <v>0.20788000000000001</v>
      </c>
      <c r="D74" s="12">
        <f t="shared" si="5"/>
        <v>1.4676328000000001E-2</v>
      </c>
      <c r="E74" s="12">
        <f t="shared" si="6"/>
        <v>6.5519321428571438E-4</v>
      </c>
      <c r="F74" s="12">
        <f>E74/Calculation!K$19*1000</f>
        <v>7.5395023533749459E-4</v>
      </c>
      <c r="G74" s="12">
        <f t="shared" si="7"/>
        <v>46.922403928963426</v>
      </c>
    </row>
    <row r="75" spans="1:7">
      <c r="A75" s="35">
        <v>35</v>
      </c>
      <c r="B75" s="77">
        <v>195.12</v>
      </c>
      <c r="C75" s="36">
        <f t="shared" si="4"/>
        <v>0.19512000000000002</v>
      </c>
      <c r="D75" s="12">
        <f t="shared" si="5"/>
        <v>1.3775472E-2</v>
      </c>
      <c r="E75" s="12">
        <f t="shared" si="6"/>
        <v>6.1497642857142861E-4</v>
      </c>
      <c r="F75" s="12">
        <f>E75/Calculation!K$19*1000</f>
        <v>7.0767158898908959E-4</v>
      </c>
      <c r="G75" s="12">
        <f t="shared" si="7"/>
        <v>46.944328256328326</v>
      </c>
    </row>
    <row r="76" spans="1:7">
      <c r="A76" s="35">
        <v>35.5</v>
      </c>
      <c r="B76" s="77">
        <v>193.53</v>
      </c>
      <c r="C76" s="36">
        <f t="shared" si="4"/>
        <v>0.19353000000000001</v>
      </c>
      <c r="D76" s="12">
        <f t="shared" si="5"/>
        <v>1.3663218E-2</v>
      </c>
      <c r="E76" s="12">
        <f t="shared" si="6"/>
        <v>6.0996508928571431E-4</v>
      </c>
      <c r="F76" s="12">
        <f>E76/Calculation!K$19*1000</f>
        <v>7.0190489246134934E-4</v>
      </c>
      <c r="G76" s="12">
        <f t="shared" si="7"/>
        <v>46.965471903550082</v>
      </c>
    </row>
    <row r="77" spans="1:7">
      <c r="A77" s="35">
        <v>36</v>
      </c>
      <c r="B77" s="77">
        <v>187.63</v>
      </c>
      <c r="C77" s="36">
        <f t="shared" si="4"/>
        <v>0.18762999999999999</v>
      </c>
      <c r="D77" s="12">
        <f t="shared" si="5"/>
        <v>1.3246677999999998E-2</v>
      </c>
      <c r="E77" s="12">
        <f t="shared" si="6"/>
        <v>5.9136955357142851E-4</v>
      </c>
      <c r="F77" s="12">
        <f>E77/Calculation!K$19*1000</f>
        <v>6.8050645880495507E-4</v>
      </c>
      <c r="G77" s="12">
        <f t="shared" si="7"/>
        <v>46.986208073819078</v>
      </c>
    </row>
    <row r="78" spans="1:7">
      <c r="A78" s="35">
        <v>36.5</v>
      </c>
      <c r="B78" s="77">
        <v>181.25</v>
      </c>
      <c r="C78" s="36">
        <f t="shared" si="4"/>
        <v>0.18124999999999999</v>
      </c>
      <c r="D78" s="12">
        <f t="shared" si="5"/>
        <v>1.2796249999999999E-2</v>
      </c>
      <c r="E78" s="12">
        <f t="shared" si="6"/>
        <v>5.7126116071428573E-4</v>
      </c>
      <c r="F78" s="12">
        <f>E78/Calculation!K$19*1000</f>
        <v>6.5736713563075279E-4</v>
      </c>
      <c r="G78" s="12">
        <f t="shared" si="7"/>
        <v>47.006276177735614</v>
      </c>
    </row>
    <row r="79" spans="1:7">
      <c r="A79" s="35">
        <v>37</v>
      </c>
      <c r="B79" s="77">
        <v>177.11</v>
      </c>
      <c r="C79" s="36">
        <f t="shared" si="4"/>
        <v>0.17711000000000002</v>
      </c>
      <c r="D79" s="12">
        <f t="shared" si="5"/>
        <v>1.2503966E-2</v>
      </c>
      <c r="E79" s="12">
        <f t="shared" si="6"/>
        <v>5.5821276785714287E-4</v>
      </c>
      <c r="F79" s="12">
        <f>E79/Calculation!K$19*1000</f>
        <v>6.4235196353965582E-4</v>
      </c>
      <c r="G79" s="12">
        <f t="shared" si="7"/>
        <v>47.025771964223168</v>
      </c>
    </row>
    <row r="80" spans="1:7">
      <c r="A80" s="35">
        <v>37.5</v>
      </c>
      <c r="B80" s="77">
        <v>173.6</v>
      </c>
      <c r="C80" s="36">
        <f t="shared" si="4"/>
        <v>0.1736</v>
      </c>
      <c r="D80" s="12">
        <f t="shared" si="5"/>
        <v>1.2256159999999999E-2</v>
      </c>
      <c r="E80" s="12">
        <f t="shared" si="6"/>
        <v>5.4714999999999994E-4</v>
      </c>
      <c r="F80" s="12">
        <f>E80/Calculation!K$19*1000</f>
        <v>6.2962170894068222E-4</v>
      </c>
      <c r="G80" s="12">
        <f t="shared" si="7"/>
        <v>47.044851569310374</v>
      </c>
    </row>
    <row r="81" spans="1:7">
      <c r="A81" s="35">
        <v>38</v>
      </c>
      <c r="B81" s="77">
        <v>171.21</v>
      </c>
      <c r="C81" s="36">
        <f t="shared" si="4"/>
        <v>0.17121</v>
      </c>
      <c r="D81" s="12">
        <f t="shared" si="5"/>
        <v>1.2087426E-2</v>
      </c>
      <c r="E81" s="12">
        <f t="shared" si="6"/>
        <v>5.3961723214285718E-4</v>
      </c>
      <c r="F81" s="12">
        <f>E81/Calculation!K$19*1000</f>
        <v>6.2095352988326166E-4</v>
      </c>
      <c r="G81" s="12">
        <f t="shared" si="7"/>
        <v>47.063610197892736</v>
      </c>
    </row>
    <row r="82" spans="1:7">
      <c r="A82" s="35">
        <v>38.5</v>
      </c>
      <c r="B82" s="77">
        <v>177.11</v>
      </c>
      <c r="C82" s="36">
        <f t="shared" si="4"/>
        <v>0.17711000000000002</v>
      </c>
      <c r="D82" s="12">
        <f t="shared" si="5"/>
        <v>1.2503966E-2</v>
      </c>
      <c r="E82" s="12">
        <f t="shared" si="6"/>
        <v>5.5821276785714287E-4</v>
      </c>
      <c r="F82" s="12">
        <f>E82/Calculation!K$19*1000</f>
        <v>6.4235196353965582E-4</v>
      </c>
      <c r="G82" s="12">
        <f t="shared" si="7"/>
        <v>47.082559780294076</v>
      </c>
    </row>
    <row r="83" spans="1:7">
      <c r="A83" s="35">
        <v>39</v>
      </c>
      <c r="B83" s="77">
        <v>177.11</v>
      </c>
      <c r="C83" s="36">
        <f t="shared" si="4"/>
        <v>0.17711000000000002</v>
      </c>
      <c r="D83" s="12">
        <f t="shared" si="5"/>
        <v>1.2503966E-2</v>
      </c>
      <c r="E83" s="12">
        <f t="shared" si="6"/>
        <v>5.5821276785714287E-4</v>
      </c>
      <c r="F83" s="12">
        <f>E83/Calculation!K$19*1000</f>
        <v>6.4235196353965582E-4</v>
      </c>
      <c r="G83" s="12">
        <f t="shared" si="7"/>
        <v>47.101830339200269</v>
      </c>
    </row>
    <row r="84" spans="1:7">
      <c r="A84" s="35">
        <v>39.5</v>
      </c>
      <c r="B84" s="77">
        <v>172.49</v>
      </c>
      <c r="C84" s="36">
        <f t="shared" si="4"/>
        <v>0.17249</v>
      </c>
      <c r="D84" s="12">
        <f t="shared" si="5"/>
        <v>1.2177793999999999E-2</v>
      </c>
      <c r="E84" s="12">
        <f t="shared" si="6"/>
        <v>5.4365151785714283E-4</v>
      </c>
      <c r="F84" s="12">
        <f>E84/Calculation!K$19*1000</f>
        <v>6.2559590193075041E-4</v>
      </c>
      <c r="G84" s="12">
        <f t="shared" si="7"/>
        <v>47.120849557182325</v>
      </c>
    </row>
    <row r="85" spans="1:7">
      <c r="A85" s="35">
        <v>40</v>
      </c>
      <c r="B85" s="77">
        <v>161.16999999999999</v>
      </c>
      <c r="C85" s="36">
        <f t="shared" si="4"/>
        <v>0.16116999999999998</v>
      </c>
      <c r="D85" s="12">
        <f t="shared" si="5"/>
        <v>1.1378601999999998E-2</v>
      </c>
      <c r="E85" s="12">
        <f t="shared" si="6"/>
        <v>5.0797330357142852E-4</v>
      </c>
      <c r="F85" s="12">
        <f>E85/Calculation!K$19*1000</f>
        <v>5.8453992413577043E-4</v>
      </c>
      <c r="G85" s="12">
        <f t="shared" si="7"/>
        <v>47.139001594573323</v>
      </c>
    </row>
    <row r="86" spans="1:7">
      <c r="A86" s="35">
        <v>40.5</v>
      </c>
      <c r="B86" s="77">
        <v>163.88</v>
      </c>
      <c r="C86" s="36">
        <f t="shared" si="4"/>
        <v>0.16388</v>
      </c>
      <c r="D86" s="12">
        <f t="shared" si="5"/>
        <v>1.1569928E-2</v>
      </c>
      <c r="E86" s="12">
        <f t="shared" si="6"/>
        <v>5.1651464285714288E-4</v>
      </c>
      <c r="F86" s="12">
        <f>E86/Calculation!K$19*1000</f>
        <v>5.943686962050635E-4</v>
      </c>
      <c r="G86" s="12">
        <f t="shared" si="7"/>
        <v>47.156685223878434</v>
      </c>
    </row>
    <row r="87" spans="1:7">
      <c r="A87" s="35">
        <v>41</v>
      </c>
      <c r="B87" s="77">
        <v>157.5</v>
      </c>
      <c r="C87" s="36">
        <f t="shared" si="4"/>
        <v>0.1575</v>
      </c>
      <c r="D87" s="12">
        <f t="shared" si="5"/>
        <v>1.1119499999999999E-2</v>
      </c>
      <c r="E87" s="12">
        <f t="shared" si="6"/>
        <v>4.9640624999999999E-4</v>
      </c>
      <c r="F87" s="12">
        <f>E87/Calculation!K$19*1000</f>
        <v>5.71229373030861E-4</v>
      </c>
      <c r="G87" s="12">
        <f t="shared" si="7"/>
        <v>47.174169194916971</v>
      </c>
    </row>
    <row r="88" spans="1:7">
      <c r="A88" s="35">
        <v>41.5</v>
      </c>
      <c r="B88" s="77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47.182737635512431</v>
      </c>
    </row>
    <row r="89" spans="1:7">
      <c r="A89" s="35">
        <v>42</v>
      </c>
      <c r="B89" s="77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47.182737635512431</v>
      </c>
    </row>
    <row r="90" spans="1:7">
      <c r="A90" s="35">
        <v>42.5</v>
      </c>
      <c r="B90" s="77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47.182737635512431</v>
      </c>
    </row>
    <row r="91" spans="1:7">
      <c r="A91" s="35">
        <v>43</v>
      </c>
      <c r="B91" s="77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47.182737635512431</v>
      </c>
    </row>
    <row r="92" spans="1:7">
      <c r="A92" s="35">
        <v>43.5</v>
      </c>
      <c r="B92" s="77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47.182737635512431</v>
      </c>
    </row>
    <row r="93" spans="1:7">
      <c r="A93" s="35">
        <v>44</v>
      </c>
      <c r="B93" s="77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47.182737635512431</v>
      </c>
    </row>
    <row r="94" spans="1:7">
      <c r="A94" s="35">
        <v>44.5</v>
      </c>
      <c r="B94" s="77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47.182737635512431</v>
      </c>
    </row>
    <row r="95" spans="1:7">
      <c r="A95" s="35">
        <v>45</v>
      </c>
      <c r="B95" s="77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47.182737635512431</v>
      </c>
    </row>
    <row r="96" spans="1:7">
      <c r="A96" s="35">
        <v>45.5</v>
      </c>
      <c r="B96" s="77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47.182737635512431</v>
      </c>
    </row>
    <row r="97" spans="1:7">
      <c r="A97" s="35">
        <v>46</v>
      </c>
      <c r="B97" s="77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47.182737635512431</v>
      </c>
    </row>
    <row r="98" spans="1:7">
      <c r="A98" s="35">
        <v>46.5</v>
      </c>
      <c r="B98" s="77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47.182737635512431</v>
      </c>
    </row>
    <row r="99" spans="1:7">
      <c r="A99" s="35">
        <v>47</v>
      </c>
      <c r="B99" s="77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47.182737635512431</v>
      </c>
    </row>
    <row r="100" spans="1:7">
      <c r="A100" s="35">
        <v>47.5</v>
      </c>
      <c r="B100" s="77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47.182737635512431</v>
      </c>
    </row>
    <row r="101" spans="1:7">
      <c r="A101" s="35">
        <v>48</v>
      </c>
      <c r="B101" s="77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47.182737635512431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2" t="s">
        <v>41</v>
      </c>
      <c r="B1" s="132"/>
      <c r="D1" s="160" t="s">
        <v>4</v>
      </c>
      <c r="E1" s="160" t="s">
        <v>5</v>
      </c>
      <c r="F1" s="132" t="s">
        <v>142</v>
      </c>
      <c r="G1" s="132"/>
      <c r="H1" s="132"/>
      <c r="I1" s="132"/>
      <c r="J1" s="132" t="s">
        <v>42</v>
      </c>
      <c r="K1" s="132"/>
      <c r="L1" s="132"/>
      <c r="M1" s="132"/>
      <c r="N1" s="158" t="s">
        <v>43</v>
      </c>
      <c r="O1" s="130"/>
      <c r="P1" s="130"/>
      <c r="Q1" s="159"/>
      <c r="R1" s="132" t="s">
        <v>65</v>
      </c>
      <c r="S1" s="132"/>
      <c r="T1" s="132"/>
      <c r="U1" s="132"/>
    </row>
    <row r="2" spans="1:21">
      <c r="A2" s="132" t="s">
        <v>34</v>
      </c>
      <c r="B2" s="132"/>
      <c r="D2" s="160"/>
      <c r="E2" s="160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2" t="s">
        <v>35</v>
      </c>
      <c r="B3" s="14" t="s">
        <v>38</v>
      </c>
      <c r="D3" s="16">
        <v>0</v>
      </c>
      <c r="E3" s="64">
        <v>-0.16666666666666666</v>
      </c>
      <c r="F3" s="52">
        <v>50.288632326820604</v>
      </c>
      <c r="G3" s="52">
        <v>5.0872287910257705E-2</v>
      </c>
      <c r="H3" s="13">
        <f>F3*Calculation!I3/Calculation!F22</f>
        <v>50.288632326820604</v>
      </c>
      <c r="I3" s="13">
        <f>G3*Calculation!I3/Calculation!F22</f>
        <v>5.0872287910257705E-2</v>
      </c>
      <c r="J3" s="13">
        <v>0.41444641799881582</v>
      </c>
      <c r="K3" s="13">
        <v>1.2818611660515679E-2</v>
      </c>
      <c r="L3" s="13">
        <f>J3*Calculation!I3/Calculation!F22</f>
        <v>0.41444641799881582</v>
      </c>
      <c r="M3" s="13">
        <f>K3*Calculation!I3/Calculation!F22</f>
        <v>1.2818611660515679E-2</v>
      </c>
      <c r="N3" s="13">
        <v>1.0324729392173189</v>
      </c>
      <c r="O3" s="13">
        <v>0.1200849717057116</v>
      </c>
      <c r="P3" s="13">
        <f>N3*Calculation!I3/Calculation!F22</f>
        <v>1.0324729392173189</v>
      </c>
      <c r="Q3" s="13">
        <f>O3*Calculation!I3/Calculation!F22</f>
        <v>0.12008497170571159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2"/>
      <c r="B4" s="14" t="s">
        <v>39</v>
      </c>
      <c r="D4" s="16">
        <v>0</v>
      </c>
      <c r="E4" s="66">
        <v>0.16666666666666666</v>
      </c>
      <c r="F4" s="52">
        <v>50.103611604499719</v>
      </c>
      <c r="G4" s="52">
        <v>0.45722210689989662</v>
      </c>
      <c r="H4" s="13">
        <f>F4*Calculation!I4/Calculation!K3</f>
        <v>50.135362942652129</v>
      </c>
      <c r="I4" s="13">
        <f>G4*Calculation!I4/Calculation!K3</f>
        <v>0.45751185474964312</v>
      </c>
      <c r="J4" s="13">
        <v>0.48845470692717591</v>
      </c>
      <c r="K4" s="13">
        <v>2.2202486678507972E-2</v>
      </c>
      <c r="L4" s="13">
        <f>J4*Calculation!I4/Calculation!K3</f>
        <v>0.48876424729911966</v>
      </c>
      <c r="M4" s="13">
        <f>K4*Calculation!I4/Calculation!K3</f>
        <v>2.2216556695414506E-2</v>
      </c>
      <c r="N4" s="13">
        <v>2.3313905079100752</v>
      </c>
      <c r="O4" s="13">
        <v>6.6611157368859114E-2</v>
      </c>
      <c r="P4" s="13">
        <f>N4*Calculation!I4/Calculation!K3</f>
        <v>2.3328679416920211</v>
      </c>
      <c r="Q4" s="13">
        <f>O4*Calculation!I4/Calculation!K3</f>
        <v>6.6653369762628992E-2</v>
      </c>
      <c r="R4" s="13">
        <v>1.2455644869288147</v>
      </c>
      <c r="S4" s="13">
        <v>2.5085825296094995E-2</v>
      </c>
      <c r="T4" s="13">
        <f>R4*Calculation!I4/Calculation!K3</f>
        <v>1.2463538180358671</v>
      </c>
      <c r="U4" s="13">
        <f>S4*Calculation!I4/Calculation!K3</f>
        <v>2.5101722523785803E-2</v>
      </c>
    </row>
    <row r="5" spans="1:21">
      <c r="A5" s="15" t="s">
        <v>37</v>
      </c>
      <c r="B5" s="15">
        <v>180.16</v>
      </c>
      <c r="D5" s="16">
        <v>1</v>
      </c>
      <c r="E5" s="66">
        <v>2</v>
      </c>
      <c r="F5" s="52">
        <v>50.214624037892243</v>
      </c>
      <c r="G5" s="52">
        <v>0.2861308233011155</v>
      </c>
      <c r="H5" s="13">
        <f>F5*Calculation!I5/Calculation!K4</f>
        <v>50.246445726129181</v>
      </c>
      <c r="I5" s="13">
        <f>G5*Calculation!I5/Calculation!K4</f>
        <v>0.28631214828419604</v>
      </c>
      <c r="J5" s="13">
        <v>0.53285968028419195</v>
      </c>
      <c r="K5" s="13">
        <v>9.4342525776429169E-17</v>
      </c>
      <c r="L5" s="13">
        <f>J5*Calculation!I5/Calculation!K4</f>
        <v>0.53319736068994872</v>
      </c>
      <c r="M5" s="13">
        <f>K5*Calculation!I5/Calculation!K4</f>
        <v>9.4402311914437048E-17</v>
      </c>
      <c r="N5" s="13">
        <v>2.4202053844018869</v>
      </c>
      <c r="O5" s="13">
        <v>5.0875111795235566E-2</v>
      </c>
      <c r="P5" s="13">
        <f>N5*Calculation!I5/Calculation!K4</f>
        <v>2.4217391013755254</v>
      </c>
      <c r="Q5" s="13">
        <f>O5*Calculation!I5/Calculation!K4</f>
        <v>5.0907352043521516E-2</v>
      </c>
      <c r="R5" s="13">
        <v>1.1441813310160041</v>
      </c>
      <c r="S5" s="13">
        <v>2.5085825296094988E-2</v>
      </c>
      <c r="T5" s="13">
        <f>R5*Calculation!I5/Calculation!K4</f>
        <v>1.1449064142422498</v>
      </c>
      <c r="U5" s="13">
        <f>S5*Calculation!I5/Calculation!K4</f>
        <v>2.5101722523785796E-2</v>
      </c>
    </row>
    <row r="6" spans="1:21">
      <c r="A6" s="15" t="s">
        <v>40</v>
      </c>
      <c r="B6" s="15">
        <v>180.16</v>
      </c>
      <c r="D6" s="16">
        <v>2</v>
      </c>
      <c r="E6" s="66">
        <v>3.3333333333333335</v>
      </c>
      <c r="F6" s="52">
        <v>50.007400828892827</v>
      </c>
      <c r="G6" s="52">
        <v>0.22432570405902474</v>
      </c>
      <c r="H6" s="13">
        <f>F6*Calculation!I6/Calculation!K5</f>
        <v>50.039091196971974</v>
      </c>
      <c r="I6" s="13">
        <f>G6*Calculation!I6/Calculation!K5</f>
        <v>0.22446786229987331</v>
      </c>
      <c r="J6" s="13">
        <v>0.55506216696269972</v>
      </c>
      <c r="K6" s="13">
        <v>2.2202486678507972E-2</v>
      </c>
      <c r="L6" s="13">
        <f>J6*Calculation!I6/Calculation!K5</f>
        <v>0.55541391738536305</v>
      </c>
      <c r="M6" s="13">
        <f>K6*Calculation!I6/Calculation!K5</f>
        <v>2.2216556695414506E-2</v>
      </c>
      <c r="N6" s="13">
        <v>2.6422425756314181</v>
      </c>
      <c r="O6" s="13">
        <v>0.13460289373280213</v>
      </c>
      <c r="P6" s="13">
        <f>N6*Calculation!I6/Calculation!K5</f>
        <v>2.6439170005842896</v>
      </c>
      <c r="Q6" s="13">
        <f>O6*Calculation!I6/Calculation!K5</f>
        <v>0.13468819341197374</v>
      </c>
      <c r="R6" s="13">
        <v>1.0427981751031936</v>
      </c>
      <c r="S6" s="13">
        <v>4.34499239626331E-2</v>
      </c>
      <c r="T6" s="13">
        <f>R6*Calculation!I6/Calculation!K5</f>
        <v>1.0434590104486328</v>
      </c>
      <c r="U6" s="13">
        <f>S6*Calculation!I6/Calculation!K5</f>
        <v>4.3477458768693071E-2</v>
      </c>
    </row>
    <row r="7" spans="1:21">
      <c r="A7" s="32" t="s">
        <v>116</v>
      </c>
      <c r="B7" s="32">
        <v>46.03</v>
      </c>
      <c r="D7" s="16">
        <v>3</v>
      </c>
      <c r="E7" s="66">
        <v>4.666666666666667</v>
      </c>
      <c r="F7" s="52">
        <v>50.037004144464177</v>
      </c>
      <c r="G7" s="52">
        <v>0.43370688536479868</v>
      </c>
      <c r="H7" s="13">
        <f>F7*Calculation!I7/Calculation!K6</f>
        <v>50.10360436195441</v>
      </c>
      <c r="I7" s="13">
        <f>G7*Calculation!I7/Calculation!K6</f>
        <v>0.43428415759334604</v>
      </c>
      <c r="J7" s="13">
        <v>0.56986382474837183</v>
      </c>
      <c r="K7" s="13">
        <v>1.2818611660515638E-2</v>
      </c>
      <c r="L7" s="13">
        <f>J7*Calculation!I7/Calculation!K6</f>
        <v>0.57062232448905337</v>
      </c>
      <c r="M7" s="13">
        <f>K7*Calculation!I7/Calculation!K6</f>
        <v>1.2835673479845355E-2</v>
      </c>
      <c r="N7" s="13">
        <v>2.9864002220371915</v>
      </c>
      <c r="O7" s="13">
        <v>0.10706245640847033</v>
      </c>
      <c r="P7" s="13">
        <f>N7*Calculation!I7/Calculation!K6</f>
        <v>2.9903751783260675</v>
      </c>
      <c r="Q7" s="13">
        <f>O7*Calculation!I7/Calculation!K6</f>
        <v>0.10720495860267158</v>
      </c>
      <c r="R7" s="13">
        <v>0.94141501919038306</v>
      </c>
      <c r="S7" s="13">
        <v>2.5085825296094908E-2</v>
      </c>
      <c r="T7" s="13">
        <f>R7*Calculation!I7/Calculation!K6</f>
        <v>0.94266806073630838</v>
      </c>
      <c r="U7" s="13">
        <f>S7*Calculation!I7/Calculation!K6</f>
        <v>2.5119215013349332E-2</v>
      </c>
    </row>
    <row r="8" spans="1:21">
      <c r="A8" s="15" t="s">
        <v>43</v>
      </c>
      <c r="B8" s="15">
        <v>60.05</v>
      </c>
      <c r="D8" s="16">
        <v>4</v>
      </c>
      <c r="E8" s="66">
        <v>6</v>
      </c>
      <c r="F8" s="52">
        <v>48.834369449378329</v>
      </c>
      <c r="G8" s="52">
        <v>0.51641666738956327</v>
      </c>
      <c r="H8" s="13">
        <f>F8*Calculation!I8/Calculation!K7</f>
        <v>48.969727741122092</v>
      </c>
      <c r="I8" s="13">
        <f>G8*Calculation!I8/Calculation!K7</f>
        <v>0.51784806250562632</v>
      </c>
      <c r="J8" s="13">
        <v>0.62166962699822381</v>
      </c>
      <c r="K8" s="13">
        <v>2.2202486678508014E-2</v>
      </c>
      <c r="L8" s="13">
        <f>J8*Calculation!I8/Calculation!K7</f>
        <v>0.62339276051439807</v>
      </c>
      <c r="M8" s="13">
        <f>K8*Calculation!I8/Calculation!K7</f>
        <v>2.2264027161228526E-2</v>
      </c>
      <c r="N8" s="13">
        <v>3.9300582847626981</v>
      </c>
      <c r="O8" s="13">
        <v>8.811827847009443E-2</v>
      </c>
      <c r="P8" s="13">
        <f>N8*Calculation!I8/Calculation!K7</f>
        <v>3.9409515548484384</v>
      </c>
      <c r="Q8" s="13">
        <f>O8*Calculation!I8/Calculation!K7</f>
        <v>8.8362523246459934E-2</v>
      </c>
      <c r="R8" s="13">
        <v>0.95589832717792755</v>
      </c>
      <c r="S8" s="13">
        <v>1.8462686773714401E-16</v>
      </c>
      <c r="T8" s="13">
        <f>R8*Calculation!I8/Calculation!K7</f>
        <v>0.95854787023758881</v>
      </c>
      <c r="U8" s="13">
        <f>S8*Calculation!I8/Calculation!K7</f>
        <v>1.8513861341357399E-16</v>
      </c>
    </row>
    <row r="9" spans="1:21">
      <c r="A9" s="32" t="s">
        <v>67</v>
      </c>
      <c r="B9" s="32">
        <v>74.08</v>
      </c>
      <c r="D9" s="16">
        <v>5</v>
      </c>
      <c r="E9" s="66">
        <v>7.333333333333333</v>
      </c>
      <c r="F9" s="52">
        <v>46.943457667258727</v>
      </c>
      <c r="G9" s="52">
        <v>0.15751773722463333</v>
      </c>
      <c r="H9" s="13">
        <f>F9*Calculation!I9/Calculation!K8</f>
        <v>47.283724648551022</v>
      </c>
      <c r="I9" s="13">
        <f>G9*Calculation!I9/Calculation!K8</f>
        <v>0.15865949557838155</v>
      </c>
      <c r="J9" s="13">
        <v>0.62907045589105981</v>
      </c>
      <c r="K9" s="13">
        <v>1.2818611660515681E-2</v>
      </c>
      <c r="L9" s="13">
        <f>J9*Calculation!I9/Calculation!K8</f>
        <v>0.63363023728942724</v>
      </c>
      <c r="M9" s="13">
        <f>K9*Calculation!I9/Calculation!K8</f>
        <v>1.291152663761427E-2</v>
      </c>
      <c r="N9" s="13">
        <v>5.3733000277546488</v>
      </c>
      <c r="O9" s="13">
        <v>0.16429251831194844</v>
      </c>
      <c r="P9" s="13">
        <f>N9*Calculation!I9/Calculation!K8</f>
        <v>5.4122480872048389</v>
      </c>
      <c r="Q9" s="13">
        <f>O9*Calculation!I9/Calculation!K8</f>
        <v>0.16548338328084708</v>
      </c>
      <c r="R9" s="13">
        <v>1.6655804185676006</v>
      </c>
      <c r="S9" s="13">
        <v>6.6370855166280607E-2</v>
      </c>
      <c r="T9" s="13">
        <f>R9*Calculation!I9/Calculation!K8</f>
        <v>1.6776532834413962</v>
      </c>
      <c r="U9" s="13">
        <f>S9*Calculation!I9/Calculation!K8</f>
        <v>6.6851940532707918E-2</v>
      </c>
    </row>
    <row r="10" spans="1:21">
      <c r="A10" s="32" t="s">
        <v>66</v>
      </c>
      <c r="B10" s="32">
        <v>88.11</v>
      </c>
      <c r="D10" s="16">
        <v>6</v>
      </c>
      <c r="E10" s="66">
        <v>8.6666666666666661</v>
      </c>
      <c r="F10" s="52">
        <v>42.203226761397275</v>
      </c>
      <c r="G10" s="52">
        <v>0.31189028279611453</v>
      </c>
      <c r="H10" s="13">
        <f>F10*Calculation!I10/Calculation!K9</f>
        <v>42.83462552415218</v>
      </c>
      <c r="I10" s="13">
        <f>G10*Calculation!I10/Calculation!K9</f>
        <v>0.31655644587852777</v>
      </c>
      <c r="J10" s="13">
        <v>0.61426879810538781</v>
      </c>
      <c r="K10" s="13">
        <v>1.2818611660515681E-2</v>
      </c>
      <c r="L10" s="13">
        <f>J10*Calculation!I10/Calculation!K9</f>
        <v>0.62345881955363991</v>
      </c>
      <c r="M10" s="13">
        <f>K10*Calculation!I10/Calculation!K9</f>
        <v>1.3010389781853276E-2</v>
      </c>
      <c r="N10" s="13">
        <v>8.5484318623369404</v>
      </c>
      <c r="O10" s="13">
        <v>0.13460289373280213</v>
      </c>
      <c r="P10" s="13">
        <f>N10*Calculation!I10/Calculation!K9</f>
        <v>8.6763241993823907</v>
      </c>
      <c r="Q10" s="13">
        <f>O10*Calculation!I10/Calculation!K9</f>
        <v>0.13661667578426978</v>
      </c>
      <c r="R10" s="13">
        <v>3.3890940690853788</v>
      </c>
      <c r="S10" s="13">
        <v>4.34499239626331E-2</v>
      </c>
      <c r="T10" s="13">
        <f>R10*Calculation!I10/Calculation!K9</f>
        <v>3.4397980072979379</v>
      </c>
      <c r="U10" s="13">
        <f>S10*Calculation!I10/Calculation!K9</f>
        <v>4.4099974452537702E-2</v>
      </c>
    </row>
    <row r="11" spans="1:21">
      <c r="A11" s="15" t="s">
        <v>42</v>
      </c>
      <c r="B11" s="15">
        <v>90.08</v>
      </c>
      <c r="D11" s="16">
        <v>7</v>
      </c>
      <c r="E11" s="66">
        <v>10</v>
      </c>
      <c r="F11" s="52">
        <v>34.214031971580823</v>
      </c>
      <c r="G11" s="52">
        <v>0.20013051040541527</v>
      </c>
      <c r="H11" s="13">
        <f>F11*Calculation!I11/Calculation!K10</f>
        <v>35.025971830801694</v>
      </c>
      <c r="I11" s="13">
        <f>G11*Calculation!I11/Calculation!K10</f>
        <v>0.20487984654268632</v>
      </c>
      <c r="J11" s="13">
        <v>0.59946714031971582</v>
      </c>
      <c r="K11" s="13">
        <v>2.2202486678508014E-2</v>
      </c>
      <c r="L11" s="13">
        <f>J11*Calculation!I11/Calculation!K10</f>
        <v>0.61369321183104852</v>
      </c>
      <c r="M11" s="13">
        <f>K11*Calculation!I11/Calculation!K10</f>
        <v>2.2729378215964779E-2</v>
      </c>
      <c r="N11" s="13">
        <v>14.321398834304746</v>
      </c>
      <c r="O11" s="13">
        <v>5.7686954456915206E-2</v>
      </c>
      <c r="P11" s="13">
        <f>N11*Calculation!I11/Calculation!K10</f>
        <v>14.661262740523986</v>
      </c>
      <c r="Q11" s="13">
        <f>O11*Calculation!I11/Calculation!K10</f>
        <v>5.9055934813265321E-2</v>
      </c>
      <c r="R11" s="13">
        <v>4.1856760084003186</v>
      </c>
      <c r="S11" s="13">
        <v>5.017165059218999E-2</v>
      </c>
      <c r="T11" s="13">
        <f>R11*Calculation!I11/Calculation!K10</f>
        <v>4.285007101322301</v>
      </c>
      <c r="U11" s="13">
        <f>S11*Calculation!I11/Calculation!K10</f>
        <v>5.1362283808191501E-2</v>
      </c>
    </row>
    <row r="12" spans="1:21">
      <c r="A12" s="15" t="s">
        <v>44</v>
      </c>
      <c r="B12" s="15">
        <v>46.07</v>
      </c>
      <c r="D12" s="16">
        <v>8</v>
      </c>
      <c r="E12" s="66">
        <v>11.333333333333334</v>
      </c>
      <c r="F12" s="52">
        <v>23.771462403789226</v>
      </c>
      <c r="G12" s="52">
        <v>0.56456489645638053</v>
      </c>
      <c r="H12" s="13">
        <f>F12*Calculation!I12/Calculation!K11</f>
        <v>24.630445294988569</v>
      </c>
      <c r="I12" s="13">
        <f>G12*Calculation!I12/Calculation!K11</f>
        <v>0.58496547504890573</v>
      </c>
      <c r="J12" s="13">
        <v>1.0065127294256957</v>
      </c>
      <c r="K12" s="13">
        <v>4.6218161622249884E-2</v>
      </c>
      <c r="L12" s="13">
        <f>J12*Calculation!I12/Calculation!K11</f>
        <v>1.042883113361907</v>
      </c>
      <c r="M12" s="13">
        <f>K12*Calculation!I12/Calculation!K11</f>
        <v>4.7888257025798568E-2</v>
      </c>
      <c r="N12" s="13">
        <v>23.802386899805718</v>
      </c>
      <c r="O12" s="13">
        <v>0.58292692058063122</v>
      </c>
      <c r="P12" s="13">
        <f>N12*Calculation!I12/Calculation!K11</f>
        <v>24.662487249096024</v>
      </c>
      <c r="Q12" s="13">
        <f>O12*Calculation!I12/Calculation!K11</f>
        <v>0.60399101176243686</v>
      </c>
      <c r="R12" s="13">
        <v>5.2864074154536889</v>
      </c>
      <c r="S12" s="13">
        <v>0.10934657738099436</v>
      </c>
      <c r="T12" s="13">
        <f>R12*Calculation!I12/Calculation!K11</f>
        <v>5.4774319914200467</v>
      </c>
      <c r="U12" s="13">
        <f>S12*Calculation!I12/Calculation!K11</f>
        <v>0.11329782100185411</v>
      </c>
    </row>
    <row r="13" spans="1:21">
      <c r="D13" s="16">
        <v>9</v>
      </c>
      <c r="E13" s="66">
        <v>12.666666666666666</v>
      </c>
      <c r="F13" s="52">
        <v>14.920071047957371</v>
      </c>
      <c r="G13" s="52">
        <v>7.2795720740474648E-2</v>
      </c>
      <c r="H13" s="13">
        <f>F13*Calculation!I13/Calculation!K12</f>
        <v>15.651327913695555</v>
      </c>
      <c r="I13" s="13">
        <f>G13*Calculation!I13/Calculation!K12</f>
        <v>7.6363557007254321E-2</v>
      </c>
      <c r="J13" s="13">
        <v>1.5319715808170515</v>
      </c>
      <c r="K13" s="13">
        <v>0</v>
      </c>
      <c r="L13" s="13">
        <f>J13*Calculation!I13/Calculation!K12</f>
        <v>1.607055991138383</v>
      </c>
      <c r="M13" s="13">
        <f>K13*Calculation!I13/Calculation!K12</f>
        <v>0</v>
      </c>
      <c r="N13" s="13">
        <v>34.615598112683877</v>
      </c>
      <c r="O13" s="13">
        <v>0.25218577167028716</v>
      </c>
      <c r="P13" s="13">
        <f>N13*Calculation!I13/Calculation!K12</f>
        <v>36.312164683993821</v>
      </c>
      <c r="Q13" s="13">
        <f>O13*Calculation!I13/Calculation!K12</f>
        <v>0.26454580510327991</v>
      </c>
      <c r="R13" s="13">
        <v>6.3581722065319708</v>
      </c>
      <c r="S13" s="13">
        <v>2.5085825296094995E-2</v>
      </c>
      <c r="T13" s="13">
        <f>R13*Calculation!I13/Calculation!K12</f>
        <v>6.669796532222346</v>
      </c>
      <c r="U13" s="13">
        <f>S13*Calculation!I13/Calculation!K12</f>
        <v>2.6315322255024656E-2</v>
      </c>
    </row>
    <row r="14" spans="1:21">
      <c r="D14" s="16">
        <v>10</v>
      </c>
      <c r="E14" s="66">
        <v>14</v>
      </c>
      <c r="F14" s="52">
        <v>6.4794256956779153</v>
      </c>
      <c r="G14" s="52">
        <v>4.4865140811804878E-2</v>
      </c>
      <c r="H14" s="13">
        <f>F14*Calculation!I14/Calculation!K13</f>
        <v>6.8657651230926895</v>
      </c>
      <c r="I14" s="13">
        <f>G14*Calculation!I14/Calculation!K13</f>
        <v>4.7540250246839832E-2</v>
      </c>
      <c r="J14" s="13">
        <v>3.6042036708111311</v>
      </c>
      <c r="K14" s="13">
        <v>5.5875032824679961E-2</v>
      </c>
      <c r="L14" s="13">
        <f>J14*Calculation!I14/Calculation!K13</f>
        <v>3.8191063563062713</v>
      </c>
      <c r="M14" s="13">
        <f>K14*Calculation!I14/Calculation!K13</f>
        <v>5.9206613307602698E-2</v>
      </c>
      <c r="N14" s="13">
        <v>44.862614487926734</v>
      </c>
      <c r="O14" s="13">
        <v>0.23313905079100561</v>
      </c>
      <c r="P14" s="13">
        <f>N14*Calculation!I14/Calculation!K13</f>
        <v>47.537573289469407</v>
      </c>
      <c r="Q14" s="13">
        <f>O14*Calculation!I14/Calculation!K13</f>
        <v>0.24704009875744845</v>
      </c>
      <c r="R14" s="13">
        <v>5.6484901151422982</v>
      </c>
      <c r="S14" s="13">
        <v>4.34499239626331E-2</v>
      </c>
      <c r="T14" s="13">
        <f>R14*Calculation!I14/Calculation!K13</f>
        <v>5.9852845378791377</v>
      </c>
      <c r="U14" s="13">
        <f>S14*Calculation!I14/Calculation!K13</f>
        <v>4.6040650291378028E-2</v>
      </c>
    </row>
    <row r="15" spans="1:21">
      <c r="D15" s="16">
        <v>11</v>
      </c>
      <c r="E15" s="66">
        <v>15.333333333333334</v>
      </c>
      <c r="F15" s="52">
        <v>0</v>
      </c>
      <c r="G15" s="52">
        <v>0</v>
      </c>
      <c r="H15" s="13">
        <f>F15*Calculation!I15/Calculation!K14</f>
        <v>0</v>
      </c>
      <c r="I15" s="13">
        <f>G15*Calculation!I15/Calculation!K14</f>
        <v>0</v>
      </c>
      <c r="J15" s="13">
        <v>6.0538780343398466</v>
      </c>
      <c r="K15" s="13">
        <v>7.7972570699028632E-2</v>
      </c>
      <c r="L15" s="13">
        <f>J15*Calculation!I15/Calculation!K14</f>
        <v>6.4538230278427235</v>
      </c>
      <c r="M15" s="13">
        <f>K15*Calculation!I15/Calculation!K14</f>
        <v>8.3123771153470249E-2</v>
      </c>
      <c r="N15" s="13">
        <v>49.847349431029706</v>
      </c>
      <c r="O15" s="13">
        <v>0.61622821366096658</v>
      </c>
      <c r="P15" s="13">
        <f>N15*Calculation!I15/Calculation!K14</f>
        <v>53.140477857344749</v>
      </c>
      <c r="Q15" s="13">
        <f>O15*Calculation!I15/Calculation!K14</f>
        <v>0.6569388767286608</v>
      </c>
      <c r="R15" s="13">
        <v>3.519443840973278</v>
      </c>
      <c r="S15" s="13">
        <v>0.18939382765764368</v>
      </c>
      <c r="T15" s="13">
        <f>R15*Calculation!I15/Calculation!K14</f>
        <v>3.7519533061669041</v>
      </c>
      <c r="U15" s="13">
        <f>S15*Calculation!I15/Calculation!K14</f>
        <v>0.20190599138845483</v>
      </c>
    </row>
    <row r="16" spans="1:21">
      <c r="D16" s="16">
        <v>12</v>
      </c>
      <c r="E16" s="66">
        <v>16.666666666666668</v>
      </c>
      <c r="F16" s="52">
        <v>0</v>
      </c>
      <c r="G16" s="52">
        <v>0</v>
      </c>
      <c r="H16" s="13">
        <f>F16*Calculation!I16/Calculation!K15</f>
        <v>0</v>
      </c>
      <c r="I16" s="13">
        <f>G16*Calculation!I16/Calculation!K15</f>
        <v>0</v>
      </c>
      <c r="J16" s="13">
        <v>5.9576672587329789</v>
      </c>
      <c r="K16" s="13">
        <v>0.14100472826567248</v>
      </c>
      <c r="L16" s="13">
        <f>J16*Calculation!I16/Calculation!K15</f>
        <v>6.3512561582070806</v>
      </c>
      <c r="M16" s="13">
        <f>K16*Calculation!I16/Calculation!K15</f>
        <v>0.15032010178496055</v>
      </c>
      <c r="N16" s="13">
        <v>53.433250069386638</v>
      </c>
      <c r="O16" s="13">
        <v>1.0952084334289012</v>
      </c>
      <c r="P16" s="13">
        <f>N16*Calculation!I16/Calculation!K15</f>
        <v>56.963278380267326</v>
      </c>
      <c r="Q16" s="13">
        <f>O16*Calculation!I16/Calculation!K15</f>
        <v>1.1675625719343992</v>
      </c>
      <c r="R16" s="13">
        <v>1.4048808747918022</v>
      </c>
      <c r="S16" s="13">
        <v>2.5085825296094995E-2</v>
      </c>
      <c r="T16" s="13">
        <f>R16*Calculation!I16/Calculation!K15</f>
        <v>1.4976932950542783</v>
      </c>
      <c r="U16" s="13">
        <f>S16*Calculation!I16/Calculation!K15</f>
        <v>2.67431018679305E-2</v>
      </c>
    </row>
    <row r="17" spans="4:21">
      <c r="D17" s="16">
        <v>13</v>
      </c>
      <c r="E17" s="66">
        <v>18</v>
      </c>
      <c r="F17" s="52">
        <v>0</v>
      </c>
      <c r="G17" s="52">
        <v>0</v>
      </c>
      <c r="H17" s="13">
        <f>F17*Calculation!I17/Calculation!K16</f>
        <v>0</v>
      </c>
      <c r="I17" s="13">
        <f>G17*Calculation!I17/Calculation!K16</f>
        <v>0</v>
      </c>
      <c r="J17" s="13">
        <v>5.9872705743043229</v>
      </c>
      <c r="K17" s="13">
        <v>2.5637223321031362E-2</v>
      </c>
      <c r="L17" s="13">
        <f>J17*Calculation!I17/Calculation!K16</f>
        <v>6.3887860230769986</v>
      </c>
      <c r="M17" s="13">
        <f>K17*Calculation!I17/Calculation!K16</f>
        <v>2.7356494414475352E-2</v>
      </c>
      <c r="N17" s="13">
        <v>54.532334165972799</v>
      </c>
      <c r="O17" s="13">
        <v>0.28326063440850408</v>
      </c>
      <c r="P17" s="13">
        <f>N17*Calculation!I17/Calculation!K16</f>
        <v>58.189355233175228</v>
      </c>
      <c r="Q17" s="13">
        <f>O17*Calculation!I17/Calculation!K16</f>
        <v>0.30225652232315348</v>
      </c>
      <c r="R17" s="13">
        <v>0.20276631182562099</v>
      </c>
      <c r="S17" s="13">
        <v>2.5085825296094974E-2</v>
      </c>
      <c r="T17" s="13">
        <f>R17*Calculation!I17/Calculation!K16</f>
        <v>0.21636412833955132</v>
      </c>
      <c r="U17" s="13">
        <f>S17*Calculation!I17/Calculation!K16</f>
        <v>2.6768118801389719E-2</v>
      </c>
    </row>
    <row r="18" spans="4:21">
      <c r="D18" s="16">
        <v>14</v>
      </c>
      <c r="E18" s="66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6.157489638839551</v>
      </c>
      <c r="K18" s="13">
        <v>6.7829717213674423E-2</v>
      </c>
      <c r="L18" s="13">
        <f>J18*Calculation!I18/Calculation!K17</f>
        <v>6.5896132847434048</v>
      </c>
      <c r="M18" s="13">
        <f>K18*Calculation!I18/Calculation!K17</f>
        <v>7.2589907879382853E-2</v>
      </c>
      <c r="N18" s="13">
        <v>55.342769913960595</v>
      </c>
      <c r="O18" s="13">
        <v>0.42824982563388131</v>
      </c>
      <c r="P18" s="13">
        <f>N18*Calculation!I18/Calculation!K17</f>
        <v>59.226644822785588</v>
      </c>
      <c r="Q18" s="13">
        <f>O18*Calculation!I18/Calculation!K17</f>
        <v>0.4583037740552186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6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6.0908821788040273</v>
      </c>
      <c r="K19" s="13">
        <v>0.13565943442734885</v>
      </c>
      <c r="L19" s="13">
        <f>J19*Calculation!I19/Calculation!K18</f>
        <v>6.5183314102690177</v>
      </c>
      <c r="M19" s="13">
        <f>K19*Calculation!I19/Calculation!K18</f>
        <v>0.14517981575876571</v>
      </c>
      <c r="N19" s="13">
        <v>53.411046350263668</v>
      </c>
      <c r="O19" s="13">
        <v>1.2247821841174711</v>
      </c>
      <c r="P19" s="13">
        <f>N19*Calculation!I19/Calculation!K18</f>
        <v>57.159355715631172</v>
      </c>
      <c r="Q19" s="13">
        <f>O19*Calculation!I19/Calculation!K18</f>
        <v>1.3107356121996774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6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6.8605683836589701</v>
      </c>
      <c r="K20" s="13">
        <v>0.15382333992618819</v>
      </c>
      <c r="L20" s="13">
        <f>J20*Calculation!I20/Calculation!K19</f>
        <v>7.342033070861941</v>
      </c>
      <c r="M20" s="13">
        <f>K20*Calculation!I20/Calculation!K19</f>
        <v>0.16461843766451573</v>
      </c>
      <c r="N20" s="13">
        <v>56.008881487649184</v>
      </c>
      <c r="O20" s="13">
        <v>1.1691792035231388</v>
      </c>
      <c r="P20" s="13">
        <f>N20*Calculation!I20/Calculation!K19</f>
        <v>59.939503135597434</v>
      </c>
      <c r="Q20" s="13">
        <f>O20*Calculation!I20/Calculation!K19</f>
        <v>1.2512304954903304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60" t="s">
        <v>4</v>
      </c>
      <c r="E22" s="160" t="s">
        <v>60</v>
      </c>
      <c r="F22" s="132" t="s">
        <v>44</v>
      </c>
      <c r="G22" s="132"/>
      <c r="H22" s="132"/>
      <c r="I22" s="132"/>
      <c r="J22" s="132" t="s">
        <v>66</v>
      </c>
      <c r="K22" s="132"/>
      <c r="L22" s="132"/>
      <c r="M22" s="132"/>
      <c r="N22" s="158" t="s">
        <v>67</v>
      </c>
      <c r="O22" s="130"/>
      <c r="P22" s="130"/>
      <c r="Q22" s="159"/>
    </row>
    <row r="23" spans="4:21">
      <c r="D23" s="160"/>
      <c r="E23" s="160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4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6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</v>
      </c>
      <c r="K25" s="13">
        <v>0</v>
      </c>
      <c r="L25" s="13">
        <f>J25*Calculation!I4/Calculation!K3</f>
        <v>0</v>
      </c>
      <c r="M25" s="13">
        <f>K25*Calculation!I4/Calculation!K3</f>
        <v>0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6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0.20429009193054137</v>
      </c>
      <c r="K26" s="13">
        <v>4.5397798206786959E-2</v>
      </c>
      <c r="L26" s="13">
        <f>J26*Calculation!I5/Calculation!K4</f>
        <v>0.20441955333227174</v>
      </c>
      <c r="M26" s="13">
        <f>K26*Calculation!I5/Calculation!K4</f>
        <v>4.5426567407171485E-2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6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0.15132599402262326</v>
      </c>
      <c r="K27" s="13">
        <v>2.6210431015304771E-2</v>
      </c>
      <c r="L27" s="13">
        <f>J27*Calculation!I6/Calculation!K5</f>
        <v>0.15142189135723835</v>
      </c>
      <c r="M27" s="13">
        <f>K27*Calculation!I6/Calculation!K5</f>
        <v>2.6227040920891152E-2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6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0.37074868535542699</v>
      </c>
      <c r="K28" s="13">
        <v>2.6210431015304785E-2</v>
      </c>
      <c r="L28" s="13">
        <f>J28*Calculation!I7/Calculation!K6</f>
        <v>0.37124215900560004</v>
      </c>
      <c r="M28" s="13">
        <f>K28*Calculation!I7/Calculation!K6</f>
        <v>2.6245317604459729E-2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6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1.8234782279726098</v>
      </c>
      <c r="K29" s="13">
        <v>0.12907140399676159</v>
      </c>
      <c r="L29" s="13">
        <f>J29*Calculation!I8/Calculation!K7</f>
        <v>1.8285325145489153</v>
      </c>
      <c r="M29" s="13">
        <f>K29*Calculation!I8/Calculation!K7</f>
        <v>0.12942916196425375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6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3.9950062421972543</v>
      </c>
      <c r="K30" s="13">
        <v>2.2698899103393507E-2</v>
      </c>
      <c r="L30" s="13">
        <f>J30*Calculation!I9/Calculation!K8</f>
        <v>4.0239638175831942</v>
      </c>
      <c r="M30" s="13">
        <f>K30*Calculation!I9/Calculation!K8</f>
        <v>2.2863430781722711E-2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6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7.7100593954526557</v>
      </c>
      <c r="K31" s="13">
        <v>9.4503052977693111E-2</v>
      </c>
      <c r="L31" s="13">
        <f>J31*Calculation!I10/Calculation!K9</f>
        <v>7.8254089157767384</v>
      </c>
      <c r="M31" s="13">
        <f>K31*Calculation!I10/Calculation!K9</f>
        <v>9.5916904839400879E-2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6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11.901789429879319</v>
      </c>
      <c r="K32" s="13">
        <v>5.7124310031178877E-2</v>
      </c>
      <c r="L32" s="13">
        <f>J32*Calculation!I11/Calculation!K10</f>
        <v>12.184233113868379</v>
      </c>
      <c r="M32" s="13">
        <f>K32*Calculation!I11/Calculation!K10</f>
        <v>5.8479938163032236E-2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6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15.980024968789017</v>
      </c>
      <c r="K33" s="13">
        <v>0.34274586018707326</v>
      </c>
      <c r="L33" s="13">
        <f>J33*Calculation!I12/Calculation!K11</f>
        <v>16.557463908639015</v>
      </c>
      <c r="M33" s="13">
        <f>K33*Calculation!I12/Calculation!K11</f>
        <v>0.35513099766532819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6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19.483221730412744</v>
      </c>
      <c r="K34" s="13">
        <v>0.12501578815766898</v>
      </c>
      <c r="L34" s="13">
        <f>J34*Calculation!I13/Calculation!K12</f>
        <v>20.438126007427847</v>
      </c>
      <c r="M34" s="13">
        <f>K34*Calculation!I13/Calculation!K12</f>
        <v>0.13114301457114383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6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21.170506563764992</v>
      </c>
      <c r="K35" s="13">
        <v>0.1642078796520299</v>
      </c>
      <c r="L35" s="13">
        <f>J35*Calculation!I14/Calculation!K13</f>
        <v>22.432810009791311</v>
      </c>
      <c r="M35" s="13">
        <f>K35*Calculation!I14/Calculation!K13</f>
        <v>0.17399886749283144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6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20.875420875420875</v>
      </c>
      <c r="K36" s="13">
        <v>0.22736699128084942</v>
      </c>
      <c r="L36" s="13">
        <f>J36*Calculation!I15/Calculation!K14</f>
        <v>22.254540180274933</v>
      </c>
      <c r="M36" s="13">
        <f>K36*Calculation!I15/Calculation!K14</f>
        <v>0.24238782409822282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6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21.889305035372448</v>
      </c>
      <c r="K37" s="13">
        <v>0.45075083444501923</v>
      </c>
      <c r="L37" s="13">
        <f>J37*Calculation!I16/Calculation!K15</f>
        <v>23.335405850502127</v>
      </c>
      <c r="M37" s="13">
        <f>K37*Calculation!I16/Calculation!K15</f>
        <v>0.48052935633312788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6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22.252487421026746</v>
      </c>
      <c r="K38" s="13">
        <v>0.15450821213378849</v>
      </c>
      <c r="L38" s="13">
        <f>J38*Calculation!I17/Calculation!K16</f>
        <v>23.744772989597369</v>
      </c>
      <c r="M38" s="13">
        <f>K38*Calculation!I17/Calculation!K16</f>
        <v>0.16486976726380198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6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22.993984791737599</v>
      </c>
      <c r="K39" s="13">
        <v>0.18579849669441481</v>
      </c>
      <c r="L39" s="13">
        <f>J39*Calculation!I18/Calculation!K17</f>
        <v>24.60766912169386</v>
      </c>
      <c r="M39" s="13">
        <f>K39*Calculation!I18/Calculation!K17</f>
        <v>0.1988375643184371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6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22.630802406083301</v>
      </c>
      <c r="K40" s="13">
        <v>0.50705499724636693</v>
      </c>
      <c r="L40" s="13">
        <f>J40*Calculation!I19/Calculation!K18</f>
        <v>24.218999125694744</v>
      </c>
      <c r="M40" s="13">
        <f>K40*Calculation!I19/Calculation!K18</f>
        <v>0.54263937772210291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6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24.363485037642338</v>
      </c>
      <c r="K41" s="13">
        <v>0.34895327984262692</v>
      </c>
      <c r="L41" s="13">
        <f>J41*Calculation!I20/Calculation!K19</f>
        <v>26.073278898273845</v>
      </c>
      <c r="M41" s="13">
        <f>K41*Calculation!I20/Calculation!K19</f>
        <v>0.37344231228606956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142</v>
      </c>
      <c r="B2" s="17">
        <v>180.16</v>
      </c>
    </row>
    <row r="4" spans="1:8">
      <c r="A4" s="161" t="s">
        <v>143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5</v>
      </c>
      <c r="C6" s="28" t="s">
        <v>19</v>
      </c>
      <c r="D6" s="166"/>
      <c r="E6" s="166"/>
      <c r="F6" s="166"/>
      <c r="G6" s="168"/>
      <c r="H6" s="168"/>
    </row>
    <row r="7" spans="1:8">
      <c r="A7" s="16">
        <v>0</v>
      </c>
      <c r="B7" s="64">
        <v>-0.16666666666666666</v>
      </c>
      <c r="C7" s="16">
        <v>2</v>
      </c>
      <c r="D7" s="19">
        <v>4.5259999999999998</v>
      </c>
      <c r="E7" s="19">
        <v>4.5350000000000001</v>
      </c>
      <c r="F7" s="19">
        <v>4.5289999999999999</v>
      </c>
      <c r="G7" s="19">
        <f>(C7*1000*AVERAGE(D7:F7)/$B$2)</f>
        <v>50.288632326820604</v>
      </c>
      <c r="H7" s="19">
        <f>(C7*1000*STDEV(D7:F7))/$B$2</f>
        <v>5.0872287910257705E-2</v>
      </c>
    </row>
    <row r="8" spans="1:8">
      <c r="A8" s="16">
        <v>0</v>
      </c>
      <c r="B8" s="66">
        <v>0.16666666666666666</v>
      </c>
      <c r="C8" s="16">
        <v>2</v>
      </c>
      <c r="D8" s="19">
        <v>4.4660000000000002</v>
      </c>
      <c r="E8" s="19">
        <v>4.5410000000000004</v>
      </c>
      <c r="F8" s="19">
        <v>4.5330000000000004</v>
      </c>
      <c r="G8" s="19">
        <f t="shared" ref="G8:G17" si="0">(C8*1000*AVERAGE(D8:F8))/$B$2</f>
        <v>50.103611604499719</v>
      </c>
      <c r="H8" s="19">
        <f t="shared" ref="H8:H17" si="1">(C8*1000*STDEV(D8:F8))/$B$2</f>
        <v>0.45722210689989662</v>
      </c>
    </row>
    <row r="9" spans="1:8">
      <c r="A9" s="16">
        <v>1</v>
      </c>
      <c r="B9" s="66">
        <v>2</v>
      </c>
      <c r="C9" s="16">
        <v>2</v>
      </c>
      <c r="D9" s="19">
        <v>4.5</v>
      </c>
      <c r="E9" s="19">
        <v>4.5510000000000002</v>
      </c>
      <c r="F9" s="19">
        <v>4.5190000000000001</v>
      </c>
      <c r="G9" s="19">
        <f t="shared" si="0"/>
        <v>50.214624037892243</v>
      </c>
      <c r="H9" s="19">
        <f t="shared" si="1"/>
        <v>0.2861308233011155</v>
      </c>
    </row>
    <row r="10" spans="1:8">
      <c r="A10" s="16">
        <v>2</v>
      </c>
      <c r="B10" s="66">
        <v>3.3333333333333335</v>
      </c>
      <c r="C10" s="16">
        <v>2</v>
      </c>
      <c r="D10" s="19">
        <v>4.4829999999999997</v>
      </c>
      <c r="E10" s="19">
        <v>4.5229999999999997</v>
      </c>
      <c r="F10" s="19">
        <v>4.508</v>
      </c>
      <c r="G10" s="19">
        <f t="shared" si="0"/>
        <v>50.007400828892827</v>
      </c>
      <c r="H10" s="19">
        <f t="shared" si="1"/>
        <v>0.22432570405902474</v>
      </c>
    </row>
    <row r="11" spans="1:8">
      <c r="A11" s="16">
        <v>3</v>
      </c>
      <c r="B11" s="66">
        <v>4.666666666666667</v>
      </c>
      <c r="C11" s="16">
        <v>2</v>
      </c>
      <c r="D11" s="19">
        <v>4.4669999999999996</v>
      </c>
      <c r="E11" s="19">
        <v>4.51</v>
      </c>
      <c r="F11" s="19">
        <v>4.5449999999999999</v>
      </c>
      <c r="G11" s="19">
        <f t="shared" si="0"/>
        <v>50.037004144464177</v>
      </c>
      <c r="H11" s="19">
        <f t="shared" si="1"/>
        <v>0.43370688536479868</v>
      </c>
    </row>
    <row r="12" spans="1:8">
      <c r="A12" s="16">
        <v>4</v>
      </c>
      <c r="B12" s="66">
        <v>6</v>
      </c>
      <c r="C12" s="16">
        <v>2</v>
      </c>
      <c r="D12" s="19">
        <v>4.3490000000000002</v>
      </c>
      <c r="E12" s="19">
        <v>4.407</v>
      </c>
      <c r="F12" s="19">
        <v>4.4409999999999998</v>
      </c>
      <c r="G12" s="19">
        <f t="shared" si="0"/>
        <v>48.834369449378329</v>
      </c>
      <c r="H12" s="19">
        <f t="shared" si="1"/>
        <v>0.51641666738956327</v>
      </c>
    </row>
    <row r="13" spans="1:8">
      <c r="A13" s="16">
        <v>5</v>
      </c>
      <c r="B13" s="66">
        <v>7.333333333333333</v>
      </c>
      <c r="C13" s="16">
        <v>2</v>
      </c>
      <c r="D13" s="19">
        <v>4.226</v>
      </c>
      <c r="E13" s="19">
        <v>4.2160000000000002</v>
      </c>
      <c r="F13" s="19">
        <v>4.2439999999999998</v>
      </c>
      <c r="G13" s="19">
        <f t="shared" si="0"/>
        <v>46.943457667258727</v>
      </c>
      <c r="H13" s="19">
        <f t="shared" si="1"/>
        <v>0.15751773722463333</v>
      </c>
    </row>
    <row r="14" spans="1:8">
      <c r="A14" s="16">
        <v>6</v>
      </c>
      <c r="B14" s="66">
        <v>8.6666666666666661</v>
      </c>
      <c r="C14" s="16">
        <v>2</v>
      </c>
      <c r="D14" s="19">
        <v>3.7749999999999999</v>
      </c>
      <c r="E14" s="19">
        <v>3.7989999999999999</v>
      </c>
      <c r="F14" s="19">
        <v>3.831</v>
      </c>
      <c r="G14" s="19">
        <f t="shared" si="0"/>
        <v>42.203226761397275</v>
      </c>
      <c r="H14" s="19">
        <f t="shared" si="1"/>
        <v>0.31189028279611453</v>
      </c>
    </row>
    <row r="15" spans="1:8">
      <c r="A15" s="16">
        <v>7</v>
      </c>
      <c r="B15" s="66">
        <v>10</v>
      </c>
      <c r="C15" s="16">
        <v>2</v>
      </c>
      <c r="D15" s="19">
        <v>3.0670000000000002</v>
      </c>
      <c r="E15" s="19">
        <v>3.077</v>
      </c>
      <c r="F15" s="19">
        <v>3.1019999999999999</v>
      </c>
      <c r="G15" s="19">
        <f t="shared" si="0"/>
        <v>34.214031971580823</v>
      </c>
      <c r="H15" s="19">
        <f t="shared" si="1"/>
        <v>0.20013051040541527</v>
      </c>
    </row>
    <row r="16" spans="1:8">
      <c r="A16" s="16">
        <v>8</v>
      </c>
      <c r="B16" s="66">
        <v>11.333333333333334</v>
      </c>
      <c r="C16" s="16">
        <v>2</v>
      </c>
      <c r="D16" s="81">
        <v>2.1589999999999998</v>
      </c>
      <c r="E16" s="81">
        <v>2.0840000000000001</v>
      </c>
      <c r="F16" s="81">
        <v>2.181</v>
      </c>
      <c r="G16" s="19">
        <f t="shared" si="0"/>
        <v>23.771462403789226</v>
      </c>
      <c r="H16" s="19">
        <f t="shared" si="1"/>
        <v>0.56456489645638053</v>
      </c>
    </row>
    <row r="17" spans="1:8">
      <c r="A17" s="16">
        <v>9</v>
      </c>
      <c r="B17" s="66">
        <v>12.666666666666666</v>
      </c>
      <c r="C17" s="16">
        <v>2</v>
      </c>
      <c r="D17" s="81">
        <v>1.3380000000000001</v>
      </c>
      <c r="E17" s="81">
        <v>1.351</v>
      </c>
      <c r="F17" s="81">
        <v>1.343</v>
      </c>
      <c r="G17" s="19">
        <f t="shared" si="0"/>
        <v>14.920071047957371</v>
      </c>
      <c r="H17" s="19">
        <f t="shared" si="1"/>
        <v>7.2795720740474648E-2</v>
      </c>
    </row>
    <row r="18" spans="1:8">
      <c r="A18" s="16">
        <v>10</v>
      </c>
      <c r="B18" s="66">
        <v>14</v>
      </c>
      <c r="C18" s="16">
        <v>2</v>
      </c>
      <c r="D18" s="81">
        <v>0.58299999999999996</v>
      </c>
      <c r="E18" s="81">
        <v>0.57999999999999996</v>
      </c>
      <c r="F18" s="81">
        <v>0.58799999999999997</v>
      </c>
      <c r="G18" s="19">
        <f t="shared" ref="G18:G23" si="2">(C18*1000*AVERAGE(D18:F18))/$B$2</f>
        <v>6.4794256956779153</v>
      </c>
      <c r="H18" s="19">
        <f t="shared" ref="H18:H23" si="3">(C18*1000*STDEV(D18:F18))/$B$2</f>
        <v>4.4865140811804878E-2</v>
      </c>
    </row>
    <row r="19" spans="1:8">
      <c r="A19" s="16">
        <v>11</v>
      </c>
      <c r="B19" s="66">
        <v>15.333333333333334</v>
      </c>
      <c r="C19" s="16">
        <v>2</v>
      </c>
      <c r="D19" s="76">
        <v>0</v>
      </c>
      <c r="E19" s="76">
        <v>0</v>
      </c>
      <c r="F19" s="76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6">
        <v>16.666666666666668</v>
      </c>
      <c r="C20" s="16">
        <v>2</v>
      </c>
      <c r="D20" s="76">
        <v>0</v>
      </c>
      <c r="E20" s="76">
        <v>0</v>
      </c>
      <c r="F20" s="76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6">
        <v>18</v>
      </c>
      <c r="C21" s="16">
        <v>2</v>
      </c>
      <c r="D21" s="76">
        <v>0</v>
      </c>
      <c r="E21" s="76">
        <v>0</v>
      </c>
      <c r="F21" s="76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6">
        <v>24</v>
      </c>
      <c r="C22" s="16">
        <v>2</v>
      </c>
      <c r="D22" s="76">
        <v>0</v>
      </c>
      <c r="E22" s="76">
        <v>0</v>
      </c>
      <c r="F22" s="76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30</v>
      </c>
      <c r="C23" s="16">
        <v>2</v>
      </c>
      <c r="D23" s="76">
        <v>0</v>
      </c>
      <c r="E23" s="76">
        <v>0</v>
      </c>
      <c r="F23" s="76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6">
        <v>48</v>
      </c>
      <c r="C24" s="16">
        <v>2</v>
      </c>
      <c r="D24" s="76">
        <v>0</v>
      </c>
      <c r="E24" s="76">
        <v>0</v>
      </c>
      <c r="F24" s="76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61" t="s">
        <v>65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60</v>
      </c>
      <c r="C6" s="28" t="s">
        <v>19</v>
      </c>
      <c r="D6" s="166"/>
      <c r="E6" s="166"/>
      <c r="F6" s="166"/>
      <c r="G6" s="168"/>
      <c r="H6" s="168"/>
    </row>
    <row r="7" spans="1:8">
      <c r="A7" s="67">
        <v>0</v>
      </c>
      <c r="B7" s="64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55">
        <v>2.9000000000000001E-2</v>
      </c>
      <c r="E8" s="55">
        <v>2.9000000000000001E-2</v>
      </c>
      <c r="F8" s="55">
        <v>2.8000000000000001E-2</v>
      </c>
      <c r="G8" s="16">
        <f t="shared" ref="G8:G10" si="1">(C8*1000*AVERAGE(D8:F8))/$B$2</f>
        <v>1.2455644869288147</v>
      </c>
      <c r="H8" s="19">
        <f t="shared" si="0"/>
        <v>2.5085825296094995E-2</v>
      </c>
    </row>
    <row r="9" spans="1:8">
      <c r="A9" s="68">
        <v>1</v>
      </c>
      <c r="B9" s="66">
        <v>2</v>
      </c>
      <c r="C9" s="16">
        <v>2</v>
      </c>
      <c r="D9" s="55">
        <v>2.5999999999999999E-2</v>
      </c>
      <c r="E9" s="55">
        <v>2.7E-2</v>
      </c>
      <c r="F9" s="55">
        <v>2.5999999999999999E-2</v>
      </c>
      <c r="G9" s="16">
        <f t="shared" si="1"/>
        <v>1.1441813310160041</v>
      </c>
      <c r="H9" s="19">
        <f t="shared" si="0"/>
        <v>2.5085825296094988E-2</v>
      </c>
    </row>
    <row r="10" spans="1:8">
      <c r="A10" s="68">
        <v>2</v>
      </c>
      <c r="B10" s="66">
        <v>3.3333333333333335</v>
      </c>
      <c r="C10" s="16">
        <v>2</v>
      </c>
      <c r="D10" s="55">
        <v>2.4E-2</v>
      </c>
      <c r="E10" s="55">
        <v>2.3E-2</v>
      </c>
      <c r="F10" s="55">
        <v>2.5000000000000001E-2</v>
      </c>
      <c r="G10" s="16">
        <f t="shared" si="1"/>
        <v>1.0427981751031936</v>
      </c>
      <c r="H10" s="19">
        <f t="shared" ref="H10:H23" si="2">(C10*1000*STDEV(D10:F10))/$B$2</f>
        <v>4.34499239626331E-2</v>
      </c>
    </row>
    <row r="11" spans="1:8">
      <c r="A11" s="68">
        <v>3</v>
      </c>
      <c r="B11" s="66">
        <v>4.666666666666667</v>
      </c>
      <c r="C11" s="16">
        <v>2</v>
      </c>
      <c r="D11" s="55">
        <v>2.1999999999999999E-2</v>
      </c>
      <c r="E11" s="55">
        <v>2.1000000000000001E-2</v>
      </c>
      <c r="F11" s="55">
        <v>2.1999999999999999E-2</v>
      </c>
      <c r="G11" s="16">
        <f t="shared" ref="G11:G23" si="3">(C11*1000*AVERAGE(D11:F11))/$B$2</f>
        <v>0.94141501919038306</v>
      </c>
      <c r="H11" s="19">
        <f t="shared" si="2"/>
        <v>2.5085825296094908E-2</v>
      </c>
    </row>
    <row r="12" spans="1:8">
      <c r="A12" s="68">
        <v>4</v>
      </c>
      <c r="B12" s="66">
        <v>6</v>
      </c>
      <c r="C12" s="16">
        <v>2</v>
      </c>
      <c r="D12" s="55">
        <v>2.1999999999999999E-2</v>
      </c>
      <c r="E12" s="55">
        <v>2.1999999999999999E-2</v>
      </c>
      <c r="F12" s="55">
        <v>2.1999999999999999E-2</v>
      </c>
      <c r="G12" s="16">
        <f t="shared" si="3"/>
        <v>0.95589832717792755</v>
      </c>
      <c r="H12" s="19">
        <f t="shared" si="2"/>
        <v>1.8462686773714401E-16</v>
      </c>
    </row>
    <row r="13" spans="1:8">
      <c r="A13" s="68">
        <v>5</v>
      </c>
      <c r="B13" s="66">
        <v>7.333333333333333</v>
      </c>
      <c r="C13" s="16">
        <v>2</v>
      </c>
      <c r="D13" s="55">
        <v>0.04</v>
      </c>
      <c r="E13" s="55">
        <v>3.7999999999999999E-2</v>
      </c>
      <c r="F13" s="55">
        <v>3.6999999999999998E-2</v>
      </c>
      <c r="G13" s="16">
        <f t="shared" si="3"/>
        <v>1.6655804185676006</v>
      </c>
      <c r="H13" s="19">
        <f t="shared" si="2"/>
        <v>6.6370855166280607E-2</v>
      </c>
    </row>
    <row r="14" spans="1:8">
      <c r="A14" s="68">
        <v>6</v>
      </c>
      <c r="B14" s="66">
        <v>8.6666666666666661</v>
      </c>
      <c r="C14" s="16">
        <v>2</v>
      </c>
      <c r="D14" s="55">
        <v>7.8E-2</v>
      </c>
      <c r="E14" s="55">
        <v>7.6999999999999999E-2</v>
      </c>
      <c r="F14" s="55">
        <v>7.9000000000000001E-2</v>
      </c>
      <c r="G14" s="16">
        <f t="shared" si="3"/>
        <v>3.3890940690853788</v>
      </c>
      <c r="H14" s="19">
        <f t="shared" si="2"/>
        <v>4.34499239626331E-2</v>
      </c>
    </row>
    <row r="15" spans="1:8">
      <c r="A15" s="68">
        <v>7</v>
      </c>
      <c r="B15" s="66">
        <v>10</v>
      </c>
      <c r="C15" s="16">
        <v>2</v>
      </c>
      <c r="D15" s="55">
        <v>9.5000000000000001E-2</v>
      </c>
      <c r="E15" s="55">
        <v>9.7000000000000003E-2</v>
      </c>
      <c r="F15" s="55">
        <v>9.7000000000000003E-2</v>
      </c>
      <c r="G15" s="16">
        <f t="shared" si="3"/>
        <v>4.1856760084003186</v>
      </c>
      <c r="H15" s="19">
        <f t="shared" si="2"/>
        <v>5.017165059218999E-2</v>
      </c>
    </row>
    <row r="16" spans="1:8">
      <c r="A16" s="68">
        <v>8</v>
      </c>
      <c r="B16" s="66">
        <v>11.333333333333334</v>
      </c>
      <c r="C16" s="16">
        <v>2</v>
      </c>
      <c r="D16" s="55">
        <v>0.124</v>
      </c>
      <c r="E16" s="55">
        <v>0.11899999999999999</v>
      </c>
      <c r="F16" s="55">
        <v>0.122</v>
      </c>
      <c r="G16" s="16">
        <f t="shared" si="3"/>
        <v>5.2864074154536889</v>
      </c>
      <c r="H16" s="19">
        <f t="shared" si="2"/>
        <v>0.10934657738099436</v>
      </c>
    </row>
    <row r="17" spans="1:8">
      <c r="A17" s="68">
        <v>9</v>
      </c>
      <c r="B17" s="66">
        <v>12.666666666666666</v>
      </c>
      <c r="C17" s="16">
        <v>2</v>
      </c>
      <c r="D17" s="55">
        <v>0.14599999999999999</v>
      </c>
      <c r="E17" s="55">
        <v>0.14699999999999999</v>
      </c>
      <c r="F17" s="55">
        <v>0.14599999999999999</v>
      </c>
      <c r="G17" s="16">
        <f t="shared" si="3"/>
        <v>6.3581722065319708</v>
      </c>
      <c r="H17" s="19">
        <f t="shared" si="2"/>
        <v>2.5085825296094995E-2</v>
      </c>
    </row>
    <row r="18" spans="1:8">
      <c r="A18" s="68">
        <v>10</v>
      </c>
      <c r="B18" s="66">
        <v>14</v>
      </c>
      <c r="C18" s="16">
        <v>2</v>
      </c>
      <c r="D18" s="55">
        <v>0.13</v>
      </c>
      <c r="E18" s="55">
        <v>0.129</v>
      </c>
      <c r="F18" s="55">
        <v>0.13100000000000001</v>
      </c>
      <c r="G18" s="16">
        <f t="shared" si="3"/>
        <v>5.6484901151422982</v>
      </c>
      <c r="H18" s="19">
        <f t="shared" si="2"/>
        <v>4.34499239626331E-2</v>
      </c>
    </row>
    <row r="19" spans="1:8">
      <c r="A19" s="68">
        <v>11</v>
      </c>
      <c r="B19" s="66">
        <v>15.333333333333334</v>
      </c>
      <c r="C19" s="16">
        <v>2</v>
      </c>
      <c r="D19" s="55">
        <v>7.8E-2</v>
      </c>
      <c r="E19" s="55">
        <v>7.9000000000000001E-2</v>
      </c>
      <c r="F19" s="55">
        <v>8.5999999999999993E-2</v>
      </c>
      <c r="G19" s="16">
        <f t="shared" si="3"/>
        <v>3.519443840973278</v>
      </c>
      <c r="H19" s="19">
        <f t="shared" si="2"/>
        <v>0.18939382765764368</v>
      </c>
    </row>
    <row r="20" spans="1:8">
      <c r="A20" s="68">
        <v>12</v>
      </c>
      <c r="B20" s="66">
        <v>16.666666666666668</v>
      </c>
      <c r="C20" s="16">
        <v>2</v>
      </c>
      <c r="D20" s="55">
        <v>3.3000000000000002E-2</v>
      </c>
      <c r="E20" s="55">
        <v>3.2000000000000001E-2</v>
      </c>
      <c r="F20" s="55">
        <v>3.2000000000000001E-2</v>
      </c>
      <c r="G20" s="16">
        <f t="shared" si="3"/>
        <v>1.4048808747918022</v>
      </c>
      <c r="H20" s="19">
        <f t="shared" si="2"/>
        <v>2.5085825296094995E-2</v>
      </c>
    </row>
    <row r="21" spans="1:8">
      <c r="A21" s="68">
        <v>13</v>
      </c>
      <c r="B21" s="66">
        <v>18</v>
      </c>
      <c r="C21" s="16">
        <v>2</v>
      </c>
      <c r="D21" s="55">
        <v>5.0000000000000001E-3</v>
      </c>
      <c r="E21" s="55">
        <v>5.0000000000000001E-3</v>
      </c>
      <c r="F21" s="55">
        <v>4.0000000000000001E-3</v>
      </c>
      <c r="G21" s="16">
        <f t="shared" si="3"/>
        <v>0.20276631182562099</v>
      </c>
      <c r="H21" s="19">
        <f t="shared" si="2"/>
        <v>2.5085825296094974E-2</v>
      </c>
    </row>
    <row r="22" spans="1:8">
      <c r="A22" s="68">
        <v>14</v>
      </c>
      <c r="B22" s="66">
        <v>24</v>
      </c>
      <c r="C22" s="16">
        <v>2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8">
        <v>15</v>
      </c>
      <c r="B23" s="66">
        <v>30</v>
      </c>
      <c r="C23" s="16">
        <v>2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8">
        <v>16</v>
      </c>
      <c r="B24" s="66">
        <v>48</v>
      </c>
      <c r="C24" s="16">
        <v>2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61" t="s">
        <v>43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2" t="s">
        <v>4</v>
      </c>
      <c r="B6" s="22" t="s">
        <v>60</v>
      </c>
      <c r="C6" s="22" t="s">
        <v>19</v>
      </c>
      <c r="D6" s="166"/>
      <c r="E6" s="166"/>
      <c r="F6" s="166"/>
      <c r="G6" s="168"/>
      <c r="H6" s="168"/>
    </row>
    <row r="7" spans="1:8">
      <c r="A7" s="67">
        <v>0</v>
      </c>
      <c r="B7" s="64">
        <v>-0.16666666666666666</v>
      </c>
      <c r="C7" s="16">
        <v>2</v>
      </c>
      <c r="D7" s="76">
        <v>3.4000000000000002E-2</v>
      </c>
      <c r="E7" s="76">
        <v>3.2000000000000001E-2</v>
      </c>
      <c r="F7" s="76">
        <v>2.7E-2</v>
      </c>
      <c r="G7" s="16">
        <f>(C7*1000*AVERAGE(D7:F7))/$B$2</f>
        <v>1.0324729392173189</v>
      </c>
      <c r="H7" s="19">
        <f>(C7*1000*STDEV(D7:F7))/$B$2</f>
        <v>0.1200849717057116</v>
      </c>
    </row>
    <row r="8" spans="1:8">
      <c r="A8" s="68">
        <v>0</v>
      </c>
      <c r="B8" s="66">
        <v>0.16666666666666666</v>
      </c>
      <c r="C8" s="16">
        <v>2</v>
      </c>
      <c r="D8" s="76">
        <v>7.1999999999999995E-2</v>
      </c>
      <c r="E8" s="76">
        <v>6.8000000000000005E-2</v>
      </c>
      <c r="F8" s="76">
        <v>7.0000000000000007E-2</v>
      </c>
      <c r="G8" s="16">
        <f t="shared" ref="G8:G17" si="0">(C8*1000*AVERAGE(D8:F8))/$B$2</f>
        <v>2.3313905079100752</v>
      </c>
      <c r="H8" s="19">
        <f t="shared" ref="H8:H17" si="1">(C8*1000*STDEV(D8:F8))/$B$2</f>
        <v>6.6611157368859114E-2</v>
      </c>
    </row>
    <row r="9" spans="1:8">
      <c r="A9" s="68">
        <v>1</v>
      </c>
      <c r="B9" s="66">
        <v>2</v>
      </c>
      <c r="C9" s="16">
        <v>2</v>
      </c>
      <c r="D9" s="76">
        <v>7.0999999999999994E-2</v>
      </c>
      <c r="E9" s="76">
        <v>7.2999999999999995E-2</v>
      </c>
      <c r="F9" s="76">
        <v>7.3999999999999996E-2</v>
      </c>
      <c r="G9" s="16">
        <f t="shared" si="0"/>
        <v>2.4202053844018869</v>
      </c>
      <c r="H9" s="19">
        <f t="shared" si="1"/>
        <v>5.0875111795235566E-2</v>
      </c>
    </row>
    <row r="10" spans="1:8">
      <c r="A10" s="68">
        <v>2</v>
      </c>
      <c r="B10" s="66">
        <v>3.3333333333333335</v>
      </c>
      <c r="C10" s="16">
        <v>2</v>
      </c>
      <c r="D10" s="76">
        <v>7.6999999999999999E-2</v>
      </c>
      <c r="E10" s="76">
        <v>8.4000000000000005E-2</v>
      </c>
      <c r="F10" s="76">
        <v>7.6999999999999999E-2</v>
      </c>
      <c r="G10" s="16">
        <f t="shared" si="0"/>
        <v>2.6422425756314181</v>
      </c>
      <c r="H10" s="19">
        <f t="shared" si="1"/>
        <v>0.13460289373280213</v>
      </c>
    </row>
    <row r="11" spans="1:8">
      <c r="A11" s="68">
        <v>3</v>
      </c>
      <c r="B11" s="66">
        <v>4.666666666666667</v>
      </c>
      <c r="C11" s="16">
        <v>2</v>
      </c>
      <c r="D11" s="76">
        <v>8.5999999999999993E-2</v>
      </c>
      <c r="E11" s="76">
        <v>9.1999999999999998E-2</v>
      </c>
      <c r="F11" s="76">
        <v>9.0999999999999998E-2</v>
      </c>
      <c r="G11" s="16">
        <f t="shared" si="0"/>
        <v>2.9864002220371915</v>
      </c>
      <c r="H11" s="19">
        <f t="shared" si="1"/>
        <v>0.10706245640847033</v>
      </c>
    </row>
    <row r="12" spans="1:8">
      <c r="A12" s="68">
        <v>4</v>
      </c>
      <c r="B12" s="66">
        <v>6</v>
      </c>
      <c r="C12" s="16">
        <v>2</v>
      </c>
      <c r="D12" s="76">
        <v>0.11899999999999999</v>
      </c>
      <c r="E12" s="76">
        <v>0.12</v>
      </c>
      <c r="F12" s="76">
        <v>0.115</v>
      </c>
      <c r="G12" s="16">
        <f t="shared" si="0"/>
        <v>3.9300582847626981</v>
      </c>
      <c r="H12" s="19">
        <f t="shared" si="1"/>
        <v>8.811827847009443E-2</v>
      </c>
    </row>
    <row r="13" spans="1:8">
      <c r="A13" s="68">
        <v>5</v>
      </c>
      <c r="B13" s="66">
        <v>7.333333333333333</v>
      </c>
      <c r="C13" s="16">
        <v>2</v>
      </c>
      <c r="D13" s="76">
        <v>0.16700000000000001</v>
      </c>
      <c r="E13" s="76">
        <v>0.159</v>
      </c>
      <c r="F13" s="76">
        <v>0.158</v>
      </c>
      <c r="G13" s="16">
        <f t="shared" si="0"/>
        <v>5.3733000277546488</v>
      </c>
      <c r="H13" s="19">
        <f t="shared" si="1"/>
        <v>0.16429251831194844</v>
      </c>
    </row>
    <row r="14" spans="1:8">
      <c r="A14" s="68">
        <v>6</v>
      </c>
      <c r="B14" s="66">
        <v>8.6666666666666661</v>
      </c>
      <c r="C14" s="16">
        <v>2</v>
      </c>
      <c r="D14" s="76">
        <v>0.25600000000000001</v>
      </c>
      <c r="E14" s="76">
        <v>0.253</v>
      </c>
      <c r="F14" s="76">
        <v>0.26100000000000001</v>
      </c>
      <c r="G14" s="16">
        <f t="shared" si="0"/>
        <v>8.5484318623369404</v>
      </c>
      <c r="H14" s="19">
        <f t="shared" si="1"/>
        <v>0.13460289373280213</v>
      </c>
    </row>
    <row r="15" spans="1:8">
      <c r="A15" s="68">
        <v>7</v>
      </c>
      <c r="B15" s="66">
        <v>10</v>
      </c>
      <c r="C15" s="16">
        <v>2</v>
      </c>
      <c r="D15" s="76">
        <v>0.42899999999999999</v>
      </c>
      <c r="E15" s="76">
        <v>0.42899999999999999</v>
      </c>
      <c r="F15" s="76">
        <v>0.432</v>
      </c>
      <c r="G15" s="16">
        <f t="shared" si="0"/>
        <v>14.321398834304746</v>
      </c>
      <c r="H15" s="19">
        <f t="shared" si="1"/>
        <v>5.7686954456915206E-2</v>
      </c>
    </row>
    <row r="16" spans="1:8">
      <c r="A16" s="68">
        <v>8</v>
      </c>
      <c r="B16" s="66">
        <v>11.333333333333334</v>
      </c>
      <c r="C16" s="16">
        <v>2</v>
      </c>
      <c r="D16" s="19">
        <v>0.71499999999999997</v>
      </c>
      <c r="E16" s="19">
        <v>0.69699999999999995</v>
      </c>
      <c r="F16" s="19">
        <v>0.73199999999999998</v>
      </c>
      <c r="G16" s="16">
        <f t="shared" si="0"/>
        <v>23.802386899805718</v>
      </c>
      <c r="H16" s="19">
        <f t="shared" si="1"/>
        <v>0.58292692058063122</v>
      </c>
    </row>
    <row r="17" spans="1:8">
      <c r="A17" s="68">
        <v>9</v>
      </c>
      <c r="B17" s="66">
        <v>12.666666666666666</v>
      </c>
      <c r="C17" s="16">
        <v>2</v>
      </c>
      <c r="D17" s="19">
        <v>1.034</v>
      </c>
      <c r="E17" s="19">
        <v>1.048</v>
      </c>
      <c r="F17" s="19">
        <v>1.036</v>
      </c>
      <c r="G17" s="16">
        <f t="shared" si="0"/>
        <v>34.615598112683877</v>
      </c>
      <c r="H17" s="19">
        <f t="shared" si="1"/>
        <v>0.25218577167028716</v>
      </c>
    </row>
    <row r="18" spans="1:8">
      <c r="A18" s="68">
        <v>10</v>
      </c>
      <c r="B18" s="66">
        <v>14</v>
      </c>
      <c r="C18" s="16">
        <v>2</v>
      </c>
      <c r="D18" s="19">
        <v>1.3440000000000001</v>
      </c>
      <c r="E18" s="19">
        <v>1.3420000000000001</v>
      </c>
      <c r="F18" s="19">
        <v>1.355</v>
      </c>
      <c r="G18" s="16">
        <f t="shared" ref="G18:G23" si="2">(C18*1000*AVERAGE(D18:F18))/$B$2</f>
        <v>44.862614487926734</v>
      </c>
      <c r="H18" s="19">
        <f t="shared" ref="H18:H23" si="3">(C18*1000*STDEV(D18:F18))/$B$2</f>
        <v>0.23313905079100561</v>
      </c>
    </row>
    <row r="19" spans="1:8">
      <c r="A19" s="68">
        <v>11</v>
      </c>
      <c r="B19" s="66">
        <v>15.333333333333334</v>
      </c>
      <c r="C19" s="16">
        <v>2</v>
      </c>
      <c r="D19" s="19">
        <v>1.5149999999999999</v>
      </c>
      <c r="E19" s="19">
        <v>1.4970000000000001</v>
      </c>
      <c r="F19" s="19">
        <v>1.478</v>
      </c>
      <c r="G19" s="16">
        <f t="shared" si="2"/>
        <v>49.847349431029706</v>
      </c>
      <c r="H19" s="19">
        <f t="shared" si="3"/>
        <v>0.61622821366096658</v>
      </c>
    </row>
    <row r="20" spans="1:8">
      <c r="A20" s="68">
        <v>12</v>
      </c>
      <c r="B20" s="66">
        <v>16.666666666666668</v>
      </c>
      <c r="C20" s="16">
        <v>2</v>
      </c>
      <c r="D20" s="19">
        <v>1.617</v>
      </c>
      <c r="E20" s="19">
        <v>1.5669999999999999</v>
      </c>
      <c r="F20" s="19">
        <v>1.629</v>
      </c>
      <c r="G20" s="16">
        <f t="shared" si="2"/>
        <v>53.433250069386638</v>
      </c>
      <c r="H20" s="19">
        <f t="shared" si="3"/>
        <v>1.0952084334289012</v>
      </c>
    </row>
    <row r="21" spans="1:8">
      <c r="A21" s="68">
        <v>13</v>
      </c>
      <c r="B21" s="66">
        <v>18</v>
      </c>
      <c r="C21" s="16">
        <v>2</v>
      </c>
      <c r="D21" s="19">
        <v>1.629</v>
      </c>
      <c r="E21" s="19">
        <v>1.637</v>
      </c>
      <c r="F21" s="19">
        <v>1.6459999999999999</v>
      </c>
      <c r="G21" s="16">
        <f t="shared" si="2"/>
        <v>54.532334165972799</v>
      </c>
      <c r="H21" s="19">
        <f t="shared" si="3"/>
        <v>0.28326063440850408</v>
      </c>
    </row>
    <row r="22" spans="1:8">
      <c r="A22" s="68">
        <v>14</v>
      </c>
      <c r="B22" s="66">
        <v>24</v>
      </c>
      <c r="C22" s="16">
        <v>2</v>
      </c>
      <c r="D22" s="19">
        <v>1.647</v>
      </c>
      <c r="E22" s="19">
        <v>1.671</v>
      </c>
      <c r="F22" s="19">
        <v>1.667</v>
      </c>
      <c r="G22" s="16">
        <f t="shared" si="2"/>
        <v>55.342769913960595</v>
      </c>
      <c r="H22" s="19">
        <f t="shared" si="3"/>
        <v>0.42824982563388131</v>
      </c>
    </row>
    <row r="23" spans="1:8">
      <c r="A23" s="68">
        <v>15</v>
      </c>
      <c r="B23" s="66">
        <v>30</v>
      </c>
      <c r="C23" s="16">
        <v>2</v>
      </c>
      <c r="D23" s="19">
        <v>1.595</v>
      </c>
      <c r="E23" s="19">
        <v>1.5720000000000001</v>
      </c>
      <c r="F23" s="19">
        <v>1.6439999999999999</v>
      </c>
      <c r="G23" s="16">
        <f t="shared" si="2"/>
        <v>53.411046350263668</v>
      </c>
      <c r="H23" s="19">
        <f t="shared" si="3"/>
        <v>1.2247821841174711</v>
      </c>
    </row>
    <row r="24" spans="1:8">
      <c r="A24" s="68">
        <v>16</v>
      </c>
      <c r="B24" s="66">
        <v>48</v>
      </c>
      <c r="C24" s="16">
        <v>2</v>
      </c>
      <c r="D24" s="19">
        <v>1.665</v>
      </c>
      <c r="E24" s="19">
        <v>1.6579999999999999</v>
      </c>
      <c r="F24" s="19">
        <v>1.722</v>
      </c>
      <c r="G24" s="16">
        <f t="shared" ref="G24" si="4">(C24*1000*AVERAGE(D24:F24))/$B$2</f>
        <v>56.008881487649184</v>
      </c>
      <c r="H24" s="19">
        <f t="shared" ref="H24" si="5">(C24*1000*STDEV(D24:F24))/$B$2</f>
        <v>1.1691792035231388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20" sqref="I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3" t="s">
        <v>4</v>
      </c>
      <c r="B1" s="133" t="s">
        <v>117</v>
      </c>
      <c r="C1" s="133" t="s">
        <v>117</v>
      </c>
      <c r="D1" s="133" t="s">
        <v>5</v>
      </c>
      <c r="E1" s="4" t="s">
        <v>7</v>
      </c>
      <c r="F1" s="4" t="s">
        <v>9</v>
      </c>
      <c r="G1" s="132" t="s">
        <v>11</v>
      </c>
      <c r="H1" s="132" t="s">
        <v>12</v>
      </c>
      <c r="I1" s="4" t="s">
        <v>13</v>
      </c>
      <c r="J1" s="4" t="s">
        <v>16</v>
      </c>
      <c r="K1" s="4" t="s">
        <v>16</v>
      </c>
    </row>
    <row r="2" spans="1:11">
      <c r="A2" s="134"/>
      <c r="B2" s="134"/>
      <c r="C2" s="134"/>
      <c r="D2" s="134"/>
      <c r="E2" s="5" t="s">
        <v>8</v>
      </c>
      <c r="F2" s="5" t="s">
        <v>10</v>
      </c>
      <c r="G2" s="132"/>
      <c r="H2" s="132"/>
      <c r="I2" s="5" t="s">
        <v>14</v>
      </c>
      <c r="J2" s="5" t="s">
        <v>17</v>
      </c>
      <c r="K2" s="5" t="s">
        <v>141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42</v>
      </c>
      <c r="F3" s="1">
        <f>E3</f>
        <v>42</v>
      </c>
      <c r="G3" s="1">
        <v>0</v>
      </c>
      <c r="H3" s="1">
        <v>0</v>
      </c>
      <c r="I3" s="1">
        <f>$F$22+G3+H3</f>
        <v>1500</v>
      </c>
      <c r="J3" s="13">
        <f>F3*1500/I3</f>
        <v>42</v>
      </c>
      <c r="K3" s="13">
        <f>$F$23-J3</f>
        <v>1578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50</v>
      </c>
      <c r="F4" s="1">
        <f>E4+F3</f>
        <v>92</v>
      </c>
      <c r="G4" s="40">
        <v>1</v>
      </c>
      <c r="H4" s="40">
        <v>0</v>
      </c>
      <c r="I4" s="1">
        <f t="shared" ref="I4:I20" si="1">$F$23-F3+G4+H4</f>
        <v>1579</v>
      </c>
      <c r="J4" s="13">
        <f>E4*K3/I4</f>
        <v>49.968334388853705</v>
      </c>
      <c r="K4" s="13">
        <f>K3-J4</f>
        <v>1528.0316656111463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46</v>
      </c>
      <c r="F5" s="1">
        <f t="shared" ref="F5:F18" si="2">E5+F4</f>
        <v>138</v>
      </c>
      <c r="G5" s="40">
        <v>1</v>
      </c>
      <c r="H5" s="40">
        <v>0</v>
      </c>
      <c r="I5" s="40">
        <f>$F$23-F4+G5+H5</f>
        <v>1529</v>
      </c>
      <c r="J5" s="13">
        <f>E5*K4/I5</f>
        <v>45.970867637745407</v>
      </c>
      <c r="K5" s="13">
        <f>K4-J5</f>
        <v>1482.0607979734009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48</v>
      </c>
      <c r="F6" s="1">
        <f t="shared" si="2"/>
        <v>186</v>
      </c>
      <c r="G6" s="40">
        <v>1</v>
      </c>
      <c r="H6" s="40">
        <v>0</v>
      </c>
      <c r="I6" s="40">
        <f t="shared" si="1"/>
        <v>1483</v>
      </c>
      <c r="J6" s="13">
        <f>E6*K5/I6</f>
        <v>47.969601013299553</v>
      </c>
      <c r="K6" s="13">
        <f t="shared" ref="K6:K13" si="3">K5-J6</f>
        <v>1434.0911969601013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46</v>
      </c>
      <c r="F7" s="1">
        <f t="shared" si="2"/>
        <v>232</v>
      </c>
      <c r="G7" s="40">
        <v>2</v>
      </c>
      <c r="H7" s="40">
        <v>0</v>
      </c>
      <c r="I7" s="40">
        <f t="shared" si="1"/>
        <v>1436</v>
      </c>
      <c r="J7" s="13">
        <f>E7*K6/I7</f>
        <v>45.938854498721916</v>
      </c>
      <c r="K7" s="13">
        <f>K6-J7</f>
        <v>1388.1523424613795</v>
      </c>
    </row>
    <row r="8" spans="1:11">
      <c r="A8" s="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">
        <v>48</v>
      </c>
      <c r="F8" s="1">
        <f t="shared" si="2"/>
        <v>280</v>
      </c>
      <c r="G8" s="40">
        <v>4</v>
      </c>
      <c r="H8" s="40">
        <v>0</v>
      </c>
      <c r="I8" s="40">
        <f t="shared" si="1"/>
        <v>1392</v>
      </c>
      <c r="J8" s="13">
        <f t="shared" ref="J8:J13" si="5">E8*K7/I8</f>
        <v>47.867322153840668</v>
      </c>
      <c r="K8" s="13">
        <f t="shared" si="3"/>
        <v>1340.2850203075388</v>
      </c>
    </row>
    <row r="9" spans="1:11">
      <c r="A9" s="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">
        <v>44</v>
      </c>
      <c r="F9" s="1">
        <f t="shared" si="2"/>
        <v>324</v>
      </c>
      <c r="G9" s="40">
        <v>10</v>
      </c>
      <c r="H9" s="40">
        <v>0</v>
      </c>
      <c r="I9" s="40">
        <f t="shared" si="1"/>
        <v>1350</v>
      </c>
      <c r="J9" s="13">
        <f t="shared" si="5"/>
        <v>43.683363624838307</v>
      </c>
      <c r="K9" s="13">
        <f t="shared" si="3"/>
        <v>1296.6016566827006</v>
      </c>
    </row>
    <row r="10" spans="1:11">
      <c r="A10" s="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">
        <v>43</v>
      </c>
      <c r="F10" s="1">
        <f t="shared" si="2"/>
        <v>367</v>
      </c>
      <c r="G10" s="40">
        <v>20</v>
      </c>
      <c r="H10" s="40">
        <v>0</v>
      </c>
      <c r="I10" s="40">
        <f t="shared" si="1"/>
        <v>1316</v>
      </c>
      <c r="J10" s="13">
        <f t="shared" si="5"/>
        <v>42.366163554221984</v>
      </c>
      <c r="K10" s="13">
        <f t="shared" si="3"/>
        <v>1254.2354931284788</v>
      </c>
    </row>
    <row r="11" spans="1:11">
      <c r="A11" s="1">
        <v>7</v>
      </c>
      <c r="B11" s="32">
        <v>80</v>
      </c>
      <c r="C11" s="32">
        <f t="shared" si="4"/>
        <v>600</v>
      </c>
      <c r="D11" s="13">
        <f t="shared" si="0"/>
        <v>10</v>
      </c>
      <c r="E11" s="1">
        <v>46</v>
      </c>
      <c r="F11" s="1">
        <f t="shared" si="2"/>
        <v>413</v>
      </c>
      <c r="G11" s="40">
        <v>31</v>
      </c>
      <c r="H11" s="40">
        <v>0</v>
      </c>
      <c r="I11" s="40">
        <f t="shared" si="1"/>
        <v>1284</v>
      </c>
      <c r="J11" s="13">
        <f t="shared" si="5"/>
        <v>44.933670314571671</v>
      </c>
      <c r="K11" s="13">
        <f t="shared" si="3"/>
        <v>1209.3018228139072</v>
      </c>
    </row>
    <row r="12" spans="1:11">
      <c r="A12" s="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">
        <v>46</v>
      </c>
      <c r="F12" s="1">
        <f t="shared" si="2"/>
        <v>459</v>
      </c>
      <c r="G12" s="40">
        <v>46</v>
      </c>
      <c r="H12" s="40">
        <v>0</v>
      </c>
      <c r="I12" s="40">
        <f t="shared" si="1"/>
        <v>1253</v>
      </c>
      <c r="J12" s="13">
        <f t="shared" si="5"/>
        <v>44.395757262122686</v>
      </c>
      <c r="K12" s="13">
        <f t="shared" si="3"/>
        <v>1164.9060655517844</v>
      </c>
    </row>
    <row r="13" spans="1:11">
      <c r="A13" s="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">
        <v>36</v>
      </c>
      <c r="F13" s="1">
        <f t="shared" si="2"/>
        <v>495</v>
      </c>
      <c r="G13" s="40">
        <v>61</v>
      </c>
      <c r="H13" s="40">
        <v>0</v>
      </c>
      <c r="I13" s="40">
        <f t="shared" si="1"/>
        <v>1222</v>
      </c>
      <c r="J13" s="13">
        <f t="shared" si="5"/>
        <v>34.318018297761242</v>
      </c>
      <c r="K13" s="13">
        <f t="shared" si="3"/>
        <v>1130.5880472540232</v>
      </c>
    </row>
    <row r="14" spans="1:11">
      <c r="A14" s="37">
        <v>10</v>
      </c>
      <c r="B14" s="32">
        <v>80</v>
      </c>
      <c r="C14" s="32">
        <f t="shared" si="4"/>
        <v>840</v>
      </c>
      <c r="D14" s="13">
        <f t="shared" si="0"/>
        <v>14</v>
      </c>
      <c r="E14" s="3">
        <v>46</v>
      </c>
      <c r="F14" s="37">
        <f t="shared" si="2"/>
        <v>541</v>
      </c>
      <c r="G14" s="40">
        <v>73</v>
      </c>
      <c r="H14" s="40">
        <v>0</v>
      </c>
      <c r="I14" s="40">
        <f t="shared" si="1"/>
        <v>1198</v>
      </c>
      <c r="J14" s="13">
        <f t="shared" ref="J14:J19" si="6">E14*K13/I14</f>
        <v>43.411561079870673</v>
      </c>
      <c r="K14" s="13">
        <f t="shared" ref="K14:K19" si="7">K13-J14</f>
        <v>1087.1764861741526</v>
      </c>
    </row>
    <row r="15" spans="1:11">
      <c r="A15" s="37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84">
        <v>45</v>
      </c>
      <c r="F15" s="37">
        <f t="shared" si="2"/>
        <v>586</v>
      </c>
      <c r="G15" s="40">
        <v>80</v>
      </c>
      <c r="H15" s="40">
        <v>0</v>
      </c>
      <c r="I15" s="40">
        <f t="shared" si="1"/>
        <v>1159</v>
      </c>
      <c r="J15" s="13">
        <f t="shared" si="6"/>
        <v>42.21133898001456</v>
      </c>
      <c r="K15" s="13">
        <f t="shared" si="7"/>
        <v>1044.9651471941381</v>
      </c>
    </row>
    <row r="16" spans="1:11">
      <c r="A16" s="37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37">
        <v>45</v>
      </c>
      <c r="F16" s="37">
        <f t="shared" si="2"/>
        <v>631</v>
      </c>
      <c r="G16" s="40">
        <v>80</v>
      </c>
      <c r="H16" s="40">
        <v>0</v>
      </c>
      <c r="I16" s="40">
        <f t="shared" si="1"/>
        <v>1114</v>
      </c>
      <c r="J16" s="13">
        <f t="shared" si="6"/>
        <v>42.211338980014553</v>
      </c>
      <c r="K16" s="13">
        <f t="shared" si="7"/>
        <v>1002.7538082141235</v>
      </c>
    </row>
    <row r="17" spans="1:11">
      <c r="A17" s="37">
        <v>13</v>
      </c>
      <c r="B17" s="32">
        <v>80</v>
      </c>
      <c r="C17" s="32">
        <f t="shared" si="4"/>
        <v>1080</v>
      </c>
      <c r="D17" s="13">
        <f t="shared" si="0"/>
        <v>18</v>
      </c>
      <c r="E17" s="37">
        <v>43</v>
      </c>
      <c r="F17" s="37">
        <f t="shared" si="2"/>
        <v>674</v>
      </c>
      <c r="G17" s="40">
        <v>80</v>
      </c>
      <c r="H17" s="40">
        <v>1</v>
      </c>
      <c r="I17" s="40">
        <f t="shared" si="1"/>
        <v>1070</v>
      </c>
      <c r="J17" s="13">
        <f t="shared" si="6"/>
        <v>40.297582946922724</v>
      </c>
      <c r="K17" s="13">
        <f t="shared" si="7"/>
        <v>962.45622526720081</v>
      </c>
    </row>
    <row r="18" spans="1:11">
      <c r="A18" s="37">
        <v>14</v>
      </c>
      <c r="B18" s="32">
        <v>360</v>
      </c>
      <c r="C18" s="32">
        <f t="shared" si="4"/>
        <v>1440</v>
      </c>
      <c r="D18" s="13">
        <f t="shared" si="0"/>
        <v>24</v>
      </c>
      <c r="E18" s="37">
        <v>50</v>
      </c>
      <c r="F18" s="37">
        <f t="shared" si="2"/>
        <v>724</v>
      </c>
      <c r="G18" s="40">
        <v>80</v>
      </c>
      <c r="H18" s="40">
        <v>4</v>
      </c>
      <c r="I18" s="40">
        <f t="shared" si="1"/>
        <v>1030</v>
      </c>
      <c r="J18" s="13">
        <f t="shared" si="6"/>
        <v>46.721175983844695</v>
      </c>
      <c r="K18" s="13">
        <f t="shared" si="7"/>
        <v>915.73504928335615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50</v>
      </c>
      <c r="F19" s="37">
        <f>E19+F18</f>
        <v>774</v>
      </c>
      <c r="G19" s="40">
        <v>80</v>
      </c>
      <c r="H19" s="40">
        <v>4</v>
      </c>
      <c r="I19" s="40">
        <f t="shared" si="1"/>
        <v>980</v>
      </c>
      <c r="J19" s="13">
        <f t="shared" si="6"/>
        <v>46.721175983844702</v>
      </c>
      <c r="K19" s="13">
        <f t="shared" si="7"/>
        <v>869.01387329951149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50</v>
      </c>
      <c r="F20" s="40">
        <f t="shared" ref="F20" si="8">E20+F19</f>
        <v>824</v>
      </c>
      <c r="G20" s="40">
        <v>80</v>
      </c>
      <c r="H20" s="40">
        <v>4</v>
      </c>
      <c r="I20" s="40">
        <f t="shared" si="1"/>
        <v>930</v>
      </c>
      <c r="J20" s="13">
        <f t="shared" ref="J20" si="9">E20*K19/I20</f>
        <v>46.721175983844702</v>
      </c>
      <c r="K20" s="13">
        <f t="shared" ref="K20" si="10">K19-J20</f>
        <v>822.29269731566683</v>
      </c>
    </row>
    <row r="22" spans="1:11">
      <c r="A22" s="129" t="s">
        <v>15</v>
      </c>
      <c r="B22" s="130"/>
      <c r="C22" s="130"/>
      <c r="D22" s="130"/>
      <c r="E22" s="131"/>
      <c r="F22" s="1">
        <v>1500</v>
      </c>
    </row>
    <row r="23" spans="1:11">
      <c r="A23" s="129" t="s">
        <v>15</v>
      </c>
      <c r="B23" s="130"/>
      <c r="C23" s="130"/>
      <c r="D23" s="130"/>
      <c r="E23" s="131"/>
      <c r="F23" s="40">
        <v>1620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61" t="s">
        <v>67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60</v>
      </c>
      <c r="C6" s="28" t="s">
        <v>19</v>
      </c>
      <c r="D6" s="166"/>
      <c r="E6" s="166"/>
      <c r="F6" s="166"/>
      <c r="G6" s="168"/>
      <c r="H6" s="168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61" t="s">
        <v>66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8" t="s">
        <v>4</v>
      </c>
      <c r="B6" s="28" t="s">
        <v>60</v>
      </c>
      <c r="C6" s="28" t="s">
        <v>19</v>
      </c>
      <c r="D6" s="166"/>
      <c r="E6" s="166"/>
      <c r="F6" s="166"/>
      <c r="G6" s="168"/>
      <c r="H6" s="168"/>
    </row>
    <row r="7" spans="1:8">
      <c r="A7" s="67">
        <v>0</v>
      </c>
      <c r="B7" s="64">
        <v>-0.16666666666666666</v>
      </c>
      <c r="C7" s="16">
        <v>2</v>
      </c>
      <c r="D7" s="82">
        <v>0</v>
      </c>
      <c r="E7" s="83">
        <v>0</v>
      </c>
      <c r="F7" s="83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82">
        <v>0</v>
      </c>
      <c r="E8" s="83">
        <v>0</v>
      </c>
      <c r="F8" s="83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8">
        <v>1</v>
      </c>
      <c r="B9" s="66">
        <v>2</v>
      </c>
      <c r="C9" s="16">
        <v>2</v>
      </c>
      <c r="D9" s="56">
        <v>7.0000000000000001E-3</v>
      </c>
      <c r="E9" s="57">
        <v>8.9999999999999993E-3</v>
      </c>
      <c r="F9" s="57">
        <v>1.0999999999999999E-2</v>
      </c>
      <c r="G9" s="16">
        <f t="shared" ref="G9:G17" si="1">(C9*1000*AVERAGE(D9:F9))/$B$2</f>
        <v>0.20429009193054137</v>
      </c>
      <c r="H9" s="19">
        <f t="shared" si="0"/>
        <v>4.5397798206786959E-2</v>
      </c>
    </row>
    <row r="10" spans="1:8">
      <c r="A10" s="68">
        <v>2</v>
      </c>
      <c r="B10" s="66">
        <v>3.3333333333333335</v>
      </c>
      <c r="C10" s="16">
        <v>2</v>
      </c>
      <c r="D10" s="55">
        <v>6.0000000000000001E-3</v>
      </c>
      <c r="E10" s="55">
        <v>6.0000000000000001E-3</v>
      </c>
      <c r="F10" s="55">
        <v>8.0000000000000002E-3</v>
      </c>
      <c r="G10" s="16">
        <f t="shared" si="1"/>
        <v>0.15132599402262326</v>
      </c>
      <c r="H10" s="19">
        <f t="shared" si="0"/>
        <v>2.6210431015304771E-2</v>
      </c>
    </row>
    <row r="11" spans="1:8">
      <c r="A11" s="68">
        <v>3</v>
      </c>
      <c r="B11" s="66">
        <v>4.666666666666667</v>
      </c>
      <c r="C11" s="16">
        <v>2</v>
      </c>
      <c r="D11" s="55">
        <v>1.7000000000000001E-2</v>
      </c>
      <c r="E11" s="55">
        <v>1.4999999999999999E-2</v>
      </c>
      <c r="F11" s="55">
        <v>1.7000000000000001E-2</v>
      </c>
      <c r="G11" s="16">
        <f t="shared" si="1"/>
        <v>0.37074868535542699</v>
      </c>
      <c r="H11" s="19">
        <f t="shared" si="0"/>
        <v>2.6210431015304785E-2</v>
      </c>
    </row>
    <row r="12" spans="1:8">
      <c r="A12" s="68">
        <v>4</v>
      </c>
      <c r="B12" s="66">
        <v>6</v>
      </c>
      <c r="C12" s="16">
        <v>2</v>
      </c>
      <c r="D12" s="55">
        <v>7.3999999999999996E-2</v>
      </c>
      <c r="E12" s="55">
        <v>8.2000000000000003E-2</v>
      </c>
      <c r="F12" s="55">
        <v>8.5000000000000006E-2</v>
      </c>
      <c r="G12" s="16">
        <f t="shared" si="1"/>
        <v>1.8234782279726098</v>
      </c>
      <c r="H12" s="19">
        <f t="shared" si="0"/>
        <v>0.12907140399676159</v>
      </c>
    </row>
    <row r="13" spans="1:8">
      <c r="A13" s="68">
        <v>5</v>
      </c>
      <c r="B13" s="66">
        <v>7.333333333333333</v>
      </c>
      <c r="C13" s="16">
        <v>2</v>
      </c>
      <c r="D13" s="55">
        <v>0.17599999999999999</v>
      </c>
      <c r="E13" s="55">
        <v>0.17699999999999999</v>
      </c>
      <c r="F13" s="55">
        <v>0.17499999999999999</v>
      </c>
      <c r="G13" s="16">
        <f t="shared" si="1"/>
        <v>3.9950062421972543</v>
      </c>
      <c r="H13" s="19">
        <f t="shared" si="0"/>
        <v>2.2698899103393507E-2</v>
      </c>
    </row>
    <row r="14" spans="1:8">
      <c r="A14" s="68">
        <v>6</v>
      </c>
      <c r="B14" s="66">
        <v>8.6666666666666661</v>
      </c>
      <c r="C14" s="16">
        <v>2</v>
      </c>
      <c r="D14" s="55">
        <v>0.33500000000000002</v>
      </c>
      <c r="E14" s="55">
        <v>0.34100000000000003</v>
      </c>
      <c r="F14" s="55">
        <v>0.34300000000000003</v>
      </c>
      <c r="G14" s="16">
        <f t="shared" si="1"/>
        <v>7.7100593954526557</v>
      </c>
      <c r="H14" s="19">
        <f t="shared" si="0"/>
        <v>9.4503052977693111E-2</v>
      </c>
    </row>
    <row r="15" spans="1:8">
      <c r="A15" s="68">
        <v>7</v>
      </c>
      <c r="B15" s="66">
        <v>10</v>
      </c>
      <c r="C15" s="16">
        <v>2</v>
      </c>
      <c r="D15" s="58">
        <v>0.52200000000000002</v>
      </c>
      <c r="E15" s="58">
        <v>0.52700000000000002</v>
      </c>
      <c r="F15" s="58">
        <v>0.52400000000000002</v>
      </c>
      <c r="G15" s="16">
        <f t="shared" si="1"/>
        <v>11.901789429879319</v>
      </c>
      <c r="H15" s="19">
        <f t="shared" si="0"/>
        <v>5.7124310031178877E-2</v>
      </c>
    </row>
    <row r="16" spans="1:8">
      <c r="A16" s="68">
        <v>8</v>
      </c>
      <c r="B16" s="66">
        <v>11.333333333333334</v>
      </c>
      <c r="C16" s="16">
        <v>2</v>
      </c>
      <c r="D16" s="58">
        <v>0.70599999999999996</v>
      </c>
      <c r="E16" s="58">
        <v>0.68799999999999994</v>
      </c>
      <c r="F16" s="58">
        <v>0.71799999999999997</v>
      </c>
      <c r="G16" s="16">
        <f t="shared" si="1"/>
        <v>15.980024968789017</v>
      </c>
      <c r="H16" s="19">
        <f t="shared" si="0"/>
        <v>0.34274586018707326</v>
      </c>
    </row>
    <row r="17" spans="1:8">
      <c r="A17" s="68">
        <v>9</v>
      </c>
      <c r="B17" s="66">
        <v>12.666666666666666</v>
      </c>
      <c r="C17" s="16">
        <v>2</v>
      </c>
      <c r="D17" s="58">
        <v>0.85299999999999998</v>
      </c>
      <c r="E17" s="58">
        <v>0.86399999999999999</v>
      </c>
      <c r="F17" s="58">
        <v>0.85799999999999998</v>
      </c>
      <c r="G17" s="16">
        <f t="shared" si="1"/>
        <v>19.483221730412744</v>
      </c>
      <c r="H17" s="19">
        <f t="shared" si="0"/>
        <v>0.12501578815766898</v>
      </c>
    </row>
    <row r="18" spans="1:8">
      <c r="A18" s="68">
        <v>10</v>
      </c>
      <c r="B18" s="66">
        <v>14</v>
      </c>
      <c r="C18" s="16">
        <v>2</v>
      </c>
      <c r="D18" s="58">
        <v>0.92800000000000005</v>
      </c>
      <c r="E18" s="58">
        <v>0.92900000000000005</v>
      </c>
      <c r="F18" s="58">
        <v>0.94099999999999995</v>
      </c>
      <c r="G18" s="16">
        <f t="shared" ref="G18:G23" si="2">(C18*1000*AVERAGE(D18:F18))/$B$2</f>
        <v>21.170506563764992</v>
      </c>
      <c r="H18" s="19">
        <f t="shared" ref="H18:H23" si="3">(C18*1000*STDEV(D18:F18))/$B$2</f>
        <v>0.1642078796520299</v>
      </c>
    </row>
    <row r="19" spans="1:8">
      <c r="A19" s="68">
        <v>11</v>
      </c>
      <c r="B19" s="66">
        <v>15.333333333333334</v>
      </c>
      <c r="C19" s="16">
        <v>2</v>
      </c>
      <c r="D19" s="58">
        <v>0.93100000000000005</v>
      </c>
      <c r="E19" s="58">
        <v>0.91600000000000004</v>
      </c>
      <c r="F19" s="58">
        <v>0.91200000000000003</v>
      </c>
      <c r="G19" s="16">
        <f t="shared" si="2"/>
        <v>20.875420875420875</v>
      </c>
      <c r="H19" s="19">
        <f t="shared" si="3"/>
        <v>0.22736699128084942</v>
      </c>
    </row>
    <row r="20" spans="1:8">
      <c r="A20" s="68">
        <v>12</v>
      </c>
      <c r="B20" s="66">
        <v>16.666666666666668</v>
      </c>
      <c r="C20" s="16">
        <v>2</v>
      </c>
      <c r="D20" s="58">
        <v>0.97099999999999997</v>
      </c>
      <c r="E20" s="58">
        <v>0.94199999999999995</v>
      </c>
      <c r="F20" s="58">
        <v>0.98</v>
      </c>
      <c r="G20" s="16">
        <f t="shared" si="2"/>
        <v>21.889305035372448</v>
      </c>
      <c r="H20" s="19">
        <f t="shared" si="3"/>
        <v>0.45075083444501923</v>
      </c>
    </row>
    <row r="21" spans="1:8">
      <c r="A21" s="68">
        <v>13</v>
      </c>
      <c r="B21" s="66">
        <v>18</v>
      </c>
      <c r="C21" s="16">
        <v>2</v>
      </c>
      <c r="D21" s="58">
        <v>0.97499999999999998</v>
      </c>
      <c r="E21" s="58">
        <v>0.97799999999999998</v>
      </c>
      <c r="F21" s="58">
        <v>0.98799999999999999</v>
      </c>
      <c r="G21" s="16">
        <f t="shared" si="2"/>
        <v>22.252487421026746</v>
      </c>
      <c r="H21" s="19">
        <f t="shared" si="3"/>
        <v>0.15450821213378849</v>
      </c>
    </row>
    <row r="22" spans="1:8">
      <c r="A22" s="68">
        <v>14</v>
      </c>
      <c r="B22" s="66">
        <v>24</v>
      </c>
      <c r="C22" s="16">
        <v>2</v>
      </c>
      <c r="D22" s="58">
        <v>1.004</v>
      </c>
      <c r="E22" s="58">
        <v>1.02</v>
      </c>
      <c r="F22" s="58">
        <v>1.0149999999999999</v>
      </c>
      <c r="G22" s="16">
        <f t="shared" si="2"/>
        <v>22.993984791737599</v>
      </c>
      <c r="H22" s="19">
        <f t="shared" si="3"/>
        <v>0.18579849669441481</v>
      </c>
    </row>
    <row r="23" spans="1:8">
      <c r="A23" s="68">
        <v>15</v>
      </c>
      <c r="B23" s="66">
        <v>30</v>
      </c>
      <c r="C23" s="16">
        <v>2</v>
      </c>
      <c r="D23" s="58">
        <v>0.99</v>
      </c>
      <c r="E23" s="58">
        <v>0.97899999999999998</v>
      </c>
      <c r="F23" s="58">
        <v>1.022</v>
      </c>
      <c r="G23" s="16">
        <f t="shared" si="2"/>
        <v>22.630802406083301</v>
      </c>
      <c r="H23" s="19">
        <f t="shared" si="3"/>
        <v>0.50705499724636693</v>
      </c>
    </row>
    <row r="24" spans="1:8">
      <c r="A24" s="68">
        <v>16</v>
      </c>
      <c r="B24" s="66">
        <v>48</v>
      </c>
      <c r="C24" s="16">
        <v>2</v>
      </c>
      <c r="D24" s="58">
        <v>1.0660000000000001</v>
      </c>
      <c r="E24" s="58">
        <v>1.0629999999999999</v>
      </c>
      <c r="F24" s="58">
        <v>1.091</v>
      </c>
      <c r="G24" s="16">
        <f t="shared" ref="G24" si="4">(C24*1000*AVERAGE(D24:F24))/$B$2</f>
        <v>24.363485037642338</v>
      </c>
      <c r="H24" s="19">
        <f t="shared" ref="H24" si="5">(C24*1000*STDEV(D24:F24))/$B$2</f>
        <v>0.34895327984262692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61" t="s">
        <v>42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2" t="s">
        <v>4</v>
      </c>
      <c r="B6" s="22" t="s">
        <v>60</v>
      </c>
      <c r="C6" s="22" t="s">
        <v>19</v>
      </c>
      <c r="D6" s="166"/>
      <c r="E6" s="166"/>
      <c r="F6" s="166"/>
      <c r="G6" s="168"/>
      <c r="H6" s="168"/>
    </row>
    <row r="7" spans="1:8">
      <c r="A7" s="67">
        <v>0</v>
      </c>
      <c r="B7" s="64">
        <v>-0.16666666666666666</v>
      </c>
      <c r="C7" s="16">
        <v>2</v>
      </c>
      <c r="D7" s="42">
        <v>1.7999999999999999E-2</v>
      </c>
      <c r="E7" s="42">
        <v>1.9E-2</v>
      </c>
      <c r="F7" s="42">
        <v>1.9E-2</v>
      </c>
      <c r="G7" s="16">
        <f>(C7*1000*AVERAGE(D7:F7))/$B$2</f>
        <v>0.41444641799881582</v>
      </c>
      <c r="H7" s="19">
        <f>(C7*1000*STDEV(D7:F7))/$B$2</f>
        <v>1.2818611660515679E-2</v>
      </c>
    </row>
    <row r="8" spans="1:8">
      <c r="A8" s="68">
        <v>0</v>
      </c>
      <c r="B8" s="66">
        <v>0.16666666666666666</v>
      </c>
      <c r="C8" s="16">
        <v>2</v>
      </c>
      <c r="D8" s="42">
        <v>2.1000000000000001E-2</v>
      </c>
      <c r="E8" s="42">
        <v>2.1999999999999999E-2</v>
      </c>
      <c r="F8" s="42">
        <v>2.3E-2</v>
      </c>
      <c r="G8" s="16">
        <f t="shared" ref="G8:G23" si="0">(C8*1000*AVERAGE(D8:F8))/$B$2</f>
        <v>0.48845470692717591</v>
      </c>
      <c r="H8" s="19">
        <f t="shared" ref="H8:H23" si="1">(C8*1000*STDEV(D8:F8))/$B$2</f>
        <v>2.2202486678507972E-2</v>
      </c>
    </row>
    <row r="9" spans="1:8">
      <c r="A9" s="68">
        <v>1</v>
      </c>
      <c r="B9" s="66">
        <v>2</v>
      </c>
      <c r="C9" s="16">
        <v>2</v>
      </c>
      <c r="D9" s="42">
        <v>2.4E-2</v>
      </c>
      <c r="E9" s="42">
        <v>2.4E-2</v>
      </c>
      <c r="F9" s="42">
        <v>2.4E-2</v>
      </c>
      <c r="G9" s="16">
        <f t="shared" si="0"/>
        <v>0.53285968028419195</v>
      </c>
      <c r="H9" s="19">
        <f t="shared" si="1"/>
        <v>9.4342525776429169E-17</v>
      </c>
    </row>
    <row r="10" spans="1:8">
      <c r="A10" s="68">
        <v>2</v>
      </c>
      <c r="B10" s="66">
        <v>3.3333333333333335</v>
      </c>
      <c r="C10" s="16">
        <v>2</v>
      </c>
      <c r="D10" s="55">
        <v>2.4E-2</v>
      </c>
      <c r="E10" s="55">
        <v>2.5000000000000001E-2</v>
      </c>
      <c r="F10" s="55">
        <v>2.5999999999999999E-2</v>
      </c>
      <c r="G10" s="16">
        <f t="shared" si="0"/>
        <v>0.55506216696269972</v>
      </c>
      <c r="H10" s="19">
        <f t="shared" si="1"/>
        <v>2.2202486678507972E-2</v>
      </c>
    </row>
    <row r="11" spans="1:8">
      <c r="A11" s="68">
        <v>3</v>
      </c>
      <c r="B11" s="66">
        <v>4.666666666666667</v>
      </c>
      <c r="C11" s="16">
        <v>2</v>
      </c>
      <c r="D11" s="55">
        <v>2.5999999999999999E-2</v>
      </c>
      <c r="E11" s="55">
        <v>2.5000000000000001E-2</v>
      </c>
      <c r="F11" s="55">
        <v>2.5999999999999999E-2</v>
      </c>
      <c r="G11" s="16">
        <f t="shared" si="0"/>
        <v>0.56986382474837183</v>
      </c>
      <c r="H11" s="19">
        <f t="shared" si="1"/>
        <v>1.2818611660515638E-2</v>
      </c>
    </row>
    <row r="12" spans="1:8">
      <c r="A12" s="68">
        <v>4</v>
      </c>
      <c r="B12" s="66">
        <v>6</v>
      </c>
      <c r="C12" s="16">
        <v>2</v>
      </c>
      <c r="D12" s="55">
        <v>2.7E-2</v>
      </c>
      <c r="E12" s="55">
        <v>2.8000000000000001E-2</v>
      </c>
      <c r="F12" s="55">
        <v>2.9000000000000001E-2</v>
      </c>
      <c r="G12" s="16">
        <f t="shared" si="0"/>
        <v>0.62166962699822381</v>
      </c>
      <c r="H12" s="19">
        <f t="shared" si="1"/>
        <v>2.2202486678508014E-2</v>
      </c>
    </row>
    <row r="13" spans="1:8">
      <c r="A13" s="68">
        <v>5</v>
      </c>
      <c r="B13" s="66">
        <v>7.333333333333333</v>
      </c>
      <c r="C13" s="16">
        <v>2</v>
      </c>
      <c r="D13" s="55">
        <v>2.8000000000000001E-2</v>
      </c>
      <c r="E13" s="55">
        <v>2.8000000000000001E-2</v>
      </c>
      <c r="F13" s="55">
        <v>2.9000000000000001E-2</v>
      </c>
      <c r="G13" s="16">
        <f t="shared" si="0"/>
        <v>0.62907045589105981</v>
      </c>
      <c r="H13" s="19">
        <f t="shared" si="1"/>
        <v>1.2818611660515681E-2</v>
      </c>
    </row>
    <row r="14" spans="1:8">
      <c r="A14" s="68">
        <v>6</v>
      </c>
      <c r="B14" s="66">
        <v>8.6666666666666661</v>
      </c>
      <c r="C14" s="16">
        <v>2</v>
      </c>
      <c r="D14" s="55">
        <v>2.7E-2</v>
      </c>
      <c r="E14" s="55">
        <v>2.8000000000000001E-2</v>
      </c>
      <c r="F14" s="55">
        <v>2.8000000000000001E-2</v>
      </c>
      <c r="G14" s="16">
        <f t="shared" si="0"/>
        <v>0.61426879810538781</v>
      </c>
      <c r="H14" s="19">
        <f t="shared" si="1"/>
        <v>1.2818611660515681E-2</v>
      </c>
    </row>
    <row r="15" spans="1:8">
      <c r="A15" s="68">
        <v>7</v>
      </c>
      <c r="B15" s="66">
        <v>10</v>
      </c>
      <c r="C15" s="16">
        <v>2</v>
      </c>
      <c r="D15" s="55">
        <v>2.7E-2</v>
      </c>
      <c r="E15" s="55">
        <v>2.5999999999999999E-2</v>
      </c>
      <c r="F15" s="55">
        <v>2.8000000000000001E-2</v>
      </c>
      <c r="G15" s="16">
        <f t="shared" si="0"/>
        <v>0.59946714031971582</v>
      </c>
      <c r="H15" s="19">
        <f t="shared" si="1"/>
        <v>2.2202486678508014E-2</v>
      </c>
    </row>
    <row r="16" spans="1:8">
      <c r="A16" s="68">
        <v>8</v>
      </c>
      <c r="B16" s="66">
        <v>11.333333333333334</v>
      </c>
      <c r="C16" s="16">
        <v>2</v>
      </c>
      <c r="D16" s="55">
        <v>4.7E-2</v>
      </c>
      <c r="E16" s="55">
        <v>4.2999999999999997E-2</v>
      </c>
      <c r="F16" s="55">
        <v>4.5999999999999999E-2</v>
      </c>
      <c r="G16" s="16">
        <f t="shared" si="0"/>
        <v>1.0065127294256957</v>
      </c>
      <c r="H16" s="19">
        <f t="shared" si="1"/>
        <v>4.6218161622249884E-2</v>
      </c>
    </row>
    <row r="17" spans="1:8">
      <c r="A17" s="68">
        <v>9</v>
      </c>
      <c r="B17" s="66">
        <v>12.666666666666666</v>
      </c>
      <c r="C17" s="16">
        <v>2</v>
      </c>
      <c r="D17" s="55">
        <v>6.9000000000000006E-2</v>
      </c>
      <c r="E17" s="55">
        <v>6.9000000000000006E-2</v>
      </c>
      <c r="F17" s="55">
        <v>6.9000000000000006E-2</v>
      </c>
      <c r="G17" s="16">
        <f t="shared" si="0"/>
        <v>1.5319715808170515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42">
        <v>0.16200000000000001</v>
      </c>
      <c r="E18" s="42">
        <v>0.16</v>
      </c>
      <c r="F18" s="42">
        <v>0.16500000000000001</v>
      </c>
      <c r="G18" s="16">
        <f t="shared" si="0"/>
        <v>3.6042036708111311</v>
      </c>
      <c r="H18" s="19">
        <f t="shared" si="1"/>
        <v>5.5875032824679961E-2</v>
      </c>
    </row>
    <row r="19" spans="1:8">
      <c r="A19" s="68">
        <v>11</v>
      </c>
      <c r="B19" s="66">
        <v>15.333333333333334</v>
      </c>
      <c r="C19" s="16">
        <v>2</v>
      </c>
      <c r="D19" s="55">
        <v>0.27300000000000002</v>
      </c>
      <c r="E19" s="55">
        <v>0.26900000000000002</v>
      </c>
      <c r="F19" s="55">
        <v>0.27600000000000002</v>
      </c>
      <c r="G19" s="16">
        <f t="shared" si="0"/>
        <v>6.0538780343398466</v>
      </c>
      <c r="H19" s="19">
        <f t="shared" si="1"/>
        <v>7.7972570699028632E-2</v>
      </c>
    </row>
    <row r="20" spans="1:8">
      <c r="A20" s="68">
        <v>12</v>
      </c>
      <c r="B20" s="66">
        <v>16.666666666666668</v>
      </c>
      <c r="C20" s="16">
        <v>2</v>
      </c>
      <c r="D20" s="55">
        <v>0.27200000000000002</v>
      </c>
      <c r="E20" s="55">
        <v>0.26100000000000001</v>
      </c>
      <c r="F20" s="55">
        <v>0.27200000000000002</v>
      </c>
      <c r="G20" s="16">
        <f t="shared" si="0"/>
        <v>5.9576672587329789</v>
      </c>
      <c r="H20" s="19">
        <f t="shared" si="1"/>
        <v>0.14100472826567248</v>
      </c>
    </row>
    <row r="21" spans="1:8">
      <c r="A21" s="68">
        <v>13</v>
      </c>
      <c r="B21" s="66">
        <v>18</v>
      </c>
      <c r="C21" s="16">
        <v>2</v>
      </c>
      <c r="D21" s="55">
        <v>0.26900000000000002</v>
      </c>
      <c r="E21" s="55">
        <v>0.26900000000000002</v>
      </c>
      <c r="F21" s="55">
        <v>0.27100000000000002</v>
      </c>
      <c r="G21" s="16">
        <f t="shared" si="0"/>
        <v>5.9872705743043229</v>
      </c>
      <c r="H21" s="19">
        <f t="shared" si="1"/>
        <v>2.5637223321031362E-2</v>
      </c>
    </row>
    <row r="22" spans="1:8">
      <c r="A22" s="68">
        <v>14</v>
      </c>
      <c r="B22" s="66">
        <v>24</v>
      </c>
      <c r="C22" s="16">
        <v>2</v>
      </c>
      <c r="D22" s="55">
        <v>0.27400000000000002</v>
      </c>
      <c r="E22" s="55">
        <v>0.28000000000000003</v>
      </c>
      <c r="F22" s="55">
        <v>0.27800000000000002</v>
      </c>
      <c r="G22" s="16">
        <f t="shared" si="0"/>
        <v>6.157489638839551</v>
      </c>
      <c r="H22" s="19">
        <f t="shared" si="1"/>
        <v>6.7829717213674423E-2</v>
      </c>
    </row>
    <row r="23" spans="1:8">
      <c r="A23" s="68">
        <v>15</v>
      </c>
      <c r="B23" s="66">
        <v>30</v>
      </c>
      <c r="C23" s="16">
        <v>2</v>
      </c>
      <c r="D23" s="55">
        <v>0.27300000000000002</v>
      </c>
      <c r="E23" s="55">
        <v>0.26900000000000002</v>
      </c>
      <c r="F23" s="55">
        <v>0.28100000000000003</v>
      </c>
      <c r="G23" s="16">
        <f t="shared" si="0"/>
        <v>6.0908821788040273</v>
      </c>
      <c r="H23" s="19">
        <f t="shared" si="1"/>
        <v>0.13565943442734885</v>
      </c>
    </row>
    <row r="24" spans="1:8">
      <c r="A24" s="68">
        <v>16</v>
      </c>
      <c r="B24" s="66">
        <v>48</v>
      </c>
      <c r="C24" s="16">
        <v>2</v>
      </c>
      <c r="D24" s="55">
        <v>0.30499999999999999</v>
      </c>
      <c r="E24" s="55">
        <v>0.30499999999999999</v>
      </c>
      <c r="F24" s="55">
        <v>0.317</v>
      </c>
      <c r="G24" s="16">
        <f t="shared" ref="G24" si="2">(C24*1000*AVERAGE(D24:F24))/$B$2</f>
        <v>6.8605683836589701</v>
      </c>
      <c r="H24" s="19">
        <f t="shared" ref="H24" si="3">(C24*1000*STDEV(D24:F24))/$B$2</f>
        <v>0.15382333992618819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61" t="s">
        <v>44</v>
      </c>
      <c r="B4" s="162"/>
      <c r="C4" s="162"/>
      <c r="D4" s="162"/>
      <c r="E4" s="162"/>
      <c r="F4" s="162"/>
      <c r="G4" s="162"/>
      <c r="H4" s="163"/>
    </row>
    <row r="5" spans="1:8">
      <c r="A5" s="164" t="s">
        <v>62</v>
      </c>
      <c r="B5" s="162"/>
      <c r="C5" s="163"/>
      <c r="D5" s="165" t="s">
        <v>45</v>
      </c>
      <c r="E5" s="165" t="s">
        <v>46</v>
      </c>
      <c r="F5" s="165" t="s">
        <v>47</v>
      </c>
      <c r="G5" s="167" t="s">
        <v>63</v>
      </c>
      <c r="H5" s="167" t="s">
        <v>64</v>
      </c>
    </row>
    <row r="6" spans="1:8">
      <c r="A6" s="22" t="s">
        <v>4</v>
      </c>
      <c r="B6" s="22" t="s">
        <v>60</v>
      </c>
      <c r="C6" s="22" t="s">
        <v>19</v>
      </c>
      <c r="D6" s="166"/>
      <c r="E6" s="166"/>
      <c r="F6" s="166"/>
      <c r="G6" s="168"/>
      <c r="H6" s="168"/>
    </row>
    <row r="7" spans="1:8">
      <c r="A7" s="67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8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8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8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8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8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8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8">
        <v>6</v>
      </c>
      <c r="B14" s="66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8">
        <v>7</v>
      </c>
      <c r="B15" s="66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8">
        <v>8</v>
      </c>
      <c r="B16" s="66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8">
        <v>9</v>
      </c>
      <c r="B17" s="66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8">
        <v>10</v>
      </c>
      <c r="B18" s="66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8">
        <v>11</v>
      </c>
      <c r="B19" s="66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8">
        <v>12</v>
      </c>
      <c r="B20" s="66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8">
        <v>13</v>
      </c>
      <c r="B21" s="66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8">
        <v>14</v>
      </c>
      <c r="B22" s="66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8">
        <v>15</v>
      </c>
      <c r="B23" s="66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8">
        <v>16</v>
      </c>
      <c r="B24" s="66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30.5" customWidth="1"/>
  </cols>
  <sheetData>
    <row r="1" spans="1:5">
      <c r="B1" s="30" t="s">
        <v>78</v>
      </c>
      <c r="C1" s="30" t="s">
        <v>79</v>
      </c>
    </row>
    <row r="2" spans="1:5">
      <c r="A2" s="30" t="s">
        <v>144</v>
      </c>
      <c r="B2" s="31">
        <f>Metabolites!H4-Metabolites!H20</f>
        <v>50.135362942652129</v>
      </c>
      <c r="C2" s="31">
        <f>Metabolites!I4+Metabolites!I20</f>
        <v>0.45751185474964312</v>
      </c>
    </row>
    <row r="3" spans="1:5">
      <c r="A3" s="30" t="s">
        <v>183</v>
      </c>
      <c r="B3" s="31">
        <f>Metabolites!P20-Metabolites!P4</f>
        <v>57.606635193905412</v>
      </c>
      <c r="C3" s="31">
        <f>Metabolites!Q4+Metabolites!Q20</f>
        <v>1.3178838652529594</v>
      </c>
    </row>
    <row r="4" spans="1:5">
      <c r="A4" s="30" t="s">
        <v>184</v>
      </c>
      <c r="B4" s="31">
        <f>Metabolites!T4-Metabolites!T20</f>
        <v>1.2463538180358671</v>
      </c>
      <c r="C4" s="31">
        <f>Metabolites!U4+Metabolites!U20</f>
        <v>2.5101722523785803E-2</v>
      </c>
    </row>
    <row r="5" spans="1:5">
      <c r="A5" s="30" t="s">
        <v>123</v>
      </c>
      <c r="B5" s="31">
        <f>Metabolites!L20-Metabolites!L4</f>
        <v>6.8532688235628214</v>
      </c>
      <c r="C5" s="31">
        <f>Metabolites!M20+Metabolites!M4</f>
        <v>0.18683499435993023</v>
      </c>
    </row>
    <row r="6" spans="1:5">
      <c r="A6" s="30" t="s">
        <v>124</v>
      </c>
      <c r="B6" s="31">
        <f>Metabolites!L41-Metabolites!L25</f>
        <v>26.073278898273845</v>
      </c>
      <c r="C6" s="31">
        <f>Metabolites!M41+Metabolites!M25</f>
        <v>0.37344231228606956</v>
      </c>
    </row>
    <row r="7" spans="1:5">
      <c r="A7" s="30" t="s">
        <v>80</v>
      </c>
      <c r="B7" s="31">
        <f>'H2'!G101</f>
        <v>65.301519752905222</v>
      </c>
    </row>
    <row r="8" spans="1:5">
      <c r="A8" s="30" t="s">
        <v>81</v>
      </c>
      <c r="B8" s="31">
        <f>'CO2'!G101</f>
        <v>47.182737635512431</v>
      </c>
    </row>
    <row r="9" spans="1:5">
      <c r="A9" s="30" t="s">
        <v>125</v>
      </c>
      <c r="B9" s="31">
        <f>Calculation!G20*1.5/1000</f>
        <v>0.12</v>
      </c>
    </row>
    <row r="10" spans="1:5" ht="16">
      <c r="A10" s="30" t="s">
        <v>126</v>
      </c>
      <c r="B10" s="31">
        <f>Calculation!H20*1.5/1000</f>
        <v>6.0000000000000001E-3</v>
      </c>
    </row>
    <row r="12" spans="1:5">
      <c r="A12" s="30" t="s">
        <v>82</v>
      </c>
      <c r="B12" s="70">
        <f>((4*$B$6)+(3*$B$5)+(2*$B$3)+(B8))/((6*$B$2)+($B$4))</f>
        <v>0.95097108724400048</v>
      </c>
    </row>
    <row r="14" spans="1:5">
      <c r="A14" s="61"/>
      <c r="B14" s="61"/>
      <c r="C14" s="61" t="s">
        <v>127</v>
      </c>
      <c r="D14" s="61" t="s">
        <v>128</v>
      </c>
    </row>
    <row r="15" spans="1:5">
      <c r="A15" s="61" t="s">
        <v>157</v>
      </c>
      <c r="B15" s="61" t="s">
        <v>129</v>
      </c>
      <c r="C15" s="62">
        <f>B2</f>
        <v>50.135362942652129</v>
      </c>
      <c r="D15" s="62">
        <f>B2</f>
        <v>50.135362942652129</v>
      </c>
      <c r="E15" s="61"/>
    </row>
    <row r="16" spans="1:5">
      <c r="A16" s="61" t="s">
        <v>130</v>
      </c>
      <c r="B16" s="61" t="s">
        <v>131</v>
      </c>
      <c r="C16" s="62">
        <f>2*C15</f>
        <v>100.27072588530426</v>
      </c>
      <c r="D16" s="62">
        <f>2*B2</f>
        <v>100.27072588530426</v>
      </c>
      <c r="E16" s="61"/>
    </row>
    <row r="17" spans="1:5">
      <c r="A17" s="61" t="s">
        <v>132</v>
      </c>
      <c r="B17" s="61" t="s">
        <v>133</v>
      </c>
      <c r="C17" s="62">
        <f>B5</f>
        <v>6.8532688235628214</v>
      </c>
      <c r="D17" s="62">
        <f>B5</f>
        <v>6.8532688235628214</v>
      </c>
      <c r="E17" s="61"/>
    </row>
    <row r="18" spans="1:5">
      <c r="A18" s="61" t="s">
        <v>134</v>
      </c>
      <c r="B18" s="61" t="s">
        <v>135</v>
      </c>
      <c r="C18" s="62">
        <f>B4</f>
        <v>1.2463538180358671</v>
      </c>
      <c r="D18" s="62">
        <f>B4</f>
        <v>1.2463538180358671</v>
      </c>
      <c r="E18" s="61"/>
    </row>
    <row r="19" spans="1:5">
      <c r="A19" s="61" t="s">
        <v>158</v>
      </c>
      <c r="B19" s="61" t="s">
        <v>136</v>
      </c>
      <c r="C19" s="79">
        <f>C16-C17-C18</f>
        <v>92.171103243705559</v>
      </c>
      <c r="D19" s="79">
        <f>B8</f>
        <v>47.182737635512431</v>
      </c>
      <c r="E19" s="61"/>
    </row>
    <row r="20" spans="1:5">
      <c r="A20" s="61" t="s">
        <v>156</v>
      </c>
      <c r="B20" s="61" t="s">
        <v>156</v>
      </c>
      <c r="C20" s="69">
        <f>C16-C17</f>
        <v>93.41745706174143</v>
      </c>
      <c r="D20" s="69"/>
      <c r="E20" s="61"/>
    </row>
    <row r="21" spans="1:5">
      <c r="A21" s="61" t="s">
        <v>159</v>
      </c>
      <c r="B21" s="61" t="s">
        <v>137</v>
      </c>
      <c r="C21" s="62">
        <f>B3</f>
        <v>57.606635193905412</v>
      </c>
      <c r="D21" s="62">
        <f>B3</f>
        <v>57.606635193905412</v>
      </c>
      <c r="E21" s="61"/>
    </row>
    <row r="22" spans="1:5">
      <c r="A22" s="61" t="s">
        <v>160</v>
      </c>
      <c r="B22" s="61" t="s">
        <v>139</v>
      </c>
      <c r="C22" s="62">
        <f>C16-C17+C21</f>
        <v>151.02409225564685</v>
      </c>
      <c r="D22" s="62">
        <f>B6</f>
        <v>26.073278898273845</v>
      </c>
      <c r="E22" s="61"/>
    </row>
    <row r="23" spans="1:5">
      <c r="A23" s="61" t="s">
        <v>161</v>
      </c>
      <c r="B23" s="61" t="s">
        <v>140</v>
      </c>
      <c r="C23" s="79">
        <f>C22/2</f>
        <v>75.512046127823425</v>
      </c>
      <c r="D23" s="79">
        <f>B6</f>
        <v>26.073278898273845</v>
      </c>
      <c r="E23" s="61"/>
    </row>
    <row r="24" spans="1:5">
      <c r="A24" t="s">
        <v>152</v>
      </c>
      <c r="B24" t="s">
        <v>153</v>
      </c>
      <c r="C24" s="31">
        <f>C20-C21</f>
        <v>35.810821867836019</v>
      </c>
      <c r="D24" s="31"/>
      <c r="E24" s="61"/>
    </row>
    <row r="25" spans="1:5">
      <c r="A25" t="s">
        <v>154</v>
      </c>
      <c r="B25" t="s">
        <v>155</v>
      </c>
      <c r="C25" s="78">
        <f>C24-C18</f>
        <v>34.564468049800155</v>
      </c>
      <c r="D25" s="78">
        <f>B7</f>
        <v>65.301519752905222</v>
      </c>
      <c r="E25" s="61"/>
    </row>
    <row r="26" spans="1:5">
      <c r="A26" s="61"/>
      <c r="B26" s="61"/>
      <c r="C26" s="61"/>
      <c r="D26" s="61"/>
      <c r="E26" s="61"/>
    </row>
    <row r="27" spans="1:5">
      <c r="A27" s="61"/>
      <c r="B27" s="61"/>
      <c r="C27" s="61"/>
      <c r="D27" s="61"/>
      <c r="E27" s="61"/>
    </row>
    <row r="28" spans="1:5">
      <c r="A28" s="61"/>
      <c r="B28" s="61"/>
      <c r="C28" s="61"/>
      <c r="D28" s="61"/>
      <c r="E28" s="61"/>
    </row>
    <row r="29" spans="1:5">
      <c r="C29" s="61"/>
      <c r="D29" s="61"/>
      <c r="E29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3" t="s">
        <v>4</v>
      </c>
      <c r="B1" s="133" t="s">
        <v>117</v>
      </c>
      <c r="C1" s="133" t="s">
        <v>117</v>
      </c>
      <c r="D1" s="133" t="s">
        <v>5</v>
      </c>
      <c r="E1" s="138" t="s">
        <v>18</v>
      </c>
      <c r="F1" s="138"/>
      <c r="G1" s="138"/>
      <c r="H1" s="138"/>
      <c r="I1" s="138" t="s">
        <v>20</v>
      </c>
      <c r="J1" s="138"/>
      <c r="K1" s="138"/>
      <c r="L1" s="138"/>
      <c r="M1" s="138" t="s">
        <v>21</v>
      </c>
      <c r="N1" s="138"/>
      <c r="O1" s="138"/>
      <c r="P1" s="138"/>
      <c r="Q1" s="38" t="s">
        <v>22</v>
      </c>
      <c r="R1" s="38" t="s">
        <v>22</v>
      </c>
      <c r="S1" s="38" t="s">
        <v>22</v>
      </c>
    </row>
    <row r="2" spans="1:19">
      <c r="A2" s="134"/>
      <c r="B2" s="134"/>
      <c r="C2" s="134"/>
      <c r="D2" s="134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Q3" s="135"/>
      <c r="R3" s="136"/>
      <c r="S3" s="137"/>
    </row>
    <row r="4" spans="1:19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5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5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5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5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5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5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5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5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5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5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5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5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B1" workbookViewId="0">
      <selection activeCell="J24" sqref="J24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3" t="s">
        <v>4</v>
      </c>
      <c r="B1" s="133" t="s">
        <v>117</v>
      </c>
      <c r="C1" s="133" t="s">
        <v>117</v>
      </c>
      <c r="D1" s="133" t="s">
        <v>5</v>
      </c>
      <c r="E1" s="132" t="s">
        <v>119</v>
      </c>
      <c r="F1" s="132"/>
      <c r="G1" s="132"/>
      <c r="H1" s="132"/>
      <c r="I1" s="132" t="s">
        <v>120</v>
      </c>
      <c r="J1" s="132"/>
      <c r="K1" s="132"/>
      <c r="L1" s="132"/>
      <c r="M1" s="132" t="s">
        <v>121</v>
      </c>
      <c r="N1" s="132"/>
      <c r="O1" s="132"/>
      <c r="P1" s="132"/>
      <c r="Q1" s="24" t="s">
        <v>122</v>
      </c>
      <c r="R1" s="24" t="s">
        <v>122</v>
      </c>
      <c r="S1" s="24" t="s">
        <v>122</v>
      </c>
      <c r="T1" s="59" t="s">
        <v>122</v>
      </c>
      <c r="U1" s="74" t="s">
        <v>119</v>
      </c>
      <c r="V1" s="74" t="s">
        <v>120</v>
      </c>
      <c r="W1" s="74" t="s">
        <v>121</v>
      </c>
      <c r="X1" s="74" t="s">
        <v>122</v>
      </c>
    </row>
    <row r="2" spans="1:24">
      <c r="A2" s="134"/>
      <c r="B2" s="134"/>
      <c r="C2" s="134"/>
      <c r="D2" s="134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0" t="s">
        <v>138</v>
      </c>
      <c r="U2" s="75" t="s">
        <v>148</v>
      </c>
      <c r="V2" s="75" t="s">
        <v>148</v>
      </c>
      <c r="W2" s="75" t="s">
        <v>148</v>
      </c>
      <c r="X2" s="75" t="s">
        <v>149</v>
      </c>
    </row>
    <row r="3" spans="1:24">
      <c r="A3" s="63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9" t="s">
        <v>101</v>
      </c>
      <c r="R3" s="140"/>
      <c r="S3" s="141"/>
      <c r="T3" s="73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5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2</v>
      </c>
      <c r="F4" s="32">
        <v>2643</v>
      </c>
      <c r="G4" s="32">
        <v>7</v>
      </c>
      <c r="H4" s="44">
        <f>('Flow cytometer'!F4/'Flow cytometer'!G4)*POWER(10,'Flow cytometer'!E4+2)*10.2</f>
        <v>38512285.714285709</v>
      </c>
      <c r="I4" s="32">
        <v>2</v>
      </c>
      <c r="J4" s="32">
        <v>3075</v>
      </c>
      <c r="K4" s="32">
        <v>7</v>
      </c>
      <c r="L4" s="44">
        <f>('Flow cytometer'!J4/'Flow cytometer'!K4)*POWER(10,'Flow cytometer'!I4+2)*10.2</f>
        <v>44807142.857142851</v>
      </c>
      <c r="M4" s="32">
        <v>2</v>
      </c>
      <c r="N4" s="32">
        <v>3245</v>
      </c>
      <c r="O4" s="32">
        <v>7</v>
      </c>
      <c r="P4" s="44">
        <f>('Flow cytometer'!N4/'Flow cytometer'!O4)*POWER(10,'Flow cytometer'!M4+2)*10.2</f>
        <v>47284285.714285709</v>
      </c>
      <c r="Q4" s="47">
        <f>AVERAGE(H4,L4,P4)*Calculation!I4/Calculation!K3</f>
        <v>43562159.876878507</v>
      </c>
      <c r="R4" s="48">
        <f>STDEV(H4,L4,P4)*Calculation!I4/Calculation!K3</f>
        <v>4525207.5780107426</v>
      </c>
      <c r="S4" s="49">
        <f>LOG(Q4)</f>
        <v>7.6391094045859242</v>
      </c>
      <c r="T4" s="72">
        <f>LN(Q4)</f>
        <v>17.58969943875017</v>
      </c>
      <c r="U4" s="49">
        <f>LOG(H4)</f>
        <v>7.5855992948793709</v>
      </c>
      <c r="V4" s="49">
        <f>LOG(L4)</f>
        <v>7.6513472518590966</v>
      </c>
      <c r="W4" s="49">
        <f>LOG(P4)</f>
        <v>7.6747168328840489</v>
      </c>
      <c r="X4" s="49">
        <f xml:space="preserve"> STDEV(U4:W4)*Calculation!I4/Calculation!K3</f>
        <v>4.6236905766277682E-2</v>
      </c>
    </row>
    <row r="5" spans="1:24">
      <c r="A5" s="65">
        <v>1</v>
      </c>
      <c r="B5" s="32">
        <v>110</v>
      </c>
      <c r="C5" s="32">
        <f>C4+B5</f>
        <v>120</v>
      </c>
      <c r="D5" s="13">
        <f t="shared" si="0"/>
        <v>2</v>
      </c>
      <c r="E5" s="32">
        <v>2</v>
      </c>
      <c r="F5" s="32">
        <v>2568</v>
      </c>
      <c r="G5" s="32">
        <v>7</v>
      </c>
      <c r="H5" s="44">
        <f>('Flow cytometer'!F5/'Flow cytometer'!G5)*POWER(10,'Flow cytometer'!E5+2)*10.2</f>
        <v>37419428.571428567</v>
      </c>
      <c r="I5" s="32">
        <v>2</v>
      </c>
      <c r="J5" s="32">
        <v>3597</v>
      </c>
      <c r="K5" s="32">
        <v>7</v>
      </c>
      <c r="L5" s="44">
        <f>('Flow cytometer'!J5/'Flow cytometer'!K5)*POWER(10,'Flow cytometer'!I5+2)*10.2</f>
        <v>52413428.571428575</v>
      </c>
      <c r="M5" s="32">
        <v>2</v>
      </c>
      <c r="N5" s="32">
        <v>3544</v>
      </c>
      <c r="O5" s="32">
        <v>7</v>
      </c>
      <c r="P5" s="44">
        <f>('Flow cytometer'!N5/'Flow cytometer'!O5)*POWER(10,'Flow cytometer'!M5+2)*10.2</f>
        <v>51641142.857142851</v>
      </c>
      <c r="Q5" s="47">
        <f>AVERAGE(H5,L5,P5)*Calculation!I5/Calculation!K4</f>
        <v>47187884.664131813</v>
      </c>
      <c r="R5" s="48">
        <f>STDEV(H5,L5,P5)*Calculation!I5/Calculation!K4</f>
        <v>8448035.6231833119</v>
      </c>
      <c r="S5" s="49">
        <f t="shared" ref="S5:S19" si="1">LOG(Q5)</f>
        <v>7.6738305092504326</v>
      </c>
      <c r="T5" s="49">
        <f t="shared" ref="T5:T19" si="2">LN(Q5)</f>
        <v>17.669647736762954</v>
      </c>
      <c r="U5" s="49">
        <f t="shared" ref="U5:U20" si="3">LOG(H5)</f>
        <v>7.5730971511444762</v>
      </c>
      <c r="V5" s="49">
        <f t="shared" ref="V5:V20" si="4">LOG(L5)</f>
        <v>7.7194425695661719</v>
      </c>
      <c r="W5" s="49">
        <f t="shared" ref="W5:W20" si="5">LOG(P5)</f>
        <v>7.7129958449626734</v>
      </c>
      <c r="X5" s="49">
        <f xml:space="preserve"> STDEV(U5:W5)*Calculation!I5/Calculation!K4</f>
        <v>8.2746808127320354E-2</v>
      </c>
    </row>
    <row r="6" spans="1:24">
      <c r="A6" s="65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2</v>
      </c>
      <c r="F6" s="32">
        <v>4206</v>
      </c>
      <c r="G6" s="32">
        <v>7</v>
      </c>
      <c r="H6" s="44">
        <f>('Flow cytometer'!F6/'Flow cytometer'!G6)*POWER(10,'Flow cytometer'!E6+2)*10.2</f>
        <v>61287428.571428575</v>
      </c>
      <c r="I6" s="32">
        <v>2</v>
      </c>
      <c r="J6" s="32">
        <v>5041</v>
      </c>
      <c r="K6" s="32">
        <v>7</v>
      </c>
      <c r="L6" s="44">
        <f>('Flow cytometer'!J6/'Flow cytometer'!K6)*POWER(10,'Flow cytometer'!I6+2)*10.2</f>
        <v>73454571.428571418</v>
      </c>
      <c r="M6" s="32">
        <v>2</v>
      </c>
      <c r="N6" s="32">
        <v>4930</v>
      </c>
      <c r="O6" s="32">
        <v>7</v>
      </c>
      <c r="P6" s="44">
        <f>('Flow cytometer'!N6/'Flow cytometer'!O6)*POWER(10,'Flow cytometer'!M6+2)*10.2</f>
        <v>71837142.857142866</v>
      </c>
      <c r="Q6" s="47">
        <f>AVERAGE(H6,L6,P6)*Calculation!I6/Calculation!K5</f>
        <v>68903351.620496109</v>
      </c>
      <c r="R6" s="48">
        <f>STDEV(H6,L6,P6)*Calculation!I6/Calculation!K5</f>
        <v>6611656.6526627401</v>
      </c>
      <c r="S6" s="49">
        <f t="shared" si="1"/>
        <v>7.8382403475227882</v>
      </c>
      <c r="T6" s="49">
        <f t="shared" si="2"/>
        <v>18.048215379510438</v>
      </c>
      <c r="U6" s="49">
        <f t="shared" si="3"/>
        <v>7.787371400097963</v>
      </c>
      <c r="V6" s="49">
        <f t="shared" si="4"/>
        <v>7.8660188291858111</v>
      </c>
      <c r="W6" s="49">
        <f t="shared" si="5"/>
        <v>7.8563490510248908</v>
      </c>
      <c r="X6" s="49">
        <f xml:space="preserve"> STDEV(U6:W6)*Calculation!I6/Calculation!K5</f>
        <v>4.2916259274452868E-2</v>
      </c>
    </row>
    <row r="7" spans="1:24">
      <c r="A7" s="65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2</v>
      </c>
      <c r="F7" s="32">
        <v>6982</v>
      </c>
      <c r="G7" s="32">
        <v>7</v>
      </c>
      <c r="H7" s="44">
        <f>('Flow cytometer'!F7/'Flow cytometer'!G7)*POWER(10,'Flow cytometer'!E7+2)*10.2</f>
        <v>101737714.28571428</v>
      </c>
      <c r="I7" s="32">
        <v>2</v>
      </c>
      <c r="J7" s="32">
        <v>6995</v>
      </c>
      <c r="K7" s="32">
        <v>7</v>
      </c>
      <c r="L7" s="44">
        <f>('Flow cytometer'!J7/'Flow cytometer'!K7)*POWER(10,'Flow cytometer'!I7+2)*10.2</f>
        <v>101927142.85714285</v>
      </c>
      <c r="M7" s="32">
        <v>2</v>
      </c>
      <c r="N7" s="32">
        <v>6974</v>
      </c>
      <c r="O7" s="32">
        <v>7</v>
      </c>
      <c r="P7" s="44">
        <f>('Flow cytometer'!N7/'Flow cytometer'!O7)*POWER(10,'Flow cytometer'!M7+2)*10.2</f>
        <v>101621142.85714285</v>
      </c>
      <c r="Q7" s="47">
        <f>AVERAGE(H7,L7,P7)*Calculation!I7/Calculation!K6</f>
        <v>101897447.18450117</v>
      </c>
      <c r="R7" s="48">
        <f>STDEV(H7,L7,P7)*Calculation!I7/Calculation!K6</f>
        <v>154644.37396692848</v>
      </c>
      <c r="S7" s="49">
        <f t="shared" si="1"/>
        <v>8.0081633038536104</v>
      </c>
      <c r="T7" s="49">
        <f t="shared" si="2"/>
        <v>18.439477445715269</v>
      </c>
      <c r="U7" s="49">
        <f t="shared" si="3"/>
        <v>8.0074819762258205</v>
      </c>
      <c r="V7" s="49">
        <f t="shared" si="4"/>
        <v>8.0082898505755065</v>
      </c>
      <c r="W7" s="49">
        <f t="shared" si="5"/>
        <v>8.0069840747876189</v>
      </c>
      <c r="X7" s="49">
        <f xml:space="preserve"> STDEV(U7:W7)*Calculation!I7/Calculation!K6</f>
        <v>6.5986843195540014E-4</v>
      </c>
    </row>
    <row r="8" spans="1:24">
      <c r="A8" s="65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2</v>
      </c>
      <c r="F8" s="32">
        <v>17171</v>
      </c>
      <c r="G8" s="32">
        <v>7</v>
      </c>
      <c r="H8" s="44">
        <f>('Flow cytometer'!F8/'Flow cytometer'!G8)*POWER(10,'Flow cytometer'!E8+2)*10.2</f>
        <v>250205999.99999997</v>
      </c>
      <c r="I8" s="32">
        <v>2</v>
      </c>
      <c r="J8" s="32">
        <v>18473</v>
      </c>
      <c r="K8" s="32">
        <v>7</v>
      </c>
      <c r="L8" s="44">
        <f>('Flow cytometer'!J8/'Flow cytometer'!K8)*POWER(10,'Flow cytometer'!I8+2)*10.2</f>
        <v>269178000</v>
      </c>
      <c r="M8" s="32">
        <v>2</v>
      </c>
      <c r="N8" s="32">
        <v>20432</v>
      </c>
      <c r="O8" s="32">
        <v>7</v>
      </c>
      <c r="P8" s="44">
        <f>('Flow cytometer'!N8/'Flow cytometer'!O8)*POWER(10,'Flow cytometer'!M8+2)*10.2</f>
        <v>297723428.57142854</v>
      </c>
      <c r="Q8" s="47">
        <f>AVERAGE(H8,L8,P8)*Calculation!I8/Calculation!K7</f>
        <v>273124091.11011606</v>
      </c>
      <c r="R8" s="48">
        <f>STDEV(H8,L8,P8)*Calculation!I8/Calculation!K7</f>
        <v>23985203.707093481</v>
      </c>
      <c r="S8" s="49">
        <f t="shared" si="1"/>
        <v>8.4363600090915476</v>
      </c>
      <c r="T8" s="49">
        <f t="shared" si="2"/>
        <v>19.425436796065309</v>
      </c>
      <c r="U8" s="49">
        <f t="shared" si="3"/>
        <v>8.3982977199683031</v>
      </c>
      <c r="V8" s="49">
        <f t="shared" si="4"/>
        <v>8.4300395619819675</v>
      </c>
      <c r="W8" s="49">
        <f t="shared" si="5"/>
        <v>8.4738130116670014</v>
      </c>
      <c r="X8" s="49">
        <f xml:space="preserve"> STDEV(U8:W8)*Calculation!I8/Calculation!K7</f>
        <v>3.8022153639052494E-2</v>
      </c>
    </row>
    <row r="9" spans="1:24">
      <c r="A9" s="65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3</v>
      </c>
      <c r="F9" s="32">
        <v>4646</v>
      </c>
      <c r="G9" s="32">
        <v>7</v>
      </c>
      <c r="H9" s="44">
        <f>('Flow cytometer'!F9/'Flow cytometer'!G9)*POWER(10,'Flow cytometer'!E9+2)*10.2</f>
        <v>676988571.42857134</v>
      </c>
      <c r="I9" s="32">
        <v>3</v>
      </c>
      <c r="J9" s="32">
        <v>4633</v>
      </c>
      <c r="K9" s="32">
        <v>7</v>
      </c>
      <c r="L9" s="44">
        <f>('Flow cytometer'!J9/'Flow cytometer'!K9)*POWER(10,'Flow cytometer'!I9+2)*10.2</f>
        <v>675094285.71428573</v>
      </c>
      <c r="M9" s="32">
        <v>3</v>
      </c>
      <c r="N9" s="32">
        <v>5197</v>
      </c>
      <c r="O9" s="32">
        <v>7</v>
      </c>
      <c r="P9" s="44">
        <f>('Flow cytometer'!N9/'Flow cytometer'!O9)*POWER(10,'Flow cytometer'!M9+2)*10.2</f>
        <v>757277142.85714293</v>
      </c>
      <c r="Q9" s="47">
        <f>AVERAGE(H9,L9,P9)*Calculation!I9/Calculation!K8</f>
        <v>708216525.30459225</v>
      </c>
      <c r="R9" s="48">
        <f>STDEV(H9,L9,P9)*Calculation!I9/Calculation!K8</f>
        <v>47251055.873744562</v>
      </c>
      <c r="S9" s="49">
        <f t="shared" si="1"/>
        <v>8.8501660562329718</v>
      </c>
      <c r="T9" s="49">
        <f t="shared" si="2"/>
        <v>20.378260431603941</v>
      </c>
      <c r="U9" s="49">
        <f t="shared" si="3"/>
        <v>8.8305813372118767</v>
      </c>
      <c r="V9" s="49">
        <f t="shared" si="4"/>
        <v>8.8293644319508164</v>
      </c>
      <c r="W9" s="49">
        <f t="shared" si="5"/>
        <v>8.8792548485705201</v>
      </c>
      <c r="X9" s="49">
        <f xml:space="preserve"> STDEV(U9:W9)*Calculation!I9/Calculation!K8</f>
        <v>2.8665746941112864E-2</v>
      </c>
    </row>
    <row r="10" spans="1:24">
      <c r="A10" s="65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3</v>
      </c>
      <c r="F10" s="32">
        <v>8004</v>
      </c>
      <c r="G10" s="32">
        <v>7</v>
      </c>
      <c r="H10" s="44">
        <f>('Flow cytometer'!F10/'Flow cytometer'!G10)*POWER(10,'Flow cytometer'!E10+2)*10.2</f>
        <v>1166297142.8571427</v>
      </c>
      <c r="I10" s="32">
        <v>3</v>
      </c>
      <c r="J10" s="32">
        <v>10287</v>
      </c>
      <c r="K10" s="32">
        <v>7</v>
      </c>
      <c r="L10" s="44">
        <f>('Flow cytometer'!J10/'Flow cytometer'!K10)*POWER(10,'Flow cytometer'!I10+2)*10.2</f>
        <v>1498962857.1428571</v>
      </c>
      <c r="M10" s="32">
        <v>3</v>
      </c>
      <c r="N10" s="32">
        <v>8466</v>
      </c>
      <c r="O10" s="32">
        <v>7</v>
      </c>
      <c r="P10" s="44">
        <f>('Flow cytometer'!N10/'Flow cytometer'!O10)*POWER(10,'Flow cytometer'!M10+2)*10.2</f>
        <v>1233617142.8571427</v>
      </c>
      <c r="Q10" s="47">
        <f>AVERAGE(H10,L10,P10)*Calculation!I10/Calculation!K9</f>
        <v>1319069300.2627711</v>
      </c>
      <c r="R10" s="48">
        <f>STDEV(H10,L10,P10)*Calculation!I10/Calculation!K9</f>
        <v>178513326.47107643</v>
      </c>
      <c r="S10" s="49">
        <f t="shared" si="1"/>
        <v>9.1202676127799531</v>
      </c>
      <c r="T10" s="49">
        <f t="shared" si="2"/>
        <v>21.000192249303513</v>
      </c>
      <c r="U10" s="49">
        <f t="shared" si="3"/>
        <v>9.0668092117118348</v>
      </c>
      <c r="V10" s="49">
        <f t="shared" si="4"/>
        <v>9.1757908715822669</v>
      </c>
      <c r="W10" s="49">
        <f t="shared" si="5"/>
        <v>9.0911803958856527</v>
      </c>
      <c r="X10" s="49">
        <f xml:space="preserve"> STDEV(U10:W10)*Calculation!I10/Calculation!K9</f>
        <v>5.8054062787702899E-2</v>
      </c>
    </row>
    <row r="11" spans="1:24">
      <c r="A11" s="65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12281</v>
      </c>
      <c r="G11" s="32">
        <v>7</v>
      </c>
      <c r="H11" s="44">
        <f>('Flow cytometer'!F11/'Flow cytometer'!G11)*POWER(10,'Flow cytometer'!E11+2)*10.2</f>
        <v>1789517142.8571427</v>
      </c>
      <c r="I11" s="32">
        <v>3</v>
      </c>
      <c r="J11" s="32">
        <v>12513</v>
      </c>
      <c r="K11" s="32">
        <v>7</v>
      </c>
      <c r="L11" s="44">
        <f>('Flow cytometer'!J11/'Flow cytometer'!K11)*POWER(10,'Flow cytometer'!I11+2)*10.2</f>
        <v>1823322857.1428571</v>
      </c>
      <c r="M11" s="32">
        <v>3</v>
      </c>
      <c r="N11" s="32">
        <v>12967</v>
      </c>
      <c r="O11" s="32">
        <v>7</v>
      </c>
      <c r="P11" s="44">
        <f>('Flow cytometer'!N11/'Flow cytometer'!O11)*POWER(10,'Flow cytometer'!M11+2)*10.2</f>
        <v>1889477142.8571427</v>
      </c>
      <c r="Q11" s="47">
        <f>AVERAGE(H11,L11,P11)*Calculation!I11/Calculation!K10</f>
        <v>1877631234.3615212</v>
      </c>
      <c r="R11" s="48">
        <f>STDEV(H11,L11,P11)*Calculation!I11/Calculation!K10</f>
        <v>52051500.666173428</v>
      </c>
      <c r="S11" s="49">
        <f t="shared" si="1"/>
        <v>9.2736103011314537</v>
      </c>
      <c r="T11" s="49">
        <f t="shared" si="2"/>
        <v>21.353276837621308</v>
      </c>
      <c r="U11" s="49">
        <f t="shared" si="3"/>
        <v>9.2527358631130596</v>
      </c>
      <c r="V11" s="49">
        <f t="shared" si="4"/>
        <v>9.2608635763131542</v>
      </c>
      <c r="W11" s="49">
        <f t="shared" si="5"/>
        <v>9.2763416425927758</v>
      </c>
      <c r="X11" s="49">
        <f xml:space="preserve"> STDEV(U11:W11)*Calculation!I11/Calculation!K10</f>
        <v>1.2276689052845789E-2</v>
      </c>
    </row>
    <row r="12" spans="1:24">
      <c r="A12" s="65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17202</v>
      </c>
      <c r="G12" s="32">
        <v>7</v>
      </c>
      <c r="H12" s="44">
        <f>('Flow cytometer'!F12/'Flow cytometer'!G12)*POWER(10,'Flow cytometer'!E12+2)*10.2</f>
        <v>2506577142.8571429</v>
      </c>
      <c r="I12" s="32">
        <v>3</v>
      </c>
      <c r="J12" s="32">
        <v>18628</v>
      </c>
      <c r="K12" s="32">
        <v>7</v>
      </c>
      <c r="L12" s="44">
        <f>('Flow cytometer'!J12/'Flow cytometer'!K12)*POWER(10,'Flow cytometer'!I12+2)*10.2</f>
        <v>2714365714.2857141</v>
      </c>
      <c r="M12" s="32">
        <v>3</v>
      </c>
      <c r="N12" s="32">
        <v>20382</v>
      </c>
      <c r="O12" s="32">
        <v>7</v>
      </c>
      <c r="P12" s="44">
        <f>('Flow cytometer'!N12/'Flow cytometer'!O12)*POWER(10,'Flow cytometer'!M12+2)*10.2</f>
        <v>2969948571.4285717</v>
      </c>
      <c r="Q12" s="47">
        <f>AVERAGE(H12,L12,P12)*Calculation!I12/Calculation!K11</f>
        <v>2828956556.1387968</v>
      </c>
      <c r="R12" s="48">
        <f>STDEV(H12,L12,P12)*Calculation!I12/Calculation!K11</f>
        <v>240482966.63673893</v>
      </c>
      <c r="S12" s="49">
        <f t="shared" si="1"/>
        <v>9.4516262781130305</v>
      </c>
      <c r="T12" s="49">
        <f t="shared" si="2"/>
        <v>21.763173772533857</v>
      </c>
      <c r="U12" s="49">
        <f t="shared" si="3"/>
        <v>9.3990810750777882</v>
      </c>
      <c r="V12" s="49">
        <f t="shared" si="4"/>
        <v>9.4336683610083547</v>
      </c>
      <c r="W12" s="49">
        <f t="shared" si="5"/>
        <v>9.472748929001332</v>
      </c>
      <c r="X12" s="49">
        <f xml:space="preserve"> STDEV(U12:W12)*Calculation!I12/Calculation!K11</f>
        <v>3.8188579079742095E-2</v>
      </c>
    </row>
    <row r="13" spans="1:24">
      <c r="A13" s="65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3</v>
      </c>
      <c r="F13" s="32">
        <v>17417</v>
      </c>
      <c r="G13" s="32">
        <v>7</v>
      </c>
      <c r="H13" s="44">
        <f>('Flow cytometer'!F13/'Flow cytometer'!G13)*POWER(10,'Flow cytometer'!E13+2)*10.2</f>
        <v>2537905714.2857141</v>
      </c>
      <c r="I13" s="32">
        <v>3</v>
      </c>
      <c r="J13" s="32">
        <v>20000</v>
      </c>
      <c r="K13" s="32">
        <v>7</v>
      </c>
      <c r="L13" s="44">
        <f>('Flow cytometer'!J13/'Flow cytometer'!K13)*POWER(10,'Flow cytometer'!I13+2)*10.2</f>
        <v>2914285714.2857141</v>
      </c>
      <c r="M13" s="32">
        <v>3</v>
      </c>
      <c r="N13" s="32">
        <v>21255</v>
      </c>
      <c r="O13" s="32">
        <v>7</v>
      </c>
      <c r="P13" s="44">
        <f>('Flow cytometer'!N13/'Flow cytometer'!O13)*POWER(10,'Flow cytometer'!M13+2)*10.2</f>
        <v>3097157142.8571424</v>
      </c>
      <c r="Q13" s="47">
        <f>AVERAGE(H13,L13,P13)*Calculation!I13/Calculation!K12</f>
        <v>2989455334.1337752</v>
      </c>
      <c r="R13" s="48">
        <f>STDEV(H13,L13,P13)*Calculation!I13/Calculation!K12</f>
        <v>299126549.41091895</v>
      </c>
      <c r="S13" s="49">
        <f t="shared" si="1"/>
        <v>9.4755920689506343</v>
      </c>
      <c r="T13" s="49">
        <f t="shared" si="2"/>
        <v>21.818357045258338</v>
      </c>
      <c r="U13" s="49">
        <f t="shared" si="3"/>
        <v>9.4044754835876638</v>
      </c>
      <c r="V13" s="49">
        <f t="shared" si="4"/>
        <v>9.4645321274116423</v>
      </c>
      <c r="W13" s="49">
        <f t="shared" si="5"/>
        <v>9.4909632410508031</v>
      </c>
      <c r="X13" s="49">
        <f xml:space="preserve"> STDEV(U13:W13)*Calculation!I13/Calculation!K12</f>
        <v>4.6492120137980569E-2</v>
      </c>
    </row>
    <row r="14" spans="1:24">
      <c r="A14" s="65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3</v>
      </c>
      <c r="F14" s="32">
        <v>18081</v>
      </c>
      <c r="G14" s="32">
        <v>7</v>
      </c>
      <c r="H14" s="44">
        <f>('Flow cytometer'!F14/'Flow cytometer'!G14)*POWER(10,'Flow cytometer'!E14+2)*10.2</f>
        <v>2634660000</v>
      </c>
      <c r="I14" s="32">
        <v>3</v>
      </c>
      <c r="J14" s="32">
        <v>17030</v>
      </c>
      <c r="K14" s="32">
        <v>7</v>
      </c>
      <c r="L14" s="44">
        <f>('Flow cytometer'!J14/'Flow cytometer'!K14)*POWER(10,'Flow cytometer'!I14+2)*10.2</f>
        <v>2481514285.7142854</v>
      </c>
      <c r="M14" s="32">
        <v>3</v>
      </c>
      <c r="N14" s="32">
        <v>19137</v>
      </c>
      <c r="O14" s="32">
        <v>7</v>
      </c>
      <c r="P14" s="44">
        <f>('Flow cytometer'!N14/'Flow cytometer'!O14)*POWER(10,'Flow cytometer'!M14+2)*10.2</f>
        <v>2788534285.7142854</v>
      </c>
      <c r="Q14" s="47">
        <f>AVERAGE(H14,L14,P14)*Calculation!I14/Calculation!K13</f>
        <v>2792010432.5567017</v>
      </c>
      <c r="R14" s="48">
        <f>STDEV(H14,L14,P14)*Calculation!I14/Calculation!K13</f>
        <v>162663273.37486979</v>
      </c>
      <c r="S14" s="49">
        <f t="shared" si="1"/>
        <v>9.4459170367281082</v>
      </c>
      <c r="T14" s="49">
        <f t="shared" si="2"/>
        <v>21.750027758428633</v>
      </c>
      <c r="U14" s="49">
        <f t="shared" si="3"/>
        <v>9.4207245779352355</v>
      </c>
      <c r="V14" s="49">
        <f t="shared" si="4"/>
        <v>9.3947167797102615</v>
      </c>
      <c r="W14" s="49">
        <f t="shared" si="5"/>
        <v>9.4453759886177835</v>
      </c>
      <c r="X14" s="49">
        <f xml:space="preserve"> STDEV(U14:W14)*Calculation!I14/Calculation!K13</f>
        <v>2.6843103138547222E-2</v>
      </c>
    </row>
    <row r="15" spans="1:24">
      <c r="A15" s="65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3</v>
      </c>
      <c r="F15" s="32">
        <v>19099</v>
      </c>
      <c r="G15" s="32">
        <v>7</v>
      </c>
      <c r="H15" s="44">
        <f>('Flow cytometer'!F15/'Flow cytometer'!G15)*POWER(10,'Flow cytometer'!E15+2)*10.2</f>
        <v>2782997142.8571424</v>
      </c>
      <c r="I15" s="32">
        <v>3</v>
      </c>
      <c r="J15" s="32">
        <v>19394</v>
      </c>
      <c r="K15" s="32">
        <v>7</v>
      </c>
      <c r="L15" s="44">
        <f>('Flow cytometer'!J15/'Flow cytometer'!K15)*POWER(10,'Flow cytometer'!I15+2)*10.2</f>
        <v>2825982857.1428571</v>
      </c>
      <c r="M15" s="32">
        <v>3</v>
      </c>
      <c r="N15" s="32">
        <v>22875</v>
      </c>
      <c r="O15" s="32">
        <v>7</v>
      </c>
      <c r="P15" s="44">
        <f>('Flow cytometer'!N15/'Flow cytometer'!O15)*POWER(10,'Flow cytometer'!M15+2)*10.2</f>
        <v>3333214285.7142854</v>
      </c>
      <c r="Q15" s="47">
        <f>AVERAGE(H15,L15,P15)*Calculation!I15/Calculation!K14</f>
        <v>3177651255.0151758</v>
      </c>
      <c r="R15" s="48">
        <f>STDEV(H15,L15,P15)*Calculation!I15/Calculation!K14</f>
        <v>326231457.22150189</v>
      </c>
      <c r="S15" s="49">
        <f t="shared" si="1"/>
        <v>9.5021062319734995</v>
      </c>
      <c r="T15" s="49">
        <f t="shared" si="2"/>
        <v>21.879408161788003</v>
      </c>
      <c r="U15" s="49">
        <f t="shared" si="3"/>
        <v>9.4445127604691432</v>
      </c>
      <c r="V15" s="49">
        <f t="shared" si="4"/>
        <v>9.4511695230217949</v>
      </c>
      <c r="W15" s="49">
        <f t="shared" si="5"/>
        <v>9.522863234486147</v>
      </c>
      <c r="X15" s="49">
        <f xml:space="preserve"> STDEV(U15:W15)*Calculation!I15/Calculation!K14</f>
        <v>4.6311663825942685E-2</v>
      </c>
    </row>
    <row r="16" spans="1:24">
      <c r="A16" s="65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3</v>
      </c>
      <c r="F16" s="32">
        <v>23482</v>
      </c>
      <c r="G16" s="32">
        <v>7</v>
      </c>
      <c r="H16" s="44">
        <f>('Flow cytometer'!F16/'Flow cytometer'!G16)*POWER(10,'Flow cytometer'!E16+2)*10.2</f>
        <v>3421662857.1428571</v>
      </c>
      <c r="I16" s="32">
        <v>3</v>
      </c>
      <c r="J16" s="32">
        <v>22666</v>
      </c>
      <c r="K16" s="32">
        <v>7</v>
      </c>
      <c r="L16" s="44">
        <f>('Flow cytometer'!J16/'Flow cytometer'!K16)*POWER(10,'Flow cytometer'!I16+2)*10.2</f>
        <v>3302760000</v>
      </c>
      <c r="M16" s="32">
        <v>3</v>
      </c>
      <c r="N16" s="32">
        <v>22675</v>
      </c>
      <c r="O16" s="32">
        <v>7</v>
      </c>
      <c r="P16" s="44">
        <f>('Flow cytometer'!N16/'Flow cytometer'!O16)*POWER(10,'Flow cytometer'!M16+2)*10.2</f>
        <v>3304071428.5714283</v>
      </c>
      <c r="Q16" s="47">
        <f>AVERAGE(H16,L16,P16)*Calculation!I16/Calculation!K15</f>
        <v>3563673124.8192782</v>
      </c>
      <c r="R16" s="48">
        <f>STDEV(H16,L16,P16)*Calculation!I16/Calculation!K15</f>
        <v>72783585.264986381</v>
      </c>
      <c r="S16" s="49">
        <f t="shared" si="1"/>
        <v>9.5518978618638126</v>
      </c>
      <c r="T16" s="49">
        <f t="shared" si="2"/>
        <v>21.994057626529315</v>
      </c>
      <c r="U16" s="49">
        <f t="shared" si="3"/>
        <v>9.5342372154634933</v>
      </c>
      <c r="V16" s="49">
        <f t="shared" si="4"/>
        <v>9.5188770161792728</v>
      </c>
      <c r="W16" s="49">
        <f t="shared" si="5"/>
        <v>9.5190494274797928</v>
      </c>
      <c r="X16" s="49">
        <f xml:space="preserve"> STDEV(U16:W16)*Calculation!I16/Calculation!K15</f>
        <v>9.4014775483887564E-3</v>
      </c>
    </row>
    <row r="17" spans="1:24">
      <c r="A17" s="65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3</v>
      </c>
      <c r="F17" s="32">
        <v>21221</v>
      </c>
      <c r="G17" s="32">
        <v>7</v>
      </c>
      <c r="H17" s="44">
        <f>('Flow cytometer'!F17/'Flow cytometer'!G17)*POWER(10,'Flow cytometer'!E17+2)*10.2</f>
        <v>3092202857.1428571</v>
      </c>
      <c r="I17" s="32">
        <v>3</v>
      </c>
      <c r="J17" s="32">
        <v>21117</v>
      </c>
      <c r="K17" s="32">
        <v>7</v>
      </c>
      <c r="L17" s="44">
        <f>('Flow cytometer'!J17/'Flow cytometer'!K17)*POWER(10,'Flow cytometer'!I17+2)*10.2</f>
        <v>3077048571.4285717</v>
      </c>
      <c r="M17" s="32">
        <v>3</v>
      </c>
      <c r="N17" s="32">
        <v>23499</v>
      </c>
      <c r="O17" s="32">
        <v>7</v>
      </c>
      <c r="P17" s="44">
        <f>('Flow cytometer'!N17/'Flow cytometer'!O17)*POWER(10,'Flow cytometer'!M17+2)*10.2</f>
        <v>3424139999.9999995</v>
      </c>
      <c r="Q17" s="47">
        <f>AVERAGE(H17,L17,P17)*Calculation!I17/Calculation!K16</f>
        <v>3412246271.0473204</v>
      </c>
      <c r="R17" s="48">
        <f>STDEV(H17,L17,P17)*Calculation!I17/Calculation!K16</f>
        <v>209320184.00452474</v>
      </c>
      <c r="S17" s="49">
        <f t="shared" si="1"/>
        <v>9.5330403678346496</v>
      </c>
      <c r="T17" s="49">
        <f t="shared" si="2"/>
        <v>21.950636641886536</v>
      </c>
      <c r="U17" s="49">
        <f t="shared" si="3"/>
        <v>9.4902679771117135</v>
      </c>
      <c r="V17" s="49">
        <f t="shared" si="4"/>
        <v>9.4881343516705705</v>
      </c>
      <c r="W17" s="49">
        <f t="shared" si="5"/>
        <v>9.5345515130099301</v>
      </c>
      <c r="X17" s="49">
        <f xml:space="preserve"> STDEV(U17:W17)*Calculation!I17/Calculation!K16</f>
        <v>2.7962091290082487E-2</v>
      </c>
    </row>
    <row r="18" spans="1:24">
      <c r="A18" s="65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3</v>
      </c>
      <c r="F18" s="32">
        <v>23897</v>
      </c>
      <c r="G18" s="32">
        <v>7</v>
      </c>
      <c r="H18" s="44">
        <f>('Flow cytometer'!F18/'Flow cytometer'!G18)*POWER(10,'Flow cytometer'!E18+2)*10.2</f>
        <v>3482134285.7142854</v>
      </c>
      <c r="I18" s="32">
        <v>3</v>
      </c>
      <c r="J18" s="32">
        <v>23513</v>
      </c>
      <c r="K18" s="32">
        <v>7</v>
      </c>
      <c r="L18" s="44">
        <f>('Flow cytometer'!J18/'Flow cytometer'!K18)*POWER(10,'Flow cytometer'!I18+2)*10.2</f>
        <v>3426179999.9999995</v>
      </c>
      <c r="M18" s="32">
        <v>3</v>
      </c>
      <c r="N18" s="32">
        <v>22470</v>
      </c>
      <c r="O18" s="32">
        <v>7</v>
      </c>
      <c r="P18" s="44">
        <f>('Flow cytometer'!N18/'Flow cytometer'!O18)*POWER(10,'Flow cytometer'!M18+2)*10.2</f>
        <v>3274200000</v>
      </c>
      <c r="Q18" s="47">
        <f>AVERAGE(H18,L18,P18)*Calculation!I18/Calculation!K17</f>
        <v>3632369431.0959435</v>
      </c>
      <c r="R18" s="48">
        <f>STDEV(H18,L18,P18)*Calculation!I18/Calculation!K17</f>
        <v>115150307.43096039</v>
      </c>
      <c r="S18" s="49">
        <f t="shared" si="1"/>
        <v>9.5601900121307768</v>
      </c>
      <c r="T18" s="49">
        <f t="shared" si="2"/>
        <v>22.013151008122893</v>
      </c>
      <c r="U18" s="49">
        <f t="shared" si="3"/>
        <v>9.5418455153224304</v>
      </c>
      <c r="V18" s="49">
        <f t="shared" si="4"/>
        <v>9.5348101756035817</v>
      </c>
      <c r="W18" s="49">
        <f t="shared" si="5"/>
        <v>9.5151052041667903</v>
      </c>
      <c r="X18" s="49">
        <f xml:space="preserve"> STDEV(U18:W18)*Calculation!I18/Calculation!K17</f>
        <v>1.4834145083138814E-2</v>
      </c>
    </row>
    <row r="19" spans="1:24">
      <c r="A19" s="65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3</v>
      </c>
      <c r="F19" s="32">
        <v>19040</v>
      </c>
      <c r="G19" s="32">
        <v>7</v>
      </c>
      <c r="H19" s="44">
        <f>('Flow cytometer'!F19/'Flow cytometer'!G19)*POWER(10,'Flow cytometer'!E19+2)*10.2</f>
        <v>2774400000</v>
      </c>
      <c r="I19" s="32">
        <v>3</v>
      </c>
      <c r="J19" s="32">
        <v>15547</v>
      </c>
      <c r="K19" s="32">
        <v>7</v>
      </c>
      <c r="L19" s="44">
        <f>('Flow cytometer'!J19/'Flow cytometer'!K19)*POWER(10,'Flow cytometer'!I19+2)*10.2</f>
        <v>2265420000</v>
      </c>
      <c r="M19" s="32">
        <v>3</v>
      </c>
      <c r="N19" s="32">
        <v>16313</v>
      </c>
      <c r="O19" s="32">
        <v>7</v>
      </c>
      <c r="P19" s="44">
        <f>('Flow cytometer'!N19/'Flow cytometer'!O19)*POWER(10,'Flow cytometer'!M19+2)*10.2</f>
        <v>2377037142.8571429</v>
      </c>
      <c r="Q19" s="47">
        <f>AVERAGE(H19,L19,P19)*Calculation!I19/Calculation!K18</f>
        <v>2645787121.3907204</v>
      </c>
      <c r="R19" s="48">
        <f>STDEV(H19,L19,P19)*Calculation!I19/Calculation!K18</f>
        <v>286299018.92963666</v>
      </c>
      <c r="S19" s="49">
        <f t="shared" si="1"/>
        <v>9.4225548981566423</v>
      </c>
      <c r="T19" s="49">
        <f t="shared" si="2"/>
        <v>21.696234446413513</v>
      </c>
      <c r="U19" s="49">
        <f t="shared" si="3"/>
        <v>9.4431690757961171</v>
      </c>
      <c r="V19" s="49">
        <f t="shared" si="4"/>
        <v>9.3551487303103915</v>
      </c>
      <c r="W19" s="49">
        <f t="shared" si="5"/>
        <v>9.3760359679342677</v>
      </c>
      <c r="X19" s="49">
        <f xml:space="preserve"> STDEV(U19:W19)*Calculation!I19/Calculation!K18</f>
        <v>4.9217960036134961E-2</v>
      </c>
    </row>
    <row r="20" spans="1:24">
      <c r="A20" s="65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3</v>
      </c>
      <c r="F20" s="32">
        <v>10200</v>
      </c>
      <c r="G20" s="32">
        <v>7</v>
      </c>
      <c r="H20" s="44">
        <f>('Flow cytometer'!F20/'Flow cytometer'!G20)*POWER(10,'Flow cytometer'!E20+2)*10.2</f>
        <v>1486285714.2857141</v>
      </c>
      <c r="I20" s="32">
        <v>3</v>
      </c>
      <c r="J20" s="32">
        <v>10580</v>
      </c>
      <c r="K20" s="32">
        <v>7</v>
      </c>
      <c r="L20" s="44">
        <f>('Flow cytometer'!J20/'Flow cytometer'!K20)*POWER(10,'Flow cytometer'!I20+2)*10.2</f>
        <v>1541657142.8571427</v>
      </c>
      <c r="M20" s="32">
        <v>3</v>
      </c>
      <c r="N20" s="32">
        <v>10008</v>
      </c>
      <c r="O20" s="32">
        <v>7</v>
      </c>
      <c r="P20" s="44">
        <f>('Flow cytometer'!N20/'Flow cytometer'!O20)*POWER(10,'Flow cytometer'!M20+2)*10.2</f>
        <v>1458308571.4285712</v>
      </c>
      <c r="Q20" s="47">
        <f>AVERAGE(H20,L20,P20)*Calculation!I20/Calculation!K19</f>
        <v>1600363337.7873766</v>
      </c>
      <c r="R20" s="48">
        <f>STDEV(H20,L20,P20)*Calculation!I20/Calculation!K19</f>
        <v>45394790.592668638</v>
      </c>
      <c r="S20" s="49">
        <f t="shared" ref="S20" si="7">LOG(Q20)</f>
        <v>9.204218593707326</v>
      </c>
      <c r="T20" s="49">
        <f t="shared" ref="T20" si="8">LN(Q20)</f>
        <v>21.193496526529106</v>
      </c>
      <c r="U20" s="49">
        <f t="shared" si="3"/>
        <v>9.172102303509579</v>
      </c>
      <c r="V20" s="49">
        <f t="shared" si="4"/>
        <v>9.1879877994468284</v>
      </c>
      <c r="W20" s="49">
        <f t="shared" si="5"/>
        <v>9.163849428433025</v>
      </c>
      <c r="X20" s="49">
        <f xml:space="preserve"> STDEV(U20:W20)*Calculation!I20/Calculation!K19</f>
        <v>1.3129655031279826E-2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21" workbookViewId="0">
      <selection activeCell="M41" sqref="M41"/>
    </sheetView>
  </sheetViews>
  <sheetFormatPr baseColWidth="10" defaultColWidth="8.83203125" defaultRowHeight="14" x14ac:dyDescent="0"/>
  <cols>
    <col min="1" max="2" width="8.83203125" style="86"/>
    <col min="3" max="3" width="9.83203125" style="86" customWidth="1"/>
    <col min="4" max="17" width="8.83203125" style="86"/>
    <col min="18" max="18" width="13.83203125" style="86" bestFit="1" customWidth="1"/>
    <col min="19" max="16384" width="8.83203125" style="86"/>
  </cols>
  <sheetData>
    <row r="1" spans="2:18"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5" t="s">
        <v>22</v>
      </c>
      <c r="Q1" s="85" t="s">
        <v>22</v>
      </c>
      <c r="R1" s="85" t="s">
        <v>22</v>
      </c>
    </row>
    <row r="2" spans="2:18">
      <c r="B2" s="146"/>
      <c r="C2" s="146"/>
      <c r="D2" s="87" t="s">
        <v>19</v>
      </c>
      <c r="E2" s="87" t="s">
        <v>68</v>
      </c>
      <c r="F2" s="87" t="s">
        <v>69</v>
      </c>
      <c r="G2" s="87" t="s">
        <v>70</v>
      </c>
      <c r="H2" s="87" t="s">
        <v>19</v>
      </c>
      <c r="I2" s="87" t="s">
        <v>68</v>
      </c>
      <c r="J2" s="87" t="s">
        <v>69</v>
      </c>
      <c r="K2" s="87" t="s">
        <v>70</v>
      </c>
      <c r="L2" s="87" t="s">
        <v>19</v>
      </c>
      <c r="M2" s="87" t="s">
        <v>68</v>
      </c>
      <c r="N2" s="87" t="s">
        <v>69</v>
      </c>
      <c r="O2" s="87" t="s">
        <v>71</v>
      </c>
      <c r="P2" s="88" t="s">
        <v>70</v>
      </c>
      <c r="Q2" s="88" t="s">
        <v>23</v>
      </c>
      <c r="R2" s="88" t="s">
        <v>72</v>
      </c>
    </row>
    <row r="3" spans="2:18">
      <c r="B3" s="89"/>
      <c r="C3" s="89"/>
      <c r="D3" s="90"/>
      <c r="E3" s="90"/>
      <c r="F3" s="90"/>
      <c r="G3" s="91"/>
      <c r="H3" s="90"/>
      <c r="I3" s="90"/>
      <c r="J3" s="90"/>
      <c r="K3" s="91"/>
      <c r="L3" s="90"/>
      <c r="M3" s="90"/>
      <c r="N3" s="90"/>
      <c r="O3" s="91"/>
      <c r="P3" s="142"/>
      <c r="Q3" s="143"/>
      <c r="R3" s="144"/>
    </row>
    <row r="4" spans="2:18">
      <c r="B4" s="92" t="s">
        <v>186</v>
      </c>
      <c r="C4" s="93">
        <v>500</v>
      </c>
      <c r="D4" s="93">
        <v>3</v>
      </c>
      <c r="E4" s="93">
        <v>14133</v>
      </c>
      <c r="F4" s="93">
        <v>7</v>
      </c>
      <c r="G4" s="91">
        <f>(E4/F4)*(10.2)*POWER(10,D4+2)</f>
        <v>2059380000</v>
      </c>
      <c r="H4" s="93">
        <v>3</v>
      </c>
      <c r="I4" s="93">
        <v>15082</v>
      </c>
      <c r="J4" s="93">
        <v>7</v>
      </c>
      <c r="K4" s="91">
        <f t="shared" ref="K4:K18" si="0">(I4/J4)*(10.2)*POWER(10,H4+2)</f>
        <v>2197662857.1428571</v>
      </c>
      <c r="L4" s="93">
        <v>3</v>
      </c>
      <c r="M4" s="93">
        <v>15922</v>
      </c>
      <c r="N4" s="93">
        <v>7</v>
      </c>
      <c r="O4" s="91">
        <f t="shared" ref="O4:O19" si="1">(M4/N4)*(10.2)*POWER(10,L4+2)</f>
        <v>2320062857.1428571</v>
      </c>
      <c r="P4" s="94">
        <f t="shared" ref="P4:P19" si="2">AVERAGE(O4,K4,G4)</f>
        <v>2192368571.4285712</v>
      </c>
      <c r="Q4" s="94">
        <f t="shared" ref="Q4:Q19" si="3">STDEV(O4,K4,G4)</f>
        <v>130422046.05801573</v>
      </c>
      <c r="R4" s="95">
        <f>LOG(P4)</f>
        <v>9.3409135676416426</v>
      </c>
    </row>
    <row r="5" spans="2:18">
      <c r="B5" s="92" t="s">
        <v>187</v>
      </c>
      <c r="C5" s="93">
        <v>500</v>
      </c>
      <c r="D5" s="93">
        <v>2</v>
      </c>
      <c r="E5" s="93">
        <v>16544</v>
      </c>
      <c r="F5" s="93">
        <v>7</v>
      </c>
      <c r="G5" s="91">
        <f t="shared" ref="G5:G19" si="4">(E5/F5)*(10.2)*POWER(10,D5+2)</f>
        <v>241069714.2857143</v>
      </c>
      <c r="H5" s="93">
        <v>2</v>
      </c>
      <c r="I5" s="93">
        <v>15924</v>
      </c>
      <c r="J5" s="93">
        <v>7</v>
      </c>
      <c r="K5" s="91">
        <f t="shared" si="0"/>
        <v>232035428.57142854</v>
      </c>
      <c r="L5" s="93">
        <v>2</v>
      </c>
      <c r="M5" s="93">
        <v>15173</v>
      </c>
      <c r="N5" s="93">
        <v>7</v>
      </c>
      <c r="O5" s="91">
        <f t="shared" si="1"/>
        <v>221092285.71428567</v>
      </c>
      <c r="P5" s="94">
        <f t="shared" si="2"/>
        <v>231399142.85714284</v>
      </c>
      <c r="Q5" s="94">
        <f t="shared" si="3"/>
        <v>10003902.124385577</v>
      </c>
      <c r="R5" s="95">
        <f t="shared" ref="R5:R19" si="5">LOG(P5)</f>
        <v>8.3643617459160655</v>
      </c>
    </row>
    <row r="6" spans="2:18">
      <c r="B6" s="92" t="s">
        <v>188</v>
      </c>
      <c r="C6" s="93">
        <v>500</v>
      </c>
      <c r="D6" s="93">
        <v>1</v>
      </c>
      <c r="E6" s="93">
        <v>18107</v>
      </c>
      <c r="F6" s="93">
        <v>7</v>
      </c>
      <c r="G6" s="91">
        <f t="shared" si="4"/>
        <v>26384485.714285713</v>
      </c>
      <c r="H6" s="93">
        <v>1</v>
      </c>
      <c r="I6" s="93">
        <v>18423</v>
      </c>
      <c r="J6" s="93">
        <v>7</v>
      </c>
      <c r="K6" s="91">
        <f t="shared" si="0"/>
        <v>26844942.857142854</v>
      </c>
      <c r="L6" s="93">
        <v>1</v>
      </c>
      <c r="M6" s="93">
        <v>17005</v>
      </c>
      <c r="N6" s="93">
        <v>7</v>
      </c>
      <c r="O6" s="91">
        <f t="shared" si="1"/>
        <v>24778714.285714284</v>
      </c>
      <c r="P6" s="94">
        <f t="shared" si="2"/>
        <v>26002714.285714284</v>
      </c>
      <c r="Q6" s="94">
        <f t="shared" si="3"/>
        <v>1084729.0883451225</v>
      </c>
      <c r="R6" s="95">
        <f t="shared" si="5"/>
        <v>7.4150186840393397</v>
      </c>
    </row>
    <row r="7" spans="2:18">
      <c r="B7" s="92" t="s">
        <v>189</v>
      </c>
      <c r="C7" s="93">
        <v>500</v>
      </c>
      <c r="D7" s="93">
        <v>1</v>
      </c>
      <c r="E7" s="93">
        <v>1825</v>
      </c>
      <c r="F7" s="93">
        <v>7</v>
      </c>
      <c r="G7" s="91">
        <f t="shared" si="4"/>
        <v>2659285.7142857141</v>
      </c>
      <c r="H7" s="93">
        <v>1</v>
      </c>
      <c r="I7" s="93">
        <v>1808</v>
      </c>
      <c r="J7" s="93">
        <v>7</v>
      </c>
      <c r="K7" s="91">
        <f t="shared" si="0"/>
        <v>2634514.2857142854</v>
      </c>
      <c r="L7" s="93">
        <v>1</v>
      </c>
      <c r="M7" s="93">
        <v>1822</v>
      </c>
      <c r="N7" s="93">
        <v>7</v>
      </c>
      <c r="O7" s="91">
        <f t="shared" si="1"/>
        <v>2654914.2857142854</v>
      </c>
      <c r="P7" s="94">
        <f t="shared" si="2"/>
        <v>2649571.4285714286</v>
      </c>
      <c r="Q7" s="94">
        <f t="shared" si="3"/>
        <v>13221.78165770719</v>
      </c>
      <c r="R7" s="95">
        <f t="shared" si="5"/>
        <v>6.4231756319523594</v>
      </c>
    </row>
    <row r="8" spans="2:18">
      <c r="B8" s="92" t="s">
        <v>190</v>
      </c>
      <c r="C8" s="93">
        <v>500</v>
      </c>
      <c r="D8" s="93">
        <v>0</v>
      </c>
      <c r="E8" s="93">
        <v>2306</v>
      </c>
      <c r="F8" s="93">
        <v>7</v>
      </c>
      <c r="G8" s="91">
        <f t="shared" si="4"/>
        <v>336017.14285714284</v>
      </c>
      <c r="H8" s="93">
        <v>0</v>
      </c>
      <c r="I8" s="93">
        <v>2052</v>
      </c>
      <c r="J8" s="93">
        <v>7</v>
      </c>
      <c r="K8" s="91">
        <f t="shared" si="0"/>
        <v>299005.71428571432</v>
      </c>
      <c r="L8" s="93">
        <v>0</v>
      </c>
      <c r="M8" s="93">
        <v>2049</v>
      </c>
      <c r="N8" s="93">
        <v>7</v>
      </c>
      <c r="O8" s="91">
        <f t="shared" si="1"/>
        <v>298568.57142857142</v>
      </c>
      <c r="P8" s="94">
        <f t="shared" si="2"/>
        <v>311197.14285714284</v>
      </c>
      <c r="Q8" s="94">
        <f t="shared" si="3"/>
        <v>21495.861775453133</v>
      </c>
      <c r="R8" s="95">
        <f t="shared" si="5"/>
        <v>5.4930356010198587</v>
      </c>
    </row>
    <row r="9" spans="2:18">
      <c r="B9" s="92" t="s">
        <v>191</v>
      </c>
      <c r="C9" s="93">
        <v>1000</v>
      </c>
      <c r="D9" s="93">
        <v>3</v>
      </c>
      <c r="E9" s="93">
        <v>13995</v>
      </c>
      <c r="F9" s="93">
        <v>7</v>
      </c>
      <c r="G9" s="91">
        <f t="shared" si="4"/>
        <v>2039271428.5714283</v>
      </c>
      <c r="H9" s="93">
        <v>3</v>
      </c>
      <c r="I9" s="93">
        <v>13769</v>
      </c>
      <c r="J9" s="93">
        <v>7</v>
      </c>
      <c r="K9" s="91">
        <f t="shared" si="0"/>
        <v>2006339999.9999998</v>
      </c>
      <c r="L9" s="93">
        <v>3</v>
      </c>
      <c r="M9" s="93">
        <v>15093</v>
      </c>
      <c r="N9" s="93">
        <v>7</v>
      </c>
      <c r="O9" s="91">
        <f t="shared" si="1"/>
        <v>2199265714.2857146</v>
      </c>
      <c r="P9" s="94">
        <f t="shared" si="2"/>
        <v>2081625714.2857141</v>
      </c>
      <c r="Q9" s="94">
        <f t="shared" si="3"/>
        <v>103201244.89045103</v>
      </c>
      <c r="R9" s="95">
        <f t="shared" si="5"/>
        <v>9.3184026440827186</v>
      </c>
    </row>
    <row r="10" spans="2:18">
      <c r="B10" s="92" t="s">
        <v>192</v>
      </c>
      <c r="C10" s="93">
        <v>900</v>
      </c>
      <c r="D10" s="93">
        <v>3</v>
      </c>
      <c r="E10" s="93">
        <v>6387</v>
      </c>
      <c r="F10" s="93">
        <v>7</v>
      </c>
      <c r="G10" s="91">
        <f t="shared" si="4"/>
        <v>930677142.85714281</v>
      </c>
      <c r="H10" s="93">
        <v>3</v>
      </c>
      <c r="I10" s="93">
        <v>7378</v>
      </c>
      <c r="J10" s="93">
        <v>7</v>
      </c>
      <c r="K10" s="91">
        <f t="shared" si="0"/>
        <v>1075080000</v>
      </c>
      <c r="L10" s="93">
        <v>3</v>
      </c>
      <c r="M10" s="93">
        <v>6564</v>
      </c>
      <c r="N10" s="93">
        <v>7</v>
      </c>
      <c r="O10" s="91">
        <f t="shared" si="1"/>
        <v>956468571.42857134</v>
      </c>
      <c r="P10" s="94">
        <f t="shared" si="2"/>
        <v>987408571.42857134</v>
      </c>
      <c r="Q10" s="94">
        <f t="shared" si="3"/>
        <v>77013044.270143658</v>
      </c>
      <c r="R10" s="95">
        <f t="shared" si="5"/>
        <v>8.9944968928936131</v>
      </c>
    </row>
    <row r="11" spans="2:18">
      <c r="B11" s="92" t="s">
        <v>193</v>
      </c>
      <c r="C11" s="93">
        <v>900</v>
      </c>
      <c r="D11" s="93">
        <v>3</v>
      </c>
      <c r="E11" s="93">
        <v>3341</v>
      </c>
      <c r="F11" s="93">
        <v>7</v>
      </c>
      <c r="G11" s="91">
        <f t="shared" si="4"/>
        <v>486831428.5714286</v>
      </c>
      <c r="H11" s="93">
        <v>3</v>
      </c>
      <c r="I11" s="93">
        <v>3712</v>
      </c>
      <c r="J11" s="93">
        <v>7</v>
      </c>
      <c r="K11" s="91">
        <f t="shared" si="0"/>
        <v>540891428.57142866</v>
      </c>
      <c r="L11" s="93">
        <v>3</v>
      </c>
      <c r="M11" s="93">
        <v>3690</v>
      </c>
      <c r="N11" s="93">
        <v>7</v>
      </c>
      <c r="O11" s="91">
        <f t="shared" si="1"/>
        <v>537685714.28571427</v>
      </c>
      <c r="P11" s="94">
        <f t="shared" si="2"/>
        <v>521802857.14285713</v>
      </c>
      <c r="Q11" s="94">
        <f t="shared" si="3"/>
        <v>30328530.516088422</v>
      </c>
      <c r="R11" s="95">
        <f t="shared" si="5"/>
        <v>8.7175064527595634</v>
      </c>
    </row>
    <row r="12" spans="2:18">
      <c r="B12" s="92" t="s">
        <v>194</v>
      </c>
      <c r="C12" s="93">
        <v>900</v>
      </c>
      <c r="D12" s="93">
        <v>2</v>
      </c>
      <c r="E12" s="93">
        <v>19134</v>
      </c>
      <c r="F12" s="93">
        <v>7</v>
      </c>
      <c r="G12" s="91">
        <f>(E12/F12)*(10.2)*POWER(10,D12+2)</f>
        <v>278809714.28571427</v>
      </c>
      <c r="H12" s="93">
        <v>2</v>
      </c>
      <c r="I12" s="93">
        <v>18838</v>
      </c>
      <c r="J12" s="93">
        <v>7</v>
      </c>
      <c r="K12" s="91">
        <f t="shared" si="0"/>
        <v>274496571.42857146</v>
      </c>
      <c r="L12" s="93">
        <v>2</v>
      </c>
      <c r="M12" s="93">
        <v>18096</v>
      </c>
      <c r="N12" s="93">
        <v>7</v>
      </c>
      <c r="O12" s="91">
        <f t="shared" si="1"/>
        <v>263684571.42857143</v>
      </c>
      <c r="P12" s="94">
        <f t="shared" si="2"/>
        <v>272330285.71428573</v>
      </c>
      <c r="Q12" s="94">
        <f t="shared" si="3"/>
        <v>7791795.8109272597</v>
      </c>
      <c r="R12" s="95">
        <f t="shared" si="5"/>
        <v>8.4350959416969342</v>
      </c>
    </row>
    <row r="13" spans="2:18">
      <c r="B13" s="92" t="s">
        <v>195</v>
      </c>
      <c r="C13" s="93">
        <v>900</v>
      </c>
      <c r="D13" s="93">
        <v>2</v>
      </c>
      <c r="E13" s="93">
        <v>9224</v>
      </c>
      <c r="F13" s="93">
        <v>7</v>
      </c>
      <c r="G13" s="91">
        <f t="shared" si="4"/>
        <v>134406857.14285713</v>
      </c>
      <c r="H13" s="93">
        <v>2</v>
      </c>
      <c r="I13" s="93">
        <v>9341</v>
      </c>
      <c r="J13" s="93">
        <v>7</v>
      </c>
      <c r="K13" s="91">
        <f t="shared" si="0"/>
        <v>136111714.28571427</v>
      </c>
      <c r="L13" s="93">
        <v>2</v>
      </c>
      <c r="M13" s="93">
        <v>9173</v>
      </c>
      <c r="N13" s="93">
        <v>7</v>
      </c>
      <c r="O13" s="91">
        <f t="shared" si="1"/>
        <v>133663714.28571427</v>
      </c>
      <c r="P13" s="94">
        <f t="shared" si="2"/>
        <v>134727428.57142857</v>
      </c>
      <c r="Q13" s="94">
        <f t="shared" si="3"/>
        <v>1255089.8496172463</v>
      </c>
      <c r="R13" s="95">
        <f t="shared" si="5"/>
        <v>8.1294560208497231</v>
      </c>
    </row>
    <row r="14" spans="2:18">
      <c r="B14" s="92" t="s">
        <v>196</v>
      </c>
      <c r="C14" s="93">
        <v>900</v>
      </c>
      <c r="D14" s="93">
        <v>2</v>
      </c>
      <c r="E14" s="93">
        <v>4238</v>
      </c>
      <c r="F14" s="93">
        <v>7</v>
      </c>
      <c r="G14" s="91">
        <f t="shared" si="4"/>
        <v>61753714.285714284</v>
      </c>
      <c r="H14" s="93">
        <v>2</v>
      </c>
      <c r="I14" s="93">
        <v>4832</v>
      </c>
      <c r="J14" s="93">
        <v>7</v>
      </c>
      <c r="K14" s="91">
        <f t="shared" si="0"/>
        <v>70409142.857142866</v>
      </c>
      <c r="L14" s="93">
        <v>2</v>
      </c>
      <c r="M14" s="93">
        <v>4770</v>
      </c>
      <c r="N14" s="93">
        <v>7</v>
      </c>
      <c r="O14" s="91">
        <f t="shared" si="1"/>
        <v>69505714.285714284</v>
      </c>
      <c r="P14" s="94">
        <f t="shared" si="2"/>
        <v>67222857.142857134</v>
      </c>
      <c r="Q14" s="94">
        <f t="shared" si="3"/>
        <v>4757907.9950957391</v>
      </c>
      <c r="R14" s="95">
        <f t="shared" si="5"/>
        <v>7.8275169671487372</v>
      </c>
    </row>
    <row r="15" spans="2:18">
      <c r="B15" s="92" t="s">
        <v>197</v>
      </c>
      <c r="C15" s="93">
        <v>900</v>
      </c>
      <c r="D15" s="93">
        <v>1</v>
      </c>
      <c r="E15" s="93">
        <v>22411</v>
      </c>
      <c r="F15" s="93">
        <v>7</v>
      </c>
      <c r="G15" s="91">
        <f t="shared" si="4"/>
        <v>32656028.571428567</v>
      </c>
      <c r="H15" s="93">
        <v>1</v>
      </c>
      <c r="I15" s="93">
        <v>23826</v>
      </c>
      <c r="J15" s="93">
        <v>7</v>
      </c>
      <c r="K15" s="91">
        <f t="shared" si="0"/>
        <v>34717885.714285716</v>
      </c>
      <c r="L15" s="93">
        <v>1</v>
      </c>
      <c r="M15" s="93">
        <v>24471</v>
      </c>
      <c r="N15" s="93">
        <v>7</v>
      </c>
      <c r="O15" s="91">
        <f t="shared" si="1"/>
        <v>35657742.857142851</v>
      </c>
      <c r="P15" s="94">
        <f t="shared" si="2"/>
        <v>34343885.714285709</v>
      </c>
      <c r="Q15" s="94">
        <f t="shared" si="3"/>
        <v>1535408.4678890193</v>
      </c>
      <c r="R15" s="95">
        <f t="shared" si="5"/>
        <v>7.5358494302775298</v>
      </c>
    </row>
    <row r="16" spans="2:18">
      <c r="B16" s="92" t="s">
        <v>198</v>
      </c>
      <c r="C16" s="93">
        <v>900</v>
      </c>
      <c r="D16" s="93">
        <v>1</v>
      </c>
      <c r="E16" s="93">
        <v>12012</v>
      </c>
      <c r="F16" s="93">
        <v>7</v>
      </c>
      <c r="G16" s="91">
        <f t="shared" si="4"/>
        <v>17503199.999999996</v>
      </c>
      <c r="H16" s="93">
        <v>1</v>
      </c>
      <c r="I16" s="93">
        <v>12668</v>
      </c>
      <c r="J16" s="93">
        <v>7</v>
      </c>
      <c r="K16" s="91">
        <f t="shared" si="0"/>
        <v>18459085.714285713</v>
      </c>
      <c r="L16" s="93">
        <v>1</v>
      </c>
      <c r="M16" s="93">
        <v>11470</v>
      </c>
      <c r="N16" s="93">
        <v>7</v>
      </c>
      <c r="O16" s="91">
        <f t="shared" si="1"/>
        <v>16713428.571428573</v>
      </c>
      <c r="P16" s="94">
        <f t="shared" si="2"/>
        <v>17558571.428571429</v>
      </c>
      <c r="Q16" s="94">
        <f t="shared" si="3"/>
        <v>874144.84579420183</v>
      </c>
      <c r="R16" s="95">
        <f t="shared" si="5"/>
        <v>7.2444891786585481</v>
      </c>
    </row>
    <row r="17" spans="2:18">
      <c r="B17" s="92" t="s">
        <v>199</v>
      </c>
      <c r="C17" s="93">
        <v>900</v>
      </c>
      <c r="D17" s="93">
        <v>1</v>
      </c>
      <c r="E17" s="93">
        <v>5750</v>
      </c>
      <c r="F17" s="93">
        <v>7</v>
      </c>
      <c r="G17" s="91">
        <f t="shared" si="4"/>
        <v>8378571.4285714272</v>
      </c>
      <c r="H17" s="93">
        <v>1</v>
      </c>
      <c r="I17" s="93">
        <v>5481</v>
      </c>
      <c r="J17" s="93">
        <v>7</v>
      </c>
      <c r="K17" s="91">
        <f t="shared" si="0"/>
        <v>7986599.9999999991</v>
      </c>
      <c r="L17" s="93">
        <v>1</v>
      </c>
      <c r="M17" s="93">
        <v>5831</v>
      </c>
      <c r="N17" s="93">
        <v>7</v>
      </c>
      <c r="O17" s="91">
        <f t="shared" si="1"/>
        <v>8496599.9999999981</v>
      </c>
      <c r="P17" s="94">
        <f t="shared" si="2"/>
        <v>8287257.1428571418</v>
      </c>
      <c r="Q17" s="94">
        <f t="shared" si="3"/>
        <v>266980.75601367303</v>
      </c>
      <c r="R17" s="95">
        <f t="shared" si="5"/>
        <v>6.9184108146481318</v>
      </c>
    </row>
    <row r="18" spans="2:18">
      <c r="B18" s="92" t="s">
        <v>200</v>
      </c>
      <c r="C18" s="93">
        <v>900</v>
      </c>
      <c r="D18" s="93">
        <v>1</v>
      </c>
      <c r="E18" s="93">
        <v>2868</v>
      </c>
      <c r="F18" s="93">
        <v>7</v>
      </c>
      <c r="G18" s="91">
        <f t="shared" si="4"/>
        <v>4179085.7142857141</v>
      </c>
      <c r="H18" s="93">
        <v>1</v>
      </c>
      <c r="I18" s="93">
        <v>2835</v>
      </c>
      <c r="J18" s="93">
        <v>7</v>
      </c>
      <c r="K18" s="91">
        <f t="shared" si="0"/>
        <v>4131000</v>
      </c>
      <c r="L18" s="93">
        <v>1</v>
      </c>
      <c r="M18" s="93">
        <v>2976</v>
      </c>
      <c r="N18" s="93">
        <v>7</v>
      </c>
      <c r="O18" s="91">
        <f t="shared" si="1"/>
        <v>4336457.1428571427</v>
      </c>
      <c r="P18" s="94">
        <f t="shared" si="2"/>
        <v>4215514.2857142854</v>
      </c>
      <c r="Q18" s="94">
        <f t="shared" si="3"/>
        <v>107463.6682790979</v>
      </c>
      <c r="R18" s="95">
        <f t="shared" si="5"/>
        <v>6.6248505653956435</v>
      </c>
    </row>
    <row r="19" spans="2:18">
      <c r="B19" s="92" t="s">
        <v>201</v>
      </c>
      <c r="C19" s="93">
        <v>900</v>
      </c>
      <c r="D19" s="93">
        <v>0</v>
      </c>
      <c r="E19" s="93">
        <v>10096</v>
      </c>
      <c r="F19" s="93">
        <v>7</v>
      </c>
      <c r="G19" s="91">
        <f t="shared" si="4"/>
        <v>1471131.4285714284</v>
      </c>
      <c r="H19" s="93">
        <v>0</v>
      </c>
      <c r="I19" s="93">
        <v>8923</v>
      </c>
      <c r="J19" s="93">
        <v>7</v>
      </c>
      <c r="K19" s="91">
        <f>(I19/J19)*(10.2)*POWER(10,H19+2)</f>
        <v>1300208.5714285716</v>
      </c>
      <c r="L19" s="93">
        <v>0</v>
      </c>
      <c r="M19" s="93">
        <v>8050</v>
      </c>
      <c r="N19" s="93">
        <v>7</v>
      </c>
      <c r="O19" s="91">
        <f t="shared" si="1"/>
        <v>1173000</v>
      </c>
      <c r="P19" s="94">
        <f t="shared" si="2"/>
        <v>1314780</v>
      </c>
      <c r="Q19" s="94">
        <f t="shared" si="3"/>
        <v>149598.9039848533</v>
      </c>
      <c r="R19" s="95">
        <f t="shared" si="5"/>
        <v>6.118853089115321</v>
      </c>
    </row>
    <row r="20" spans="2:18" ht="15" thickBot="1"/>
    <row r="21" spans="2:18" ht="55" customHeight="1" thickBot="1">
      <c r="B21" s="96" t="s">
        <v>4</v>
      </c>
      <c r="C21" s="96" t="s">
        <v>202</v>
      </c>
      <c r="D21" s="96" t="s">
        <v>203</v>
      </c>
      <c r="E21" s="96" t="s">
        <v>204</v>
      </c>
      <c r="F21" s="96" t="s">
        <v>205</v>
      </c>
      <c r="G21" s="97" t="s">
        <v>206</v>
      </c>
      <c r="H21" s="98" t="s">
        <v>207</v>
      </c>
      <c r="I21" s="98" t="s">
        <v>208</v>
      </c>
      <c r="J21" s="98" t="s">
        <v>209</v>
      </c>
      <c r="K21" s="98" t="s">
        <v>210</v>
      </c>
      <c r="L21" s="98" t="s">
        <v>211</v>
      </c>
      <c r="M21" s="99" t="s">
        <v>212</v>
      </c>
    </row>
    <row r="23" spans="2:18">
      <c r="B23" s="92" t="s">
        <v>186</v>
      </c>
      <c r="C23" s="100">
        <v>16.382114410400391</v>
      </c>
      <c r="D23" s="100">
        <v>16.2430419921875</v>
      </c>
      <c r="E23" s="100">
        <v>16.416009902954102</v>
      </c>
      <c r="F23" s="100">
        <f>AVERAGE(C23:E23)</f>
        <v>16.347055435180664</v>
      </c>
      <c r="G23" s="86">
        <f>15*180/4*1000/900</f>
        <v>750</v>
      </c>
      <c r="H23" s="86">
        <f>LOG(G23)/LOG(2)</f>
        <v>9.5507467853832431</v>
      </c>
      <c r="I23" s="93">
        <f>C23-H23</f>
        <v>6.8313676250171476</v>
      </c>
      <c r="J23" s="93">
        <f>D23-H23</f>
        <v>6.6922952068042569</v>
      </c>
      <c r="K23" s="93">
        <f>E23-H23</f>
        <v>6.8652631175708585</v>
      </c>
      <c r="L23" s="101">
        <f>AVERAGE(I23:K23)</f>
        <v>6.796308649797421</v>
      </c>
    </row>
    <row r="24" spans="2:18">
      <c r="B24" s="92" t="s">
        <v>187</v>
      </c>
      <c r="C24" s="100">
        <v>20.246736526489258</v>
      </c>
      <c r="D24" s="100">
        <v>20.337041854858398</v>
      </c>
      <c r="E24" s="100">
        <v>20.223323822021484</v>
      </c>
      <c r="F24" s="100">
        <f t="shared" ref="F24:F38" si="6">AVERAGE(C24:E24)</f>
        <v>20.269034067789715</v>
      </c>
      <c r="G24" s="86">
        <f t="shared" ref="G24:G26" si="7">15*180/4*1000/900</f>
        <v>750</v>
      </c>
      <c r="H24" s="86">
        <f t="shared" ref="H24:H38" si="8">LOG(G24)/LOG(2)</f>
        <v>9.5507467853832431</v>
      </c>
      <c r="I24" s="93">
        <f t="shared" ref="I24:I38" si="9">C24-H24</f>
        <v>10.695989741106015</v>
      </c>
      <c r="J24" s="93">
        <f t="shared" ref="J24:J38" si="10">D24-H24</f>
        <v>10.786295069475155</v>
      </c>
      <c r="K24" s="93">
        <f t="shared" ref="K24:K38" si="11">E24-H24</f>
        <v>10.672577036638241</v>
      </c>
      <c r="L24" s="101">
        <f t="shared" ref="L24:L38" si="12">AVERAGE(I24:K24)</f>
        <v>10.71828728240647</v>
      </c>
    </row>
    <row r="25" spans="2:18">
      <c r="B25" s="92" t="s">
        <v>188</v>
      </c>
      <c r="C25" s="100">
        <v>23.471084594726562</v>
      </c>
      <c r="D25" s="100">
        <v>23.434993743896484</v>
      </c>
      <c r="E25" s="100">
        <v>23.65556526184082</v>
      </c>
      <c r="F25" s="100">
        <f t="shared" si="6"/>
        <v>23.520547866821289</v>
      </c>
      <c r="G25" s="86">
        <f t="shared" si="7"/>
        <v>750</v>
      </c>
      <c r="H25" s="86">
        <f t="shared" si="8"/>
        <v>9.5507467853832431</v>
      </c>
      <c r="I25" s="93">
        <f t="shared" si="9"/>
        <v>13.920337809343319</v>
      </c>
      <c r="J25" s="93">
        <f t="shared" si="10"/>
        <v>13.884246958513241</v>
      </c>
      <c r="K25" s="93">
        <f t="shared" si="11"/>
        <v>14.104818476457577</v>
      </c>
      <c r="L25" s="101">
        <f t="shared" si="12"/>
        <v>13.969801081438044</v>
      </c>
    </row>
    <row r="26" spans="2:18">
      <c r="B26" s="92" t="s">
        <v>189</v>
      </c>
      <c r="C26" s="100">
        <v>27.687118530273438</v>
      </c>
      <c r="D26" s="100">
        <v>27.683933258056641</v>
      </c>
      <c r="E26" s="100">
        <v>27.721792221069336</v>
      </c>
      <c r="F26" s="100">
        <f t="shared" si="6"/>
        <v>27.697614669799805</v>
      </c>
      <c r="G26" s="86">
        <f t="shared" si="7"/>
        <v>750</v>
      </c>
      <c r="H26" s="86">
        <f t="shared" si="8"/>
        <v>9.5507467853832431</v>
      </c>
      <c r="I26" s="93">
        <f t="shared" si="9"/>
        <v>18.136371744890194</v>
      </c>
      <c r="J26" s="93">
        <f t="shared" si="10"/>
        <v>18.133186472673398</v>
      </c>
      <c r="K26" s="93">
        <f t="shared" si="11"/>
        <v>18.171045435686093</v>
      </c>
      <c r="L26" s="101">
        <f t="shared" si="12"/>
        <v>18.146867884416562</v>
      </c>
    </row>
    <row r="27" spans="2:18">
      <c r="B27" s="92" t="s">
        <v>190</v>
      </c>
      <c r="C27" s="100">
        <v>31.580327987670898</v>
      </c>
      <c r="D27" s="100">
        <v>31.876550674438477</v>
      </c>
      <c r="E27" s="100">
        <v>31.972114562988281</v>
      </c>
      <c r="F27" s="100">
        <f t="shared" si="6"/>
        <v>31.809664408365887</v>
      </c>
      <c r="G27" s="86">
        <f>15*180/4*1000/900</f>
        <v>750</v>
      </c>
      <c r="H27" s="86">
        <f>LOG(G27)/LOG(2)</f>
        <v>9.5507467853832431</v>
      </c>
      <c r="I27" s="93">
        <f t="shared" si="9"/>
        <v>22.029581202287655</v>
      </c>
      <c r="J27" s="93">
        <f t="shared" si="10"/>
        <v>22.325803889055233</v>
      </c>
      <c r="K27" s="93">
        <f t="shared" si="11"/>
        <v>22.421367777605038</v>
      </c>
      <c r="L27" s="101">
        <f t="shared" si="12"/>
        <v>22.25891762298264</v>
      </c>
    </row>
    <row r="28" spans="2:18">
      <c r="B28" s="92" t="s">
        <v>191</v>
      </c>
      <c r="C28" s="100">
        <v>16.648801803588867</v>
      </c>
      <c r="D28" s="100">
        <v>17.485513687133789</v>
      </c>
      <c r="E28" s="100">
        <v>16.725131988525391</v>
      </c>
      <c r="F28" s="100">
        <f t="shared" si="6"/>
        <v>16.953149159749348</v>
      </c>
      <c r="G28" s="86">
        <f>15*180/4*1000/1000</f>
        <v>675</v>
      </c>
      <c r="H28" s="86">
        <f t="shared" si="8"/>
        <v>9.3987436919381935</v>
      </c>
      <c r="I28" s="93">
        <f t="shared" si="9"/>
        <v>7.2500581116506737</v>
      </c>
      <c r="J28" s="93">
        <f t="shared" si="10"/>
        <v>8.0867699951955956</v>
      </c>
      <c r="K28" s="93">
        <f t="shared" si="11"/>
        <v>7.3263882965871971</v>
      </c>
      <c r="L28" s="101">
        <f t="shared" si="12"/>
        <v>7.5544054678111552</v>
      </c>
    </row>
    <row r="29" spans="2:18">
      <c r="B29" s="92" t="s">
        <v>192</v>
      </c>
      <c r="C29" s="100">
        <v>19.15205192565918</v>
      </c>
      <c r="D29" s="100">
        <v>18.957448959350586</v>
      </c>
      <c r="E29" s="100">
        <v>18.855649948120117</v>
      </c>
      <c r="F29" s="100">
        <f t="shared" si="6"/>
        <v>18.988383611043293</v>
      </c>
      <c r="G29" s="86">
        <f>15*180/4*1000/500</f>
        <v>1350</v>
      </c>
      <c r="H29" s="86">
        <f t="shared" si="8"/>
        <v>10.398743691938193</v>
      </c>
      <c r="I29" s="93">
        <f t="shared" si="9"/>
        <v>8.7533082337209862</v>
      </c>
      <c r="J29" s="93">
        <f t="shared" si="10"/>
        <v>8.5587052674123925</v>
      </c>
      <c r="K29" s="93">
        <f t="shared" si="11"/>
        <v>8.4569062561819237</v>
      </c>
      <c r="L29" s="101">
        <f t="shared" si="12"/>
        <v>8.5896399191051014</v>
      </c>
    </row>
    <row r="30" spans="2:18">
      <c r="B30" s="92" t="s">
        <v>193</v>
      </c>
      <c r="C30" s="100">
        <v>19.934587478637695</v>
      </c>
      <c r="D30" s="100">
        <v>19.768661499023438</v>
      </c>
      <c r="E30" s="100">
        <v>19.823604583740234</v>
      </c>
      <c r="F30" s="100">
        <f t="shared" si="6"/>
        <v>19.842284520467121</v>
      </c>
      <c r="G30" s="86">
        <f t="shared" ref="G30:G38" si="13">15*180/4*1000/500</f>
        <v>1350</v>
      </c>
      <c r="H30" s="86">
        <f t="shared" si="8"/>
        <v>10.398743691938193</v>
      </c>
      <c r="I30" s="93">
        <f t="shared" si="9"/>
        <v>9.5358437866995018</v>
      </c>
      <c r="J30" s="93">
        <f t="shared" si="10"/>
        <v>9.369917807085244</v>
      </c>
      <c r="K30" s="93">
        <f t="shared" si="11"/>
        <v>9.4248608918020409</v>
      </c>
      <c r="L30" s="101">
        <f t="shared" si="12"/>
        <v>9.4435408285289295</v>
      </c>
    </row>
    <row r="31" spans="2:18">
      <c r="B31" s="92" t="s">
        <v>194</v>
      </c>
      <c r="C31" s="100">
        <v>20.650510787963867</v>
      </c>
      <c r="D31" s="100">
        <v>20.447122573852539</v>
      </c>
      <c r="E31" s="100">
        <v>20.447004318237305</v>
      </c>
      <c r="F31" s="100">
        <f t="shared" si="6"/>
        <v>20.51487922668457</v>
      </c>
      <c r="G31" s="86">
        <f t="shared" si="13"/>
        <v>1350</v>
      </c>
      <c r="H31" s="86">
        <f t="shared" si="8"/>
        <v>10.398743691938193</v>
      </c>
      <c r="I31" s="93">
        <f t="shared" si="9"/>
        <v>10.251767096025674</v>
      </c>
      <c r="J31" s="93">
        <f t="shared" si="10"/>
        <v>10.048378881914346</v>
      </c>
      <c r="K31" s="93">
        <f t="shared" si="11"/>
        <v>10.048260626299111</v>
      </c>
      <c r="L31" s="101">
        <f t="shared" si="12"/>
        <v>10.116135534746377</v>
      </c>
    </row>
    <row r="32" spans="2:18">
      <c r="B32" s="92" t="s">
        <v>195</v>
      </c>
      <c r="C32" s="100">
        <v>21.825428009033203</v>
      </c>
      <c r="D32" s="100">
        <v>21.617404937744141</v>
      </c>
      <c r="E32" s="100">
        <v>21.863065719604492</v>
      </c>
      <c r="F32" s="100">
        <f t="shared" si="6"/>
        <v>21.768632888793945</v>
      </c>
      <c r="G32" s="86">
        <f t="shared" si="13"/>
        <v>1350</v>
      </c>
      <c r="H32" s="86">
        <f t="shared" si="8"/>
        <v>10.398743691938193</v>
      </c>
      <c r="I32" s="93">
        <f t="shared" si="9"/>
        <v>11.42668431709501</v>
      </c>
      <c r="J32" s="93">
        <f t="shared" si="10"/>
        <v>11.218661245805947</v>
      </c>
      <c r="K32" s="93">
        <f t="shared" si="11"/>
        <v>11.464322027666299</v>
      </c>
      <c r="L32" s="101">
        <f t="shared" si="12"/>
        <v>11.369889196855752</v>
      </c>
    </row>
    <row r="33" spans="2:12">
      <c r="B33" s="92" t="s">
        <v>196</v>
      </c>
      <c r="C33" s="100">
        <v>22.909189224243164</v>
      </c>
      <c r="D33" s="100">
        <v>22.986705780029297</v>
      </c>
      <c r="E33" s="100">
        <v>23.151363372802734</v>
      </c>
      <c r="F33" s="100">
        <f t="shared" si="6"/>
        <v>23.015752792358398</v>
      </c>
      <c r="G33" s="86">
        <f>15*180/4*1000/500</f>
        <v>1350</v>
      </c>
      <c r="H33" s="86">
        <f t="shared" si="8"/>
        <v>10.398743691938193</v>
      </c>
      <c r="I33" s="93">
        <f t="shared" si="9"/>
        <v>12.510445532304971</v>
      </c>
      <c r="J33" s="93">
        <f t="shared" si="10"/>
        <v>12.587962088091103</v>
      </c>
      <c r="K33" s="93">
        <f t="shared" si="11"/>
        <v>12.752619680864541</v>
      </c>
      <c r="L33" s="101">
        <f t="shared" si="12"/>
        <v>12.617009100420205</v>
      </c>
    </row>
    <row r="34" spans="2:12">
      <c r="B34" s="92" t="s">
        <v>197</v>
      </c>
      <c r="C34" s="100">
        <v>24.431295394897461</v>
      </c>
      <c r="D34" s="100">
        <v>24.009675979614258</v>
      </c>
      <c r="E34" s="100">
        <v>23.951196670532227</v>
      </c>
      <c r="F34" s="100">
        <f t="shared" si="6"/>
        <v>24.130722681681316</v>
      </c>
      <c r="G34" s="86">
        <f t="shared" si="13"/>
        <v>1350</v>
      </c>
      <c r="H34" s="86">
        <f t="shared" si="8"/>
        <v>10.398743691938193</v>
      </c>
      <c r="I34" s="93">
        <f t="shared" si="9"/>
        <v>14.032551702959267</v>
      </c>
      <c r="J34" s="93">
        <f t="shared" si="10"/>
        <v>13.610932287676064</v>
      </c>
      <c r="K34" s="93">
        <f t="shared" si="11"/>
        <v>13.552452978594033</v>
      </c>
      <c r="L34" s="101">
        <f t="shared" si="12"/>
        <v>13.731978989743121</v>
      </c>
    </row>
    <row r="35" spans="2:12">
      <c r="B35" s="92" t="s">
        <v>198</v>
      </c>
      <c r="C35" s="100">
        <v>25.132335662841797</v>
      </c>
      <c r="D35" s="100">
        <v>24.967596054077148</v>
      </c>
      <c r="E35" s="100">
        <v>25.03386116027832</v>
      </c>
      <c r="F35" s="100">
        <f t="shared" si="6"/>
        <v>25.044597625732422</v>
      </c>
      <c r="G35" s="86">
        <f t="shared" si="13"/>
        <v>1350</v>
      </c>
      <c r="H35" s="86">
        <f t="shared" si="8"/>
        <v>10.398743691938193</v>
      </c>
      <c r="I35" s="93">
        <f t="shared" si="9"/>
        <v>14.733591970903603</v>
      </c>
      <c r="J35" s="93">
        <f t="shared" si="10"/>
        <v>14.568852362138955</v>
      </c>
      <c r="K35" s="93">
        <f t="shared" si="11"/>
        <v>14.635117468340127</v>
      </c>
      <c r="L35" s="101">
        <f t="shared" si="12"/>
        <v>14.645853933794228</v>
      </c>
    </row>
    <row r="36" spans="2:12">
      <c r="B36" s="92" t="s">
        <v>199</v>
      </c>
      <c r="C36" s="100">
        <v>26.708147048950195</v>
      </c>
      <c r="D36" s="100">
        <v>26.763067245483398</v>
      </c>
      <c r="E36" s="100"/>
      <c r="F36" s="100">
        <f t="shared" si="6"/>
        <v>26.735607147216797</v>
      </c>
      <c r="G36" s="86">
        <f t="shared" si="13"/>
        <v>1350</v>
      </c>
      <c r="H36" s="86">
        <f t="shared" si="8"/>
        <v>10.398743691938193</v>
      </c>
      <c r="I36" s="93">
        <f t="shared" si="9"/>
        <v>16.309403357012002</v>
      </c>
      <c r="J36" s="93">
        <f t="shared" si="10"/>
        <v>16.364323553545205</v>
      </c>
      <c r="K36" s="93"/>
      <c r="L36" s="101">
        <f t="shared" si="12"/>
        <v>16.336863455278603</v>
      </c>
    </row>
    <row r="37" spans="2:12">
      <c r="B37" s="92" t="s">
        <v>200</v>
      </c>
      <c r="C37" s="100">
        <v>27.613700866699219</v>
      </c>
      <c r="D37" s="100">
        <v>27.812423706054688</v>
      </c>
      <c r="E37" s="100">
        <v>27.789873123168945</v>
      </c>
      <c r="F37" s="100">
        <f t="shared" si="6"/>
        <v>27.738665898640949</v>
      </c>
      <c r="G37" s="86">
        <f t="shared" si="13"/>
        <v>1350</v>
      </c>
      <c r="H37" s="86">
        <f t="shared" si="8"/>
        <v>10.398743691938193</v>
      </c>
      <c r="I37" s="93">
        <f t="shared" si="9"/>
        <v>17.214957174761025</v>
      </c>
      <c r="J37" s="93">
        <f t="shared" si="10"/>
        <v>17.413680014116494</v>
      </c>
      <c r="K37" s="93">
        <f t="shared" si="11"/>
        <v>17.391129431230752</v>
      </c>
      <c r="L37" s="101">
        <f t="shared" si="12"/>
        <v>17.339922206702756</v>
      </c>
    </row>
    <row r="38" spans="2:12">
      <c r="B38" s="92" t="s">
        <v>201</v>
      </c>
      <c r="C38" s="100">
        <v>29.07282829284668</v>
      </c>
      <c r="D38" s="100">
        <v>28.964012145996094</v>
      </c>
      <c r="E38" s="100">
        <v>29.311826705932617</v>
      </c>
      <c r="F38" s="100">
        <f t="shared" si="6"/>
        <v>29.116222381591797</v>
      </c>
      <c r="G38" s="86">
        <f t="shared" si="13"/>
        <v>1350</v>
      </c>
      <c r="H38" s="86">
        <f t="shared" si="8"/>
        <v>10.398743691938193</v>
      </c>
      <c r="I38" s="93">
        <f t="shared" si="9"/>
        <v>18.674084600908486</v>
      </c>
      <c r="J38" s="93">
        <f t="shared" si="10"/>
        <v>18.5652684540579</v>
      </c>
      <c r="K38" s="93">
        <f t="shared" si="11"/>
        <v>18.913083013994424</v>
      </c>
      <c r="L38" s="101">
        <f t="shared" si="12"/>
        <v>18.717478689653603</v>
      </c>
    </row>
    <row r="40" spans="2:12">
      <c r="B40" s="92" t="s">
        <v>213</v>
      </c>
      <c r="C40" s="100">
        <v>15.713388442993164</v>
      </c>
      <c r="D40" s="100">
        <v>15.726656913757324</v>
      </c>
      <c r="E40" s="100">
        <v>15.612536430358887</v>
      </c>
      <c r="F40" s="100">
        <f>AVERAGE(C40:E40)</f>
        <v>15.684193929036459</v>
      </c>
    </row>
    <row r="42" spans="2:12">
      <c r="B42" s="102" t="s">
        <v>214</v>
      </c>
      <c r="C42" s="86" t="s">
        <v>215</v>
      </c>
    </row>
    <row r="43" spans="2:12">
      <c r="B43" s="99" t="s">
        <v>216</v>
      </c>
      <c r="C43" s="86" t="s">
        <v>215</v>
      </c>
    </row>
    <row r="44" spans="2:12">
      <c r="C44" s="103" t="s">
        <v>217</v>
      </c>
      <c r="D44" s="101">
        <v>-3.6977000000000002</v>
      </c>
    </row>
    <row r="45" spans="2:12">
      <c r="C45" s="103" t="s">
        <v>218</v>
      </c>
      <c r="D45" s="101">
        <v>41.616</v>
      </c>
    </row>
    <row r="48" spans="2:12">
      <c r="B48" s="99" t="s">
        <v>219</v>
      </c>
      <c r="D48" s="86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3"/>
  <sheetViews>
    <sheetView topLeftCell="A47" workbookViewId="0">
      <selection activeCell="H15" sqref="H15"/>
    </sheetView>
  </sheetViews>
  <sheetFormatPr baseColWidth="10" defaultColWidth="8.83203125" defaultRowHeight="14" x14ac:dyDescent="0"/>
  <cols>
    <col min="1" max="1" width="13.33203125" style="86" bestFit="1" customWidth="1"/>
    <col min="2" max="4" width="8.83203125" style="86"/>
    <col min="5" max="6" width="13.33203125" style="86" bestFit="1" customWidth="1"/>
    <col min="7" max="10" width="13.6640625" style="86" customWidth="1"/>
    <col min="11" max="11" width="16.5" style="86" bestFit="1" customWidth="1"/>
    <col min="12" max="12" width="17" style="86" customWidth="1"/>
    <col min="13" max="13" width="19.1640625" style="86" customWidth="1"/>
    <col min="14" max="14" width="17" style="86" customWidth="1"/>
    <col min="15" max="15" width="18.83203125" style="86" customWidth="1"/>
    <col min="16" max="16" width="18" style="86" customWidth="1"/>
    <col min="17" max="17" width="23.5" style="86" customWidth="1"/>
    <col min="18" max="18" width="18.5" style="86" customWidth="1"/>
    <col min="19" max="19" width="23.5" style="86" customWidth="1"/>
    <col min="20" max="16384" width="8.83203125" style="86"/>
  </cols>
  <sheetData>
    <row r="1" spans="1:19">
      <c r="A1" s="104" t="s">
        <v>220</v>
      </c>
    </row>
    <row r="2" spans="1:19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233</v>
      </c>
      <c r="R2" s="150" t="s">
        <v>234</v>
      </c>
      <c r="S2" s="147" t="s">
        <v>235</v>
      </c>
    </row>
    <row r="3" spans="1:19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51"/>
      <c r="S3" s="146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00">
        <v>27.695901870727539</v>
      </c>
      <c r="F4" s="100">
        <v>27.753168106079102</v>
      </c>
      <c r="G4" s="100">
        <v>28.378108978271484</v>
      </c>
      <c r="H4" s="100">
        <f>E4-$H$63+$H$73</f>
        <v>27.33317594166958</v>
      </c>
      <c r="I4" s="100">
        <f>F4-$H$63+$H$73</f>
        <v>27.390442177021143</v>
      </c>
      <c r="J4" s="100">
        <f>G4-$H$63+$H$73</f>
        <v>28.015383049213526</v>
      </c>
      <c r="K4" s="105">
        <f>((H4-'Calibration R. intestinalis '!$D$45)/('Calibration R. intestinalis '!$D$44))+$B$24</f>
        <v>7.5158363227188545</v>
      </c>
      <c r="L4" s="105">
        <f>((I4-'Calibration R. intestinalis '!$D$45)/('Calibration R. intestinalis '!$D$44))+$B$24</f>
        <v>7.5003493347664616</v>
      </c>
      <c r="M4" s="105">
        <f>((J4-'Calibration R. intestinalis '!$D$45)/('Calibration R. intestinalis '!$D$44))+$B$24</f>
        <v>7.3313413373106417</v>
      </c>
      <c r="N4" s="106">
        <f>AVERAGE(K4:M4)</f>
        <v>7.4491756649319854</v>
      </c>
      <c r="O4" s="106">
        <f>STDEV(K4:M4)</f>
        <v>0.10234089247920453</v>
      </c>
      <c r="P4" s="101">
        <f>(AVERAGE(POWER(10,K4),POWER(10,L4),POWER(10,M4)))*Calculation!$I4/Calculation!$K3</f>
        <v>28648524.979855798</v>
      </c>
      <c r="Q4" s="107">
        <f>(STDEV(POWER(10,K4),POWER(10,L4),POWER(10,M4)))*Calculation!$I4/Calculation!$K3</f>
        <v>6252492.6258023195</v>
      </c>
      <c r="R4" s="106">
        <f>LOG(P4)</f>
        <v>7.4571022664569835</v>
      </c>
      <c r="S4" s="106">
        <f>O4*Calculation!$I4/Calculation!$K3</f>
        <v>0.10240574729066157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8">
        <v>28.243133544921875</v>
      </c>
      <c r="F5" s="100">
        <v>28.266336441040039</v>
      </c>
      <c r="G5" s="100">
        <v>28.430770874023438</v>
      </c>
      <c r="H5" s="100">
        <f>E5-$H$63+$H$73</f>
        <v>27.880407615863916</v>
      </c>
      <c r="I5" s="100">
        <f>F5-$H$63+$H$73</f>
        <v>27.90361051198208</v>
      </c>
      <c r="J5" s="100">
        <f>G5-$H$63+$H$73</f>
        <v>28.068044944965479</v>
      </c>
      <c r="K5" s="105">
        <f>((H5-'Calibration R. intestinalis '!$D$45)/('Calibration R. intestinalis '!$D$44))+$B$24</f>
        <v>7.3678438749285151</v>
      </c>
      <c r="L5" s="105">
        <f>((I5-'Calibration R. intestinalis '!$D$45)/('Calibration R. intestinalis '!$D$44))+$B$24</f>
        <v>7.3615689212767412</v>
      </c>
      <c r="M5" s="105">
        <f>((J5-'Calibration R. intestinalis '!$D$45)/('Calibration R. intestinalis '!$D$44))+$B$24</f>
        <v>7.3170995395033689</v>
      </c>
      <c r="N5" s="106">
        <f t="shared" ref="N5:N20" si="1">AVERAGE(K5:M5)</f>
        <v>7.3488374452362093</v>
      </c>
      <c r="O5" s="106">
        <f t="shared" ref="O5:O20" si="2">STDEV(K5:M5)</f>
        <v>2.7664322801451934E-2</v>
      </c>
      <c r="P5" s="101">
        <f>(AVERAGE(POWER(10,K5),POWER(10,L5),POWER(10,M5)))*Calculation!$I5/Calculation!$K4</f>
        <v>22371391.554819908</v>
      </c>
      <c r="Q5" s="107">
        <f>(STDEV(POWER(10,K5),POWER(10,L5),POWER(10,M5)))*Calculation!$I5/Calculation!$K4</f>
        <v>1399455.5589304599</v>
      </c>
      <c r="R5" s="106">
        <f t="shared" ref="R5:R20" si="3">LOG(P5)</f>
        <v>7.3496929991070594</v>
      </c>
      <c r="S5" s="106">
        <f>O5*Calculation!$I5/Calculation!$K4</f>
        <v>2.7681854057980106E-2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100">
        <v>28.317014694213867</v>
      </c>
      <c r="F6" s="100">
        <v>28.285139083862305</v>
      </c>
      <c r="G6" s="100">
        <v>28.244808197021484</v>
      </c>
      <c r="H6" s="100">
        <f>E6-$H$63+$H$73</f>
        <v>27.954288765155908</v>
      </c>
      <c r="I6" s="100">
        <f>F6-$H$63+$H$73</f>
        <v>27.922413154804346</v>
      </c>
      <c r="J6" s="100">
        <f>G6-$H$63+$H$73</f>
        <v>27.882082267963526</v>
      </c>
      <c r="K6" s="105">
        <f>((H6-'Calibration R. intestinalis '!$D$45)/('Calibration R. intestinalis '!$D$44))+$B$24</f>
        <v>7.3478635765560156</v>
      </c>
      <c r="L6" s="105">
        <f>((I6-'Calibration R. intestinalis '!$D$45)/('Calibration R. intestinalis '!$D$44))+$B$24</f>
        <v>7.3564839650006064</v>
      </c>
      <c r="M6" s="105">
        <f>((J6-'Calibration R. intestinalis '!$D$45)/('Calibration R. intestinalis '!$D$44))+$B$24</f>
        <v>7.3673909847266028</v>
      </c>
      <c r="N6" s="106">
        <f t="shared" si="1"/>
        <v>7.3572461754277425</v>
      </c>
      <c r="O6" s="106">
        <f t="shared" si="2"/>
        <v>9.7859920813683447E-3</v>
      </c>
      <c r="P6" s="101">
        <f>(AVERAGE(POWER(10,K6),POWER(10,L6),POWER(10,M6)))*Calculation!$I6/Calculation!$K5</f>
        <v>22782158.57307722</v>
      </c>
      <c r="Q6" s="107">
        <f>(STDEV(POWER(10,K6),POWER(10,L6),POWER(10,M6)))*Calculation!$I6/Calculation!$K5</f>
        <v>513990.63812106295</v>
      </c>
      <c r="R6" s="106">
        <f t="shared" si="3"/>
        <v>7.3575948703999545</v>
      </c>
      <c r="S6" s="106">
        <f>O6*Calculation!$I6/Calculation!$K5</f>
        <v>9.7921935972627491E-3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100">
        <v>28.523548126220703</v>
      </c>
      <c r="F7" s="100">
        <v>28.401596069335938</v>
      </c>
      <c r="G7" s="100">
        <v>28.46455192565918</v>
      </c>
      <c r="H7" s="100">
        <f>E7-$H$63+$H$73</f>
        <v>28.160822197162744</v>
      </c>
      <c r="I7" s="100">
        <f>F7-$H$63+$H$73</f>
        <v>28.038870140277979</v>
      </c>
      <c r="J7" s="100">
        <f>G7-$H$63+$H$73</f>
        <v>28.101825996601221</v>
      </c>
      <c r="K7" s="105">
        <f>((H7-'Calibration R. intestinalis '!$D$45)/('Calibration R. intestinalis '!$D$44))+$B$24</f>
        <v>7.2920090096612338</v>
      </c>
      <c r="L7" s="105">
        <f>((I7-'Calibration R. intestinalis '!$D$45)/('Calibration R. intestinalis '!$D$44))+$B$24</f>
        <v>7.3249895264378146</v>
      </c>
      <c r="M7" s="105">
        <f>((J7-'Calibration R. intestinalis '!$D$45)/('Calibration R. intestinalis '!$D$44))+$B$24</f>
        <v>7.3079638466035277</v>
      </c>
      <c r="N7" s="106">
        <f t="shared" si="1"/>
        <v>7.3083207942341915</v>
      </c>
      <c r="O7" s="106">
        <f t="shared" si="2"/>
        <v>1.6493155562864879E-2</v>
      </c>
      <c r="P7" s="101">
        <f>(AVERAGE(POWER(10,K7),POWER(10,L7),POWER(10,M7)))*Calculation!$I7/Calculation!$K6</f>
        <v>20375454.787106279</v>
      </c>
      <c r="Q7" s="107">
        <f>(STDEV(POWER(10,K7),POWER(10,L7),POWER(10,M7)))*Calculation!$I7/Calculation!$K6</f>
        <v>774133.32694219216</v>
      </c>
      <c r="R7" s="106">
        <f t="shared" si="3"/>
        <v>7.3091073111212861</v>
      </c>
      <c r="S7" s="106">
        <f>O7*Calculation!$I7/Calculation!$K6</f>
        <v>1.6515108270992961E-2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00">
        <v>27.52372932434082</v>
      </c>
      <c r="F8" s="100">
        <v>27.979698181152344</v>
      </c>
      <c r="G8" s="100">
        <v>28.030916213989258</v>
      </c>
      <c r="H8" s="100">
        <f>E8-$H$63+$H$73</f>
        <v>27.161003395282862</v>
      </c>
      <c r="I8" s="100">
        <f>F8-$H$63+$H$73</f>
        <v>27.616972252094385</v>
      </c>
      <c r="J8" s="100">
        <f>G8-$H$63+$H$73</f>
        <v>27.668190284931299</v>
      </c>
      <c r="K8" s="105">
        <f>((H8-'Calibration R. intestinalis '!$D$45)/('Calibration R. intestinalis '!$D$44))+$B$24</f>
        <v>7.5623983873500347</v>
      </c>
      <c r="L8" s="105">
        <f>((I8-'Calibration R. intestinalis '!$D$45)/('Calibration R. intestinalis '!$D$44))+$B$24</f>
        <v>7.4390869081030644</v>
      </c>
      <c r="M8" s="105">
        <f>((J8-'Calibration R. intestinalis '!$D$45)/('Calibration R. intestinalis '!$D$44))+$B$24</f>
        <v>7.4252355862443649</v>
      </c>
      <c r="N8" s="106">
        <f t="shared" si="1"/>
        <v>7.475573627232488</v>
      </c>
      <c r="O8" s="106">
        <f t="shared" si="2"/>
        <v>7.5510721135547812E-2</v>
      </c>
      <c r="P8" s="101">
        <f>(AVERAGE(POWER(10,K8),POWER(10,L8),POWER(10,M8)))*Calculation!$I8/Calculation!$K7</f>
        <v>30288721.206715945</v>
      </c>
      <c r="Q8" s="107">
        <f>(STDEV(POWER(10,K8),POWER(10,L8),POWER(10,M8)))*Calculation!$I8/Calculation!$K7</f>
        <v>5491507.3698708583</v>
      </c>
      <c r="R8" s="106">
        <f t="shared" si="3"/>
        <v>7.4812809377570701</v>
      </c>
      <c r="S8" s="106">
        <f>O8*Calculation!$I8/Calculation!$K7</f>
        <v>7.5720020494513485E-2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00">
        <v>27.047380447387695</v>
      </c>
      <c r="F9" s="100">
        <v>27.20210075378418</v>
      </c>
      <c r="G9" s="100">
        <v>27.231784820556641</v>
      </c>
      <c r="H9" s="100">
        <f>E9-$H$63+$H$73</f>
        <v>26.684654518329737</v>
      </c>
      <c r="I9" s="100">
        <f>F9-$H$63+$H$73</f>
        <v>26.839374824726221</v>
      </c>
      <c r="J9" s="100">
        <f>G9-$H$63+$H$73</f>
        <v>26.869058891498682</v>
      </c>
      <c r="K9" s="105">
        <f>((H9-'Calibration R. intestinalis '!$D$45)/('Calibration R. intestinalis '!$D$44))+$B$24</f>
        <v>7.6912214062410005</v>
      </c>
      <c r="L9" s="105">
        <f>((I9-'Calibration R. intestinalis '!$D$45)/('Calibration R. intestinalis '!$D$44))+$B$24</f>
        <v>7.6493790971308826</v>
      </c>
      <c r="M9" s="105">
        <f>((J9-'Calibration R. intestinalis '!$D$45)/('Calibration R. intestinalis '!$D$44))+$B$24</f>
        <v>7.6413513861828717</v>
      </c>
      <c r="N9" s="106">
        <f t="shared" si="1"/>
        <v>7.6606506298515846</v>
      </c>
      <c r="O9" s="106">
        <f t="shared" si="2"/>
        <v>2.6777608417387456E-2</v>
      </c>
      <c r="P9" s="101">
        <f>(AVERAGE(POWER(10,K9),POWER(10,L9),POWER(10,M9)))*Calculation!$I9/Calculation!$K8</f>
        <v>46168235.850948736</v>
      </c>
      <c r="Q9" s="107">
        <f>(STDEV(POWER(10,K9),POWER(10,L9),POWER(10,M9)))*Calculation!$I9/Calculation!$K8</f>
        <v>2890430.2799913087</v>
      </c>
      <c r="R9" s="106">
        <f t="shared" si="3"/>
        <v>7.6643432799044868</v>
      </c>
      <c r="S9" s="106">
        <f>O9*Calculation!$I9/Calculation!$K8</f>
        <v>2.6971704388054876E-2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00">
        <v>25.954824447631836</v>
      </c>
      <c r="F10" s="100">
        <v>27.600112915039062</v>
      </c>
      <c r="G10" s="100">
        <v>26.455865859985352</v>
      </c>
      <c r="H10" s="100">
        <f>E10-$H$63+$H$73</f>
        <v>25.592098518573877</v>
      </c>
      <c r="I10" s="100">
        <f>F10-$H$63+$H$73</f>
        <v>27.237386985981104</v>
      </c>
      <c r="J10" s="100">
        <f>G10-$H$63+$H$73</f>
        <v>26.093139930927393</v>
      </c>
      <c r="K10" s="105">
        <f>((H10-'Calibration R. intestinalis '!$D$45)/('Calibration R. intestinalis '!$D$44))+$B$24</f>
        <v>7.9866904815461535</v>
      </c>
      <c r="L10" s="105">
        <f>((I10-'Calibration R. intestinalis '!$D$45)/('Calibration R. intestinalis '!$D$44))+$B$24</f>
        <v>7.541741332776045</v>
      </c>
      <c r="M10" s="105">
        <f>((J10-'Calibration R. intestinalis '!$D$45)/('Calibration R. intestinalis '!$D$44))+$B$24</f>
        <v>7.8511896533682268</v>
      </c>
      <c r="N10" s="106">
        <f t="shared" si="1"/>
        <v>7.793207155896809</v>
      </c>
      <c r="O10" s="106">
        <f t="shared" si="2"/>
        <v>0.22807107172453572</v>
      </c>
      <c r="P10" s="101">
        <f>(AVERAGE(POWER(10,K10),POWER(10,L10),POWER(10,M10)))*Calculation!$I10/Calculation!$K9</f>
        <v>68605814.195494428</v>
      </c>
      <c r="Q10" s="107">
        <f>(STDEV(POWER(10,K10),POWER(10,L10),POWER(10,M10)))*Calculation!$I10/Calculation!$K9</f>
        <v>31690234.572740451</v>
      </c>
      <c r="R10" s="106">
        <f t="shared" si="3"/>
        <v>7.8363609227915862</v>
      </c>
      <c r="S10" s="106">
        <f>O10*Calculation!$I10/Calculation!$K9</f>
        <v>0.23148322296408916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100">
        <v>25.613405227661133</v>
      </c>
      <c r="F11" s="100">
        <v>25.269603729248047</v>
      </c>
      <c r="G11" s="100">
        <v>25.444488525390625</v>
      </c>
      <c r="H11" s="100">
        <f>E11-$H$63+$H$73</f>
        <v>25.250679298603174</v>
      </c>
      <c r="I11" s="100">
        <f>F11-$H$63+$H$73</f>
        <v>24.906877800190088</v>
      </c>
      <c r="J11" s="100">
        <f>G11-$H$63+$H$73</f>
        <v>25.081762596332666</v>
      </c>
      <c r="K11" s="105">
        <f>((H11-'Calibration R. intestinalis '!$D$45)/('Calibration R. intestinalis '!$D$44))+$B$24</f>
        <v>8.0790233425058577</v>
      </c>
      <c r="L11" s="105">
        <f>((I11-'Calibration R. intestinalis '!$D$45)/('Calibration R. intestinalis '!$D$44))+$B$24</f>
        <v>8.1720004629896952</v>
      </c>
      <c r="M11" s="105">
        <f>((J11-'Calibration R. intestinalis '!$D$45)/('Calibration R. intestinalis '!$D$44))+$B$24</f>
        <v>8.1247049019267159</v>
      </c>
      <c r="N11" s="106">
        <f t="shared" si="1"/>
        <v>8.1252429024740902</v>
      </c>
      <c r="O11" s="106">
        <f t="shared" si="2"/>
        <v>4.6490894988247287E-2</v>
      </c>
      <c r="P11" s="101">
        <f>(AVERAGE(POWER(10,K11),POWER(10,L11),POWER(10,M11)))*Calculation!$I11/Calculation!$K10</f>
        <v>137115711.27738354</v>
      </c>
      <c r="Q11" s="107">
        <f>(STDEV(POWER(10,K11),POWER(10,L11),POWER(10,M11)))*Calculation!$I11/Calculation!$K10</f>
        <v>14670706.276058616</v>
      </c>
      <c r="R11" s="106">
        <f t="shared" si="3"/>
        <v>8.137087220873644</v>
      </c>
      <c r="S11" s="106">
        <f>O11*Calculation!$I11/Calculation!$K10</f>
        <v>4.7594179475827253E-2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00">
        <v>24.883543014526367</v>
      </c>
      <c r="F12" s="100">
        <v>24.928962707519531</v>
      </c>
      <c r="G12" s="100">
        <v>24.848474502563477</v>
      </c>
      <c r="H12" s="100">
        <f>E12-$H$63+$H$73</f>
        <v>24.520817085468408</v>
      </c>
      <c r="I12" s="100">
        <f>F12-$H$63+$H$73</f>
        <v>24.566236778461572</v>
      </c>
      <c r="J12" s="100">
        <f>G12-$H$63+$H$73</f>
        <v>24.485748573505518</v>
      </c>
      <c r="K12" s="105">
        <f>((H12-'Calibration R. intestinalis '!$D$45)/('Calibration R. intestinalis '!$D$44))+$B$24</f>
        <v>8.2764060974980875</v>
      </c>
      <c r="L12" s="105">
        <f>((I12-'Calibration R. intestinalis '!$D$45)/('Calibration R. intestinalis '!$D$44))+$B$24</f>
        <v>8.2641228692769868</v>
      </c>
      <c r="M12" s="105">
        <f>((J12-'Calibration R. intestinalis '!$D$45)/('Calibration R. intestinalis '!$D$44))+$B$24</f>
        <v>8.2858899690839092</v>
      </c>
      <c r="N12" s="106">
        <f t="shared" si="1"/>
        <v>8.2754729786196606</v>
      </c>
      <c r="O12" s="106">
        <f t="shared" si="2"/>
        <v>1.091350959279767E-2</v>
      </c>
      <c r="P12" s="101">
        <f>(AVERAGE(POWER(10,K12),POWER(10,L12),POWER(10,M12)))*Calculation!$I12/Calculation!$K11</f>
        <v>195425240.93524158</v>
      </c>
      <c r="Q12" s="107">
        <f>(STDEV(POWER(10,K12),POWER(10,L12),POWER(10,M12)))*Calculation!$I12/Calculation!$K11</f>
        <v>4902649.0988319423</v>
      </c>
      <c r="R12" s="106">
        <f t="shared" si="3"/>
        <v>8.2909806560610679</v>
      </c>
      <c r="S12" s="106">
        <f>O12*Calculation!$I12/Calculation!$K11</f>
        <v>1.1307869765677013E-2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00">
        <v>24.124805450439453</v>
      </c>
      <c r="F13" s="100">
        <v>24.007457733154297</v>
      </c>
      <c r="G13" s="100">
        <v>23.995199203491211</v>
      </c>
      <c r="H13" s="100">
        <f>E13-$H$63+$H$73</f>
        <v>23.762079521381494</v>
      </c>
      <c r="I13" s="100">
        <f>F13-$H$63+$H$73</f>
        <v>23.644731804096338</v>
      </c>
      <c r="J13" s="100">
        <f>G13-$H$63+$H$73</f>
        <v>23.632473274433252</v>
      </c>
      <c r="K13" s="105">
        <f>((H13-'Calibration R. intestinalis '!$D$45)/('Calibration R. intestinalis '!$D$44))+$B$24</f>
        <v>8.481597855641505</v>
      </c>
      <c r="L13" s="105">
        <f>((I13-'Calibration R. intestinalis '!$D$45)/('Calibration R. intestinalis '!$D$44))+$B$24</f>
        <v>8.5133331822729659</v>
      </c>
      <c r="M13" s="105">
        <f>((J13-'Calibration R. intestinalis '!$D$45)/('Calibration R. intestinalis '!$D$44))+$B$24</f>
        <v>8.5166483591837725</v>
      </c>
      <c r="N13" s="106">
        <f t="shared" si="1"/>
        <v>8.5038597990327478</v>
      </c>
      <c r="O13" s="106">
        <f t="shared" si="2"/>
        <v>1.9350534673586141E-2</v>
      </c>
      <c r="P13" s="101">
        <f>(AVERAGE(POWER(10,K13),POWER(10,L13),POWER(10,M13)))*Calculation!$I13/Calculation!$K12</f>
        <v>334907647.41092485</v>
      </c>
      <c r="Q13" s="107">
        <f>(STDEV(POWER(10,K13),POWER(10,L13),POWER(10,M13)))*Calculation!$I13/Calculation!$K12</f>
        <v>14731912.236839585</v>
      </c>
      <c r="R13" s="106">
        <f t="shared" si="3"/>
        <v>8.5249250645014865</v>
      </c>
      <c r="S13" s="106">
        <f>O13*Calculation!$I13/Calculation!$K12</f>
        <v>2.0298935742876081E-2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100">
        <v>23.664560317993164</v>
      </c>
      <c r="F14" s="100">
        <v>23.676597595214844</v>
      </c>
      <c r="G14" s="100">
        <v>23.664924621582031</v>
      </c>
      <c r="H14" s="100">
        <f>E14-$H$63+$H$73</f>
        <v>23.301834388935205</v>
      </c>
      <c r="I14" s="100">
        <f>F14-$H$63+$H$73</f>
        <v>23.313871666156885</v>
      </c>
      <c r="J14" s="100">
        <f>G14-$H$63+$H$73</f>
        <v>23.302198692524072</v>
      </c>
      <c r="K14" s="105">
        <f>((H14-'Calibration R. intestinalis '!$D$45)/('Calibration R. intestinalis '!$D$44))+$B$24</f>
        <v>8.6060658039462048</v>
      </c>
      <c r="L14" s="105">
        <f>((I14-'Calibration R. intestinalis '!$D$45)/('Calibration R. intestinalis '!$D$44))+$B$24</f>
        <v>8.6028104621873602</v>
      </c>
      <c r="M14" s="105">
        <f>((J14-'Calibration R. intestinalis '!$D$45)/('Calibration R. intestinalis '!$D$44))+$B$24</f>
        <v>8.6059672822735784</v>
      </c>
      <c r="N14" s="106">
        <f t="shared" si="1"/>
        <v>8.6049478494690472</v>
      </c>
      <c r="O14" s="106">
        <f t="shared" si="2"/>
        <v>1.8516870480548737E-3</v>
      </c>
      <c r="P14" s="101">
        <f>(AVERAGE(POWER(10,K14),POWER(10,L14),POWER(10,M14)))*Calculation!$I14/Calculation!$K13</f>
        <v>426680609.99846762</v>
      </c>
      <c r="Q14" s="107">
        <f>(STDEV(POWER(10,K14),POWER(10,L14),POWER(10,M14)))*Calculation!$I14/Calculation!$K13</f>
        <v>1816986.5489761357</v>
      </c>
      <c r="R14" s="106">
        <f t="shared" si="3"/>
        <v>8.6301029073026978</v>
      </c>
      <c r="S14" s="106">
        <f>O14*Calculation!$I14/Calculation!$K13</f>
        <v>1.9620949371945032E-3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100">
        <v>23.363521575927734</v>
      </c>
      <c r="F15" s="100">
        <v>23.665037155151367</v>
      </c>
      <c r="G15" s="100">
        <v>23.422065734863281</v>
      </c>
      <c r="H15" s="100">
        <f>E15-$H$63+$H$73</f>
        <v>23.000795646869776</v>
      </c>
      <c r="I15" s="100">
        <f>F15-$H$63+$H$73</f>
        <v>23.302311226093408</v>
      </c>
      <c r="J15" s="100">
        <f>G15-$H$63+$H$73</f>
        <v>23.059339805805322</v>
      </c>
      <c r="K15" s="105">
        <f>((H15-'Calibration R. intestinalis '!$D$45)/('Calibration R. intestinalis '!$D$44))+$B$24</f>
        <v>8.6874782338527492</v>
      </c>
      <c r="L15" s="105">
        <f>((I15-'Calibration R. intestinalis '!$D$45)/('Calibration R. intestinalis '!$D$44))+$B$24</f>
        <v>8.6059368488773238</v>
      </c>
      <c r="M15" s="105">
        <f>((J15-'Calibration R. intestinalis '!$D$45)/('Calibration R. intestinalis '!$D$44))+$B$24</f>
        <v>8.6716456463157545</v>
      </c>
      <c r="N15" s="106">
        <f t="shared" si="1"/>
        <v>8.6550202430152741</v>
      </c>
      <c r="O15" s="106">
        <f t="shared" si="2"/>
        <v>4.3238320875183263E-2</v>
      </c>
      <c r="P15" s="101">
        <f>(AVERAGE(POWER(10,K15),POWER(10,L15),POWER(10,M15)))*Calculation!$I15/Calculation!$K14</f>
        <v>483296924.45191956</v>
      </c>
      <c r="Q15" s="107">
        <f>(STDEV(POWER(10,K15),POWER(10,L15),POWER(10,M15)))*Calculation!$I15/Calculation!$K14</f>
        <v>46870815.642045513</v>
      </c>
      <c r="R15" s="106">
        <f t="shared" si="3"/>
        <v>8.6842140314355696</v>
      </c>
      <c r="S15" s="106">
        <f>O15*Calculation!$I15/Calculation!$K14</f>
        <v>4.6094828697674631E-2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100">
        <v>23.704442977905273</v>
      </c>
      <c r="F16" s="100">
        <v>23.736047744750977</v>
      </c>
      <c r="G16" s="100">
        <v>23.651084899902344</v>
      </c>
      <c r="H16" s="100">
        <f>E16-$H$63+$H$73</f>
        <v>23.341717048847315</v>
      </c>
      <c r="I16" s="100">
        <f>F16-$H$63+$H$73</f>
        <v>23.373321815693018</v>
      </c>
      <c r="J16" s="100">
        <f>G16-$H$63+$H$73</f>
        <v>23.288358970844385</v>
      </c>
      <c r="K16" s="105">
        <f>((H16-'Calibration R. intestinalis '!$D$45)/('Calibration R. intestinalis '!$D$44))+$B$24</f>
        <v>8.5952800019849551</v>
      </c>
      <c r="L16" s="105">
        <f>((I16-'Calibration R. intestinalis '!$D$45)/('Calibration R. intestinalis '!$D$44))+$B$24</f>
        <v>8.5867328600194899</v>
      </c>
      <c r="M16" s="105">
        <f>((J16-'Calibration R. intestinalis '!$D$45)/('Calibration R. intestinalis '!$D$44))+$B$24</f>
        <v>8.6097100741927957</v>
      </c>
      <c r="N16" s="106">
        <f t="shared" si="1"/>
        <v>8.5972409787324136</v>
      </c>
      <c r="O16" s="106">
        <f t="shared" si="2"/>
        <v>1.1613447599423073E-2</v>
      </c>
      <c r="P16" s="101">
        <f>(AVERAGE(POWER(10,K16),POWER(10,L16),POWER(10,M16)))*Calculation!$I16/Calculation!$K15</f>
        <v>421820908.76348597</v>
      </c>
      <c r="Q16" s="107">
        <f>(STDEV(POWER(10,K16),POWER(10,L16),POWER(10,M16)))*Calculation!$I16/Calculation!$K15</f>
        <v>11315921.341749936</v>
      </c>
      <c r="R16" s="106">
        <f t="shared" si="3"/>
        <v>8.6251281029889331</v>
      </c>
      <c r="S16" s="106">
        <f>O16*Calculation!$I16/Calculation!$K15</f>
        <v>1.2380681461478199E-2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100">
        <v>23.828275680541992</v>
      </c>
      <c r="F17" s="100">
        <v>23.753578186035156</v>
      </c>
      <c r="G17" s="100">
        <v>23.9281005859375</v>
      </c>
      <c r="H17" s="100">
        <f>E17-$H$63+$H$73</f>
        <v>23.465549751484033</v>
      </c>
      <c r="I17" s="100">
        <f>F17-$H$63+$H$73</f>
        <v>23.390852256977197</v>
      </c>
      <c r="J17" s="100">
        <f>G17-$H$63+$H$73</f>
        <v>23.565374656879541</v>
      </c>
      <c r="K17" s="105">
        <f>((H17-'Calibration R. intestinalis '!$D$45)/('Calibration R. intestinalis '!$D$44))+$B$24</f>
        <v>8.5617908864167056</v>
      </c>
      <c r="L17" s="105">
        <f>((I17-'Calibration R. intestinalis '!$D$45)/('Calibration R. intestinalis '!$D$44))+$B$24</f>
        <v>8.5819919558671298</v>
      </c>
      <c r="M17" s="105">
        <f>((J17-'Calibration R. intestinalis '!$D$45)/('Calibration R. intestinalis '!$D$44))+$B$24</f>
        <v>8.5347944006565015</v>
      </c>
      <c r="N17" s="106">
        <f t="shared" si="1"/>
        <v>8.559525747646779</v>
      </c>
      <c r="O17" s="106">
        <f t="shared" si="2"/>
        <v>2.3680169862151431E-2</v>
      </c>
      <c r="P17" s="101">
        <f>(AVERAGE(POWER(10,K17),POWER(10,L17),POWER(10,M17)))*Calculation!$I17/Calculation!$K16</f>
        <v>387386408.4507916</v>
      </c>
      <c r="Q17" s="107">
        <f>(STDEV(POWER(10,K17),POWER(10,L17),POWER(10,M17)))*Calculation!$I17/Calculation!$K16</f>
        <v>21032715.201515973</v>
      </c>
      <c r="R17" s="106">
        <f t="shared" si="3"/>
        <v>8.5881443793196688</v>
      </c>
      <c r="S17" s="106">
        <f>O17*Calculation!$I17/Calculation!$K16</f>
        <v>2.5268197981344904E-2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100">
        <v>24.007980346679688</v>
      </c>
      <c r="F18" s="100">
        <v>24.122762680053711</v>
      </c>
      <c r="G18" s="100">
        <v>24.040519714355469</v>
      </c>
      <c r="H18" s="100">
        <f>E18-$H$63+$H$73</f>
        <v>23.645254417621729</v>
      </c>
      <c r="I18" s="100">
        <f>F18-$H$63+$H$73</f>
        <v>23.760036750995752</v>
      </c>
      <c r="J18" s="100">
        <f>G18-$H$63+$H$73</f>
        <v>23.67779378529751</v>
      </c>
      <c r="K18" s="105">
        <f>((H18-'Calibration R. intestinalis '!$D$45)/('Calibration R. intestinalis '!$D$44))+$B$24</f>
        <v>8.5131918475174722</v>
      </c>
      <c r="L18" s="105">
        <f>((I18-'Calibration R. intestinalis '!$D$45)/('Calibration R. intestinalis '!$D$44))+$B$24</f>
        <v>8.4821502991565936</v>
      </c>
      <c r="M18" s="105">
        <f>((J18-'Calibration R. intestinalis '!$D$45)/('Calibration R. intestinalis '!$D$44))+$B$24</f>
        <v>8.5043919536169987</v>
      </c>
      <c r="N18" s="106">
        <f t="shared" si="1"/>
        <v>8.4999113667636887</v>
      </c>
      <c r="O18" s="106">
        <f t="shared" si="2"/>
        <v>1.5998474148266002E-2</v>
      </c>
      <c r="P18" s="101">
        <f>(AVERAGE(POWER(10,K18),POWER(10,L18),POWER(10,M18)))*Calculation!$I18/Calculation!$K17</f>
        <v>338503450.16678214</v>
      </c>
      <c r="Q18" s="107">
        <f>(STDEV(POWER(10,K18),POWER(10,L18),POWER(10,M18)))*Calculation!$I18/Calculation!$K17</f>
        <v>12378440.860861301</v>
      </c>
      <c r="R18" s="106">
        <f t="shared" si="3"/>
        <v>8.5295630995522096</v>
      </c>
      <c r="S18" s="106">
        <f>O18*Calculation!$I18/Calculation!$K17</f>
        <v>1.7121223739956771E-2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100">
        <v>24.801807403564453</v>
      </c>
      <c r="F19" s="100">
        <v>24.97874641418457</v>
      </c>
      <c r="G19" s="100">
        <v>25.166400909423828</v>
      </c>
      <c r="H19" s="100">
        <f>E19-$H$63+$H$73</f>
        <v>24.439081474506494</v>
      </c>
      <c r="I19" s="100">
        <f>F19-$H$63+$H$73</f>
        <v>24.616020485126612</v>
      </c>
      <c r="J19" s="100">
        <f>G19-$H$63+$H$73</f>
        <v>24.803674980365869</v>
      </c>
      <c r="K19" s="105">
        <f>((H19-'Calibration R. intestinalis '!$D$45)/('Calibration R. intestinalis '!$D$44))+$B$24</f>
        <v>8.2985105437652038</v>
      </c>
      <c r="L19" s="105">
        <f>((I19-'Calibration R. intestinalis '!$D$45)/('Calibration R. intestinalis '!$D$44))+$B$24</f>
        <v>8.2506594442654819</v>
      </c>
      <c r="M19" s="105">
        <f>((J19-'Calibration R. intestinalis '!$D$45)/('Calibration R. intestinalis '!$D$44))+$B$24</f>
        <v>8.1999104664578564</v>
      </c>
      <c r="N19" s="106">
        <f t="shared" si="1"/>
        <v>8.249693484829514</v>
      </c>
      <c r="O19" s="106">
        <f t="shared" si="2"/>
        <v>4.9307135583784155E-2</v>
      </c>
      <c r="P19" s="101">
        <f>(AVERAGE(POWER(10,K19),POWER(10,L19),POWER(10,M19)))*Calculation!$I19/Calculation!$K18</f>
        <v>190990455.84604585</v>
      </c>
      <c r="Q19" s="107">
        <f>(STDEV(POWER(10,K19),POWER(10,L19),POWER(10,M19)))*Calculation!$I19/Calculation!$K18</f>
        <v>21613049.771810275</v>
      </c>
      <c r="R19" s="106">
        <f t="shared" si="3"/>
        <v>8.281011665274109</v>
      </c>
      <c r="S19" s="106">
        <f>O19*Calculation!$I19/Calculation!$K18</f>
        <v>5.2767438474615479E-2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100">
        <v>26.854026794433594</v>
      </c>
      <c r="F20" s="100">
        <v>26.732965469360352</v>
      </c>
      <c r="G20" s="100">
        <v>26.701444625854492</v>
      </c>
      <c r="H20" s="100">
        <f>E20-$H$63+$H$73</f>
        <v>26.491300865375635</v>
      </c>
      <c r="I20" s="100">
        <f>F20-$H$63+$H$73</f>
        <v>26.370239540302393</v>
      </c>
      <c r="J20" s="100">
        <f>G20-$H$63+$H$73</f>
        <v>26.338718696796533</v>
      </c>
      <c r="K20" s="105">
        <f>((H20-'Calibration R. intestinalis '!$D$45)/('Calibration R. intestinalis '!$D$44))+$B$24</f>
        <v>7.7435116550318988</v>
      </c>
      <c r="L20" s="105">
        <f>((I20-'Calibration R. intestinalis '!$D$45)/('Calibration R. intestinalis '!$D$44))+$B$24</f>
        <v>7.7762512837398088</v>
      </c>
      <c r="M20" s="105">
        <f>((J20-'Calibration R. intestinalis '!$D$45)/('Calibration R. intestinalis '!$D$44))+$B$24</f>
        <v>7.7847757296131519</v>
      </c>
      <c r="N20" s="106">
        <f t="shared" si="1"/>
        <v>7.7681795561282856</v>
      </c>
      <c r="O20" s="106">
        <f t="shared" si="2"/>
        <v>2.1784066487636419E-2</v>
      </c>
      <c r="P20" s="101">
        <f>(AVERAGE(POWER(10,K20),POWER(10,L20),POWER(10,M20)))*Calculation!$I20/Calculation!$K19</f>
        <v>62805406.020210691</v>
      </c>
      <c r="Q20" s="107">
        <f>(STDEV(POWER(10,K20),POWER(10,L20),POWER(10,M20)))*Calculation!$I20/Calculation!$K19</f>
        <v>3111236.8790242677</v>
      </c>
      <c r="R20" s="106">
        <f t="shared" si="3"/>
        <v>7.7979970275540618</v>
      </c>
      <c r="S20" s="106">
        <f>O20*Calculation!$I20/Calculation!$K19</f>
        <v>2.3312840514940095E-2</v>
      </c>
    </row>
    <row r="21" spans="1:19">
      <c r="A21" s="10"/>
      <c r="B21" s="10"/>
      <c r="C21" s="10"/>
      <c r="D21" s="109"/>
    </row>
    <row r="24" spans="1:19">
      <c r="A24" s="103" t="s">
        <v>236</v>
      </c>
      <c r="B24" s="110">
        <f>LOG(B25)</f>
        <v>3.6532125137753435</v>
      </c>
    </row>
    <row r="25" spans="1:19">
      <c r="A25" s="86" t="s">
        <v>237</v>
      </c>
      <c r="B25" s="86">
        <f>20*1800/4/2</f>
        <v>4500</v>
      </c>
    </row>
    <row r="26" spans="1:19">
      <c r="E26" s="149" t="s">
        <v>220</v>
      </c>
      <c r="F26" s="149"/>
      <c r="G26" s="149"/>
      <c r="H26" s="149"/>
    </row>
    <row r="27" spans="1:19">
      <c r="A27" s="99" t="s">
        <v>238</v>
      </c>
      <c r="B27" s="99" t="s">
        <v>239</v>
      </c>
      <c r="E27" s="100">
        <v>15.713388442993164</v>
      </c>
      <c r="F27" s="100">
        <v>15.726656913757324</v>
      </c>
      <c r="G27" s="100">
        <v>15.612536430358887</v>
      </c>
      <c r="H27" s="111">
        <f>AVERAGE(E27:G27)</f>
        <v>15.684193929036459</v>
      </c>
    </row>
    <row r="28" spans="1:19">
      <c r="A28" s="99" t="s">
        <v>238</v>
      </c>
      <c r="B28" s="99" t="s">
        <v>240</v>
      </c>
      <c r="E28" s="112">
        <v>15.18875789642334</v>
      </c>
      <c r="F28" s="111">
        <v>15.280285835266113</v>
      </c>
      <c r="G28" s="111">
        <v>15.261421203613281</v>
      </c>
      <c r="H28" s="111">
        <f t="shared" ref="H28:H68" si="5">AVERAGE(E28:G28)</f>
        <v>15.243488311767578</v>
      </c>
    </row>
    <row r="29" spans="1:19">
      <c r="A29" s="99" t="s">
        <v>238</v>
      </c>
      <c r="B29" s="99" t="s">
        <v>241</v>
      </c>
      <c r="E29" s="112">
        <v>15.903929710388184</v>
      </c>
      <c r="F29" s="111">
        <v>15.71695613861084</v>
      </c>
      <c r="G29" s="111">
        <v>15.745060920715332</v>
      </c>
      <c r="H29" s="111">
        <f t="shared" si="5"/>
        <v>15.788648923238119</v>
      </c>
    </row>
    <row r="30" spans="1:19">
      <c r="A30" s="99" t="s">
        <v>238</v>
      </c>
      <c r="B30" s="99" t="s">
        <v>242</v>
      </c>
      <c r="E30" s="112">
        <v>15.95374870300293</v>
      </c>
      <c r="F30" s="111">
        <v>15.781205177307129</v>
      </c>
      <c r="G30" s="111">
        <v>15.694306373596191</v>
      </c>
      <c r="H30" s="111">
        <f t="shared" si="5"/>
        <v>15.80975341796875</v>
      </c>
    </row>
    <row r="31" spans="1:19">
      <c r="A31" s="99" t="s">
        <v>243</v>
      </c>
      <c r="B31" s="99" t="s">
        <v>244</v>
      </c>
      <c r="E31" s="112">
        <v>15.793012619018555</v>
      </c>
      <c r="F31" s="111">
        <v>15.662893295288086</v>
      </c>
      <c r="G31" s="111">
        <v>15.729142189025879</v>
      </c>
      <c r="H31" s="111">
        <f t="shared" si="5"/>
        <v>15.728349367777506</v>
      </c>
    </row>
    <row r="32" spans="1:19">
      <c r="A32" s="99" t="s">
        <v>243</v>
      </c>
      <c r="B32" s="99" t="s">
        <v>245</v>
      </c>
      <c r="E32" s="112">
        <v>15.790358543395996</v>
      </c>
      <c r="F32" s="111">
        <v>15.747311592102051</v>
      </c>
      <c r="G32" s="111">
        <v>15.724276542663574</v>
      </c>
      <c r="H32" s="111">
        <f t="shared" si="5"/>
        <v>15.753982226053873</v>
      </c>
    </row>
    <row r="33" spans="1:8">
      <c r="A33" s="99" t="s">
        <v>243</v>
      </c>
      <c r="B33" s="99" t="s">
        <v>245</v>
      </c>
      <c r="E33" s="112">
        <v>15.449001312255859</v>
      </c>
      <c r="F33" s="111">
        <v>15.556774139404297</v>
      </c>
      <c r="G33" s="111">
        <v>15.49962043762207</v>
      </c>
      <c r="H33" s="111">
        <f t="shared" si="5"/>
        <v>15.501798629760742</v>
      </c>
    </row>
    <row r="34" spans="1:8">
      <c r="A34" s="99" t="s">
        <v>243</v>
      </c>
      <c r="B34" s="99" t="s">
        <v>246</v>
      </c>
      <c r="E34" s="112">
        <v>15.347023010253906</v>
      </c>
      <c r="F34" s="111">
        <v>15.780600547790527</v>
      </c>
      <c r="G34" s="111">
        <v>15.718053817749023</v>
      </c>
      <c r="H34" s="111">
        <f t="shared" si="5"/>
        <v>15.615225791931152</v>
      </c>
    </row>
    <row r="35" spans="1:8">
      <c r="A35" s="99" t="s">
        <v>247</v>
      </c>
      <c r="B35" s="99" t="s">
        <v>246</v>
      </c>
      <c r="E35" s="112">
        <v>15.825298309326172</v>
      </c>
      <c r="F35" s="111">
        <v>15.804603576660156</v>
      </c>
      <c r="G35" s="111">
        <v>15.760408401489258</v>
      </c>
      <c r="H35" s="111">
        <f t="shared" si="5"/>
        <v>15.796770095825195</v>
      </c>
    </row>
    <row r="36" spans="1:8">
      <c r="A36" s="99" t="s">
        <v>247</v>
      </c>
      <c r="B36" s="99" t="s">
        <v>248</v>
      </c>
      <c r="E36" s="112">
        <v>15.800871849060059</v>
      </c>
      <c r="F36" s="111">
        <v>15.699575424194336</v>
      </c>
      <c r="G36" s="111">
        <v>15.968178749084473</v>
      </c>
      <c r="H36" s="111">
        <f>AVERAGE(E36:G36)</f>
        <v>15.822875340779623</v>
      </c>
    </row>
    <row r="37" spans="1:8">
      <c r="A37" s="99" t="s">
        <v>247</v>
      </c>
      <c r="B37" s="99" t="s">
        <v>248</v>
      </c>
      <c r="E37" s="112">
        <v>15.717584609985352</v>
      </c>
      <c r="F37" s="111">
        <v>15.693602561950684</v>
      </c>
      <c r="G37" s="111">
        <v>15.63984489440918</v>
      </c>
      <c r="H37" s="111">
        <f t="shared" si="5"/>
        <v>15.683677355448404</v>
      </c>
    </row>
    <row r="38" spans="1:8">
      <c r="A38" s="99" t="s">
        <v>247</v>
      </c>
      <c r="B38" s="99" t="s">
        <v>248</v>
      </c>
      <c r="E38" s="112">
        <v>15.61665153503418</v>
      </c>
      <c r="F38" s="111">
        <v>15.740999221801758</v>
      </c>
      <c r="G38" s="111">
        <v>15.586724281311035</v>
      </c>
      <c r="H38" s="111">
        <f t="shared" si="5"/>
        <v>15.648125012715658</v>
      </c>
    </row>
    <row r="39" spans="1:8">
      <c r="A39" s="99" t="s">
        <v>249</v>
      </c>
      <c r="B39" s="99" t="s">
        <v>250</v>
      </c>
      <c r="E39" s="112">
        <v>15.755837440490723</v>
      </c>
      <c r="F39" s="111">
        <v>15.457893371582031</v>
      </c>
      <c r="G39" s="111">
        <v>15.691001892089844</v>
      </c>
      <c r="H39" s="111">
        <f t="shared" si="5"/>
        <v>15.634910901387533</v>
      </c>
    </row>
    <row r="40" spans="1:8">
      <c r="A40" s="99" t="s">
        <v>249</v>
      </c>
      <c r="B40" s="99" t="s">
        <v>250</v>
      </c>
      <c r="E40" s="112">
        <v>15.560844421386719</v>
      </c>
      <c r="F40" s="111">
        <v>15.738679885864258</v>
      </c>
      <c r="G40" s="111">
        <v>15.730792999267578</v>
      </c>
      <c r="H40" s="111">
        <f t="shared" si="5"/>
        <v>15.676772435506185</v>
      </c>
    </row>
    <row r="41" spans="1:8">
      <c r="A41" s="99" t="s">
        <v>249</v>
      </c>
      <c r="B41" s="99" t="s">
        <v>251</v>
      </c>
      <c r="E41" s="112">
        <v>15.789995193481445</v>
      </c>
      <c r="F41" s="111">
        <v>15.670146942138672</v>
      </c>
      <c r="G41" s="111">
        <v>15.804409980773926</v>
      </c>
      <c r="H41" s="111">
        <f t="shared" si="5"/>
        <v>15.754850705464682</v>
      </c>
    </row>
    <row r="42" spans="1:8">
      <c r="A42" s="99" t="s">
        <v>249</v>
      </c>
      <c r="B42" s="99" t="s">
        <v>252</v>
      </c>
      <c r="E42" s="112">
        <v>15.759750366210938</v>
      </c>
      <c r="F42" s="111">
        <v>15.668698310852051</v>
      </c>
      <c r="G42" s="111">
        <v>15.640106201171875</v>
      </c>
      <c r="H42" s="111">
        <f t="shared" si="5"/>
        <v>15.689518292744955</v>
      </c>
    </row>
    <row r="43" spans="1:8">
      <c r="A43" s="99" t="s">
        <v>253</v>
      </c>
      <c r="B43" s="99" t="s">
        <v>254</v>
      </c>
      <c r="E43" s="112">
        <v>15.258575439453125</v>
      </c>
      <c r="F43" s="111">
        <v>15.478802680969238</v>
      </c>
      <c r="G43" s="111">
        <v>15.974754333496094</v>
      </c>
      <c r="H43" s="111">
        <f t="shared" si="5"/>
        <v>15.570710817972818</v>
      </c>
    </row>
    <row r="44" spans="1:8">
      <c r="A44" s="99" t="s">
        <v>253</v>
      </c>
      <c r="B44" s="99" t="s">
        <v>255</v>
      </c>
      <c r="E44" s="112">
        <v>15.35291576385498</v>
      </c>
      <c r="F44" s="111">
        <v>15.170954704284668</v>
      </c>
      <c r="G44" s="111">
        <v>15.236812591552734</v>
      </c>
      <c r="H44" s="111">
        <f t="shared" si="5"/>
        <v>15.253561019897461</v>
      </c>
    </row>
    <row r="45" spans="1:8">
      <c r="A45" s="99" t="s">
        <v>253</v>
      </c>
      <c r="B45" s="99" t="s">
        <v>256</v>
      </c>
      <c r="E45" s="112">
        <v>15.810567855834961</v>
      </c>
      <c r="F45" s="111">
        <v>15.790656089782715</v>
      </c>
      <c r="G45" s="111">
        <v>15.956247329711914</v>
      </c>
      <c r="H45" s="111">
        <f t="shared" si="5"/>
        <v>15.852490425109863</v>
      </c>
    </row>
    <row r="46" spans="1:8">
      <c r="A46" s="99" t="s">
        <v>253</v>
      </c>
      <c r="B46" s="99" t="s">
        <v>300</v>
      </c>
      <c r="E46" s="112">
        <v>15.760116577148438</v>
      </c>
      <c r="F46" s="111">
        <v>15.89314079284668</v>
      </c>
      <c r="G46" s="111">
        <v>15.903885841369629</v>
      </c>
      <c r="H46" s="111">
        <f t="shared" si="5"/>
        <v>15.852381070454916</v>
      </c>
    </row>
    <row r="47" spans="1:8">
      <c r="A47" s="99" t="s">
        <v>304</v>
      </c>
      <c r="B47" s="99" t="s">
        <v>305</v>
      </c>
      <c r="E47" s="112">
        <v>15.956473350524902</v>
      </c>
      <c r="F47" s="111">
        <v>15.595272064208984</v>
      </c>
      <c r="G47" s="111">
        <v>15.919502258300781</v>
      </c>
      <c r="H47" s="111">
        <f t="shared" si="5"/>
        <v>15.823749224344889</v>
      </c>
    </row>
    <row r="48" spans="1:8">
      <c r="A48" s="99" t="s">
        <v>304</v>
      </c>
      <c r="B48" s="99" t="s">
        <v>307</v>
      </c>
      <c r="E48" s="112">
        <v>15.711461067199707</v>
      </c>
      <c r="F48" s="111">
        <v>15.73438835144043</v>
      </c>
      <c r="G48" s="111">
        <v>15.689187049865723</v>
      </c>
      <c r="H48" s="111">
        <f t="shared" si="5"/>
        <v>15.711678822835287</v>
      </c>
    </row>
    <row r="49" spans="1:8">
      <c r="A49" s="99" t="s">
        <v>304</v>
      </c>
      <c r="B49" s="99" t="s">
        <v>308</v>
      </c>
      <c r="E49" s="112">
        <v>15.574808120727539</v>
      </c>
      <c r="F49" s="111">
        <v>15.501856803894043</v>
      </c>
      <c r="G49" s="111">
        <v>15.596255302429199</v>
      </c>
      <c r="H49" s="111">
        <f t="shared" si="5"/>
        <v>15.557640075683594</v>
      </c>
    </row>
    <row r="50" spans="1:8">
      <c r="A50" s="99" t="s">
        <v>304</v>
      </c>
      <c r="B50" s="99" t="s">
        <v>309</v>
      </c>
      <c r="E50" s="112">
        <v>15.60640811920166</v>
      </c>
      <c r="F50" s="111">
        <v>15.595258712768555</v>
      </c>
      <c r="G50" s="111">
        <v>15.58064079284668</v>
      </c>
      <c r="H50" s="111">
        <f t="shared" si="5"/>
        <v>15.594102541605631</v>
      </c>
    </row>
    <row r="51" spans="1:8">
      <c r="A51" s="99" t="s">
        <v>310</v>
      </c>
      <c r="B51" s="99" t="s">
        <v>311</v>
      </c>
      <c r="E51" s="112">
        <v>15.40764331817627</v>
      </c>
      <c r="F51" s="111">
        <v>15.702505111694336</v>
      </c>
      <c r="G51" s="111">
        <v>15.805522918701172</v>
      </c>
      <c r="H51" s="111">
        <f t="shared" si="5"/>
        <v>15.638557116190592</v>
      </c>
    </row>
    <row r="52" spans="1:8">
      <c r="A52" s="61" t="s">
        <v>310</v>
      </c>
      <c r="B52" s="61" t="s">
        <v>312</v>
      </c>
      <c r="C52" s="61"/>
      <c r="D52" s="61"/>
      <c r="E52" s="112">
        <v>15.5</v>
      </c>
      <c r="F52" s="111">
        <v>15.5</v>
      </c>
      <c r="G52" s="111">
        <v>15.4</v>
      </c>
      <c r="H52" s="111">
        <f t="shared" si="5"/>
        <v>15.466666666666667</v>
      </c>
    </row>
    <row r="53" spans="1:8">
      <c r="A53" s="61" t="s">
        <v>310</v>
      </c>
      <c r="B53" s="61" t="s">
        <v>312</v>
      </c>
      <c r="C53" s="61"/>
      <c r="D53" s="61"/>
      <c r="E53" s="126">
        <v>15.8</v>
      </c>
      <c r="F53" s="127">
        <v>15.4</v>
      </c>
      <c r="G53" s="127">
        <v>15.4</v>
      </c>
      <c r="H53" s="111">
        <f t="shared" si="5"/>
        <v>15.533333333333333</v>
      </c>
    </row>
    <row r="54" spans="1:8">
      <c r="A54" s="61" t="s">
        <v>310</v>
      </c>
      <c r="B54" s="61" t="s">
        <v>313</v>
      </c>
      <c r="C54" s="61"/>
      <c r="D54" s="61"/>
      <c r="E54" s="126">
        <v>15.6</v>
      </c>
      <c r="F54" s="127">
        <v>15.5</v>
      </c>
      <c r="G54" s="127">
        <v>15.6</v>
      </c>
      <c r="H54" s="111">
        <f t="shared" si="5"/>
        <v>15.566666666666668</v>
      </c>
    </row>
    <row r="55" spans="1:8">
      <c r="A55" s="61" t="s">
        <v>314</v>
      </c>
      <c r="B55" s="61" t="s">
        <v>315</v>
      </c>
      <c r="C55" s="61"/>
      <c r="D55" s="61"/>
      <c r="E55" s="126">
        <v>15.6</v>
      </c>
      <c r="F55" s="127">
        <v>15.6</v>
      </c>
      <c r="G55" s="127">
        <v>15.8</v>
      </c>
      <c r="H55" s="111">
        <f t="shared" si="5"/>
        <v>15.666666666666666</v>
      </c>
    </row>
    <row r="56" spans="1:8">
      <c r="A56" s="61" t="s">
        <v>314</v>
      </c>
      <c r="B56" s="61" t="s">
        <v>315</v>
      </c>
      <c r="C56" s="61"/>
      <c r="D56" s="61"/>
      <c r="E56" s="126">
        <v>15.577789306640625</v>
      </c>
      <c r="F56" s="127">
        <v>15.603015899658203</v>
      </c>
      <c r="G56" s="127">
        <v>15.626909255981445</v>
      </c>
      <c r="H56" s="111">
        <f t="shared" si="5"/>
        <v>15.602571487426758</v>
      </c>
    </row>
    <row r="57" spans="1:8">
      <c r="A57" s="99" t="s">
        <v>314</v>
      </c>
      <c r="B57" s="99" t="s">
        <v>316</v>
      </c>
      <c r="E57" s="126">
        <v>15.925136566162109</v>
      </c>
      <c r="F57" s="127"/>
      <c r="G57" s="127">
        <v>15.940312385559082</v>
      </c>
      <c r="H57" s="111">
        <f t="shared" si="5"/>
        <v>15.932724475860596</v>
      </c>
    </row>
    <row r="58" spans="1:8">
      <c r="A58" s="99" t="s">
        <v>314</v>
      </c>
      <c r="B58" s="99" t="s">
        <v>316</v>
      </c>
      <c r="E58" s="112">
        <v>15.2</v>
      </c>
      <c r="F58" s="111">
        <v>15.3</v>
      </c>
      <c r="G58" s="111">
        <v>15.4</v>
      </c>
      <c r="H58" s="111">
        <f t="shared" si="5"/>
        <v>15.299999999999999</v>
      </c>
    </row>
    <row r="59" spans="1:8">
      <c r="A59" s="99" t="s">
        <v>317</v>
      </c>
      <c r="B59" s="99" t="s">
        <v>318</v>
      </c>
      <c r="E59" s="112">
        <v>15.989936828613281</v>
      </c>
      <c r="F59" s="111">
        <v>15.856328964233398</v>
      </c>
      <c r="G59" s="111">
        <v>15.836997985839844</v>
      </c>
      <c r="H59" s="111">
        <f t="shared" si="5"/>
        <v>15.894421259562174</v>
      </c>
    </row>
    <row r="60" spans="1:8">
      <c r="A60" s="99" t="s">
        <v>317</v>
      </c>
      <c r="B60" s="99" t="s">
        <v>340</v>
      </c>
      <c r="E60" s="112">
        <v>15.699069023132324</v>
      </c>
      <c r="F60" s="111">
        <v>15.817172050476074</v>
      </c>
      <c r="G60" s="111">
        <v>16.075807571411133</v>
      </c>
      <c r="H60" s="111">
        <f t="shared" si="5"/>
        <v>15.86401621500651</v>
      </c>
    </row>
    <row r="61" spans="1:8">
      <c r="A61" s="99" t="s">
        <v>317</v>
      </c>
      <c r="B61" s="99" t="s">
        <v>341</v>
      </c>
      <c r="E61" s="112">
        <v>14.193151473999023</v>
      </c>
      <c r="F61" s="111">
        <v>14.592436790466309</v>
      </c>
      <c r="G61" s="111">
        <v>14.826726913452148</v>
      </c>
      <c r="H61" s="111">
        <f t="shared" si="5"/>
        <v>14.53743839263916</v>
      </c>
    </row>
    <row r="62" spans="1:8">
      <c r="A62" s="99" t="s">
        <v>342</v>
      </c>
      <c r="B62" s="99" t="s">
        <v>341</v>
      </c>
      <c r="E62" s="112">
        <v>15.753643035888672</v>
      </c>
      <c r="F62" s="111">
        <v>15.53950309753418</v>
      </c>
      <c r="G62" s="111">
        <v>16.160148620605469</v>
      </c>
      <c r="H62" s="111">
        <f t="shared" si="5"/>
        <v>15.81776491800944</v>
      </c>
    </row>
    <row r="63" spans="1:8">
      <c r="A63" s="99" t="s">
        <v>342</v>
      </c>
      <c r="B63" s="99" t="s">
        <v>343</v>
      </c>
      <c r="E63" s="112">
        <v>16.152790069580078</v>
      </c>
      <c r="F63" s="111">
        <v>15.918967247009277</v>
      </c>
      <c r="G63" s="111">
        <v>16.004350662231445</v>
      </c>
      <c r="H63" s="111">
        <f t="shared" si="5"/>
        <v>16.025369326273601</v>
      </c>
    </row>
    <row r="64" spans="1:8">
      <c r="A64" s="99" t="s">
        <v>342</v>
      </c>
      <c r="B64" s="99" t="s">
        <v>351</v>
      </c>
      <c r="E64" s="112">
        <v>15.725796699523926</v>
      </c>
      <c r="F64" s="111">
        <v>15.72511100769043</v>
      </c>
      <c r="G64" s="111">
        <v>15.700724601745605</v>
      </c>
      <c r="H64" s="111">
        <f t="shared" si="5"/>
        <v>15.71721076965332</v>
      </c>
    </row>
    <row r="65" spans="1:8">
      <c r="A65" s="99" t="s">
        <v>342</v>
      </c>
      <c r="B65" s="99" t="s">
        <v>352</v>
      </c>
      <c r="E65" s="112">
        <v>15.868610382080078</v>
      </c>
      <c r="F65" s="111">
        <v>15.950244903564453</v>
      </c>
      <c r="G65" s="111">
        <v>15.73750114440918</v>
      </c>
      <c r="H65" s="111">
        <f t="shared" si="5"/>
        <v>15.852118810017904</v>
      </c>
    </row>
    <row r="66" spans="1:8">
      <c r="A66" s="99" t="s">
        <v>342</v>
      </c>
      <c r="B66" s="99" t="s">
        <v>352</v>
      </c>
      <c r="E66" s="112">
        <v>15.411773681640625</v>
      </c>
      <c r="F66" s="111">
        <v>15.347482681274414</v>
      </c>
      <c r="G66" s="111">
        <v>15.357060432434082</v>
      </c>
      <c r="H66" s="111">
        <f t="shared" si="5"/>
        <v>15.372105598449707</v>
      </c>
    </row>
    <row r="67" spans="1:8">
      <c r="A67" s="99" t="s">
        <v>238</v>
      </c>
      <c r="B67" s="99" t="s">
        <v>353</v>
      </c>
      <c r="E67" s="112">
        <v>15.701089859008789</v>
      </c>
      <c r="F67" s="111">
        <v>15.69521427154541</v>
      </c>
      <c r="G67" s="111">
        <v>15.858868598937988</v>
      </c>
      <c r="H67" s="111">
        <f t="shared" si="5"/>
        <v>15.751724243164062</v>
      </c>
    </row>
    <row r="68" spans="1:8">
      <c r="A68" s="99" t="s">
        <v>238</v>
      </c>
      <c r="B68" s="99" t="s">
        <v>354</v>
      </c>
      <c r="E68" s="112">
        <v>15.664003372192383</v>
      </c>
      <c r="F68" s="111">
        <v>15.706714630126953</v>
      </c>
      <c r="G68" s="111">
        <v>15.883712768554688</v>
      </c>
      <c r="H68" s="111">
        <f t="shared" si="5"/>
        <v>15.751476923624674</v>
      </c>
    </row>
    <row r="69" spans="1:8">
      <c r="A69" s="99" t="s">
        <v>238</v>
      </c>
      <c r="B69" s="99" t="s">
        <v>354</v>
      </c>
      <c r="E69" s="112">
        <v>15.815454483032227</v>
      </c>
      <c r="F69" s="111">
        <v>15.873584747314453</v>
      </c>
      <c r="G69" s="111">
        <v>15.955685615539551</v>
      </c>
      <c r="H69" s="111">
        <f>AVERAGE(E69:G69)</f>
        <v>15.881574948628744</v>
      </c>
    </row>
    <row r="70" spans="1:8">
      <c r="A70" s="99" t="s">
        <v>238</v>
      </c>
      <c r="B70" s="99" t="s">
        <v>355</v>
      </c>
      <c r="E70" s="112">
        <v>15.894612312316895</v>
      </c>
      <c r="F70" s="111">
        <v>15.946266174316406</v>
      </c>
      <c r="G70" s="111">
        <v>15.963062286376953</v>
      </c>
      <c r="H70" s="111">
        <f>AVERAGE(E70:G70)</f>
        <v>15.934646924336752</v>
      </c>
    </row>
    <row r="71" spans="1:8">
      <c r="A71" s="99"/>
      <c r="B71" s="99"/>
      <c r="E71"/>
    </row>
    <row r="72" spans="1:8">
      <c r="A72" s="99"/>
      <c r="B72" s="99"/>
      <c r="E72"/>
    </row>
    <row r="73" spans="1:8">
      <c r="F73" s="99" t="s">
        <v>257</v>
      </c>
      <c r="H73" s="114">
        <f>AVERAGE(H26:H70)</f>
        <v>15.662643397215641</v>
      </c>
    </row>
  </sheetData>
  <mergeCells count="20"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2" workbookViewId="0">
      <selection activeCell="M41" sqref="M41"/>
    </sheetView>
  </sheetViews>
  <sheetFormatPr baseColWidth="10" defaultRowHeight="14" x14ac:dyDescent="0"/>
  <sheetData>
    <row r="1" spans="1:21">
      <c r="A1" s="86"/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5" t="s">
        <v>22</v>
      </c>
      <c r="Q1" s="85" t="s">
        <v>22</v>
      </c>
      <c r="R1" s="85" t="s">
        <v>22</v>
      </c>
      <c r="S1" s="152" t="s">
        <v>258</v>
      </c>
      <c r="T1" s="86"/>
      <c r="U1" s="86"/>
    </row>
    <row r="2" spans="1:21">
      <c r="A2" s="86"/>
      <c r="B2" s="146"/>
      <c r="C2" s="146"/>
      <c r="D2" s="87" t="s">
        <v>19</v>
      </c>
      <c r="E2" s="87" t="s">
        <v>68</v>
      </c>
      <c r="F2" s="87" t="s">
        <v>69</v>
      </c>
      <c r="G2" s="87" t="s">
        <v>70</v>
      </c>
      <c r="H2" s="87" t="s">
        <v>19</v>
      </c>
      <c r="I2" s="87" t="s">
        <v>68</v>
      </c>
      <c r="J2" s="87" t="s">
        <v>69</v>
      </c>
      <c r="K2" s="87" t="s">
        <v>70</v>
      </c>
      <c r="L2" s="87" t="s">
        <v>19</v>
      </c>
      <c r="M2" s="87" t="s">
        <v>68</v>
      </c>
      <c r="N2" s="87" t="s">
        <v>69</v>
      </c>
      <c r="O2" s="87" t="s">
        <v>71</v>
      </c>
      <c r="P2" s="88" t="s">
        <v>70</v>
      </c>
      <c r="Q2" s="88" t="s">
        <v>23</v>
      </c>
      <c r="R2" s="88" t="s">
        <v>72</v>
      </c>
      <c r="S2" s="153"/>
      <c r="T2" s="86"/>
      <c r="U2" s="86"/>
    </row>
    <row r="3" spans="1:21">
      <c r="A3" s="86"/>
      <c r="B3" s="89"/>
      <c r="C3" s="89"/>
      <c r="D3" s="90"/>
      <c r="E3" s="90"/>
      <c r="F3" s="90"/>
      <c r="G3" s="91"/>
      <c r="H3" s="90"/>
      <c r="I3" s="90"/>
      <c r="J3" s="90"/>
      <c r="K3" s="91"/>
      <c r="L3" s="90"/>
      <c r="M3" s="90"/>
      <c r="N3" s="90"/>
      <c r="O3" s="91"/>
      <c r="P3" s="142"/>
      <c r="Q3" s="143"/>
      <c r="R3" s="144"/>
      <c r="S3" s="86"/>
      <c r="T3" s="86"/>
      <c r="U3" s="86"/>
    </row>
    <row r="4" spans="1:21">
      <c r="A4" s="86"/>
      <c r="B4" s="92" t="s">
        <v>186</v>
      </c>
      <c r="C4" s="93">
        <v>500</v>
      </c>
      <c r="D4" s="93">
        <v>2</v>
      </c>
      <c r="E4" s="93">
        <v>26960</v>
      </c>
      <c r="F4" s="93">
        <v>7</v>
      </c>
      <c r="G4" s="91">
        <f t="shared" ref="G4:G19" si="0">(E4/F4)*(10.2)*POWER(10,D4+2)</f>
        <v>392845714.28571427</v>
      </c>
      <c r="H4" s="93">
        <v>2</v>
      </c>
      <c r="I4" s="93">
        <v>28998</v>
      </c>
      <c r="J4" s="93">
        <v>7</v>
      </c>
      <c r="K4" s="91">
        <f t="shared" ref="K4:K19" si="1">(I4/J4)*(10.2)*POWER(10,H4+2)</f>
        <v>422542285.71428567</v>
      </c>
      <c r="L4" s="93">
        <v>2</v>
      </c>
      <c r="M4" s="93">
        <v>29053</v>
      </c>
      <c r="N4" s="93">
        <v>7</v>
      </c>
      <c r="O4" s="91">
        <f t="shared" ref="O4:O19" si="2">(M4/N4)*(10.2)*POWER(10,L4+2)</f>
        <v>423343714.28571433</v>
      </c>
      <c r="P4" s="94">
        <f t="shared" ref="P4:P19" si="3">AVERAGE(O4,K4,G4)</f>
        <v>412910571.4285714</v>
      </c>
      <c r="Q4" s="94">
        <f t="shared" ref="Q4:Q19" si="4">STDEV(O4,K4,G4)</f>
        <v>17381295.724462688</v>
      </c>
      <c r="R4" s="95">
        <f>LOG(P4)</f>
        <v>8.6158560019212569</v>
      </c>
      <c r="S4" s="86"/>
      <c r="T4" s="86"/>
      <c r="U4" s="86"/>
    </row>
    <row r="5" spans="1:21">
      <c r="A5" s="86"/>
      <c r="B5" s="92" t="s">
        <v>187</v>
      </c>
      <c r="C5" s="93">
        <v>500</v>
      </c>
      <c r="D5" s="93">
        <v>1</v>
      </c>
      <c r="E5" s="93">
        <v>25770</v>
      </c>
      <c r="F5" s="93">
        <v>7</v>
      </c>
      <c r="G5" s="91">
        <f t="shared" si="0"/>
        <v>37550571.428571425</v>
      </c>
      <c r="H5" s="93">
        <v>1</v>
      </c>
      <c r="I5" s="93">
        <v>24760</v>
      </c>
      <c r="J5" s="93">
        <v>7</v>
      </c>
      <c r="K5" s="91">
        <f t="shared" si="1"/>
        <v>36078857.142857142</v>
      </c>
      <c r="L5" s="93">
        <v>1</v>
      </c>
      <c r="M5" s="93">
        <v>27526</v>
      </c>
      <c r="N5" s="93">
        <v>7</v>
      </c>
      <c r="O5" s="91">
        <f t="shared" si="2"/>
        <v>40109314.285714284</v>
      </c>
      <c r="P5" s="94">
        <f t="shared" si="3"/>
        <v>37912914.285714291</v>
      </c>
      <c r="Q5" s="94">
        <f t="shared" si="4"/>
        <v>2039513.5338344474</v>
      </c>
      <c r="R5" s="95">
        <f t="shared" ref="R5:R19" si="5">LOG(P5)</f>
        <v>7.5787871690098934</v>
      </c>
      <c r="S5" s="86"/>
      <c r="T5" s="86"/>
      <c r="U5" s="86"/>
    </row>
    <row r="6" spans="1:21">
      <c r="A6" s="86"/>
      <c r="B6" s="92" t="s">
        <v>188</v>
      </c>
      <c r="C6" s="93">
        <v>500</v>
      </c>
      <c r="D6" s="93">
        <v>0</v>
      </c>
      <c r="E6" s="93">
        <v>2493</v>
      </c>
      <c r="F6" s="93">
        <v>7</v>
      </c>
      <c r="G6" s="91">
        <f t="shared" si="0"/>
        <v>363265.71428571426</v>
      </c>
      <c r="H6" s="93">
        <v>0</v>
      </c>
      <c r="I6" s="93">
        <v>2459</v>
      </c>
      <c r="J6" s="93">
        <v>7</v>
      </c>
      <c r="K6" s="91">
        <f t="shared" si="1"/>
        <v>358311.42857142852</v>
      </c>
      <c r="L6" s="93">
        <v>0</v>
      </c>
      <c r="M6" s="93">
        <v>2550</v>
      </c>
      <c r="N6" s="93">
        <v>7</v>
      </c>
      <c r="O6" s="91">
        <f t="shared" si="2"/>
        <v>371571.42857142852</v>
      </c>
      <c r="P6" s="94">
        <f t="shared" si="3"/>
        <v>364382.8571428571</v>
      </c>
      <c r="Q6" s="94">
        <f t="shared" si="4"/>
        <v>6700.2168712996863</v>
      </c>
      <c r="R6" s="95">
        <f t="shared" si="5"/>
        <v>5.5615579368427026</v>
      </c>
      <c r="S6" s="99" t="s">
        <v>129</v>
      </c>
      <c r="T6" s="86"/>
      <c r="U6" s="86"/>
    </row>
    <row r="7" spans="1:21">
      <c r="A7" s="86"/>
      <c r="B7" s="92" t="s">
        <v>189</v>
      </c>
      <c r="C7" s="93">
        <v>500</v>
      </c>
      <c r="D7" s="93">
        <f>LOG(705/250)</f>
        <v>0.45024910831936105</v>
      </c>
      <c r="E7" s="93">
        <v>946</v>
      </c>
      <c r="F7" s="93">
        <v>7</v>
      </c>
      <c r="G7" s="91">
        <f>(E7/F7)*(1)*POWER(10,D7+2)</f>
        <v>38110.285714285717</v>
      </c>
      <c r="H7" s="93">
        <f>LOG(705/250)</f>
        <v>0.45024910831936105</v>
      </c>
      <c r="I7" s="93">
        <v>885</v>
      </c>
      <c r="J7" s="93">
        <v>7</v>
      </c>
      <c r="K7" s="91">
        <f t="shared" si="1"/>
        <v>363659.1428571429</v>
      </c>
      <c r="L7" s="93">
        <f>LOG(705/250)</f>
        <v>0.45024910831936105</v>
      </c>
      <c r="M7" s="93">
        <v>947</v>
      </c>
      <c r="N7" s="93">
        <v>7</v>
      </c>
      <c r="O7" s="91">
        <f>(M7/N7)*(1)*POWER(10,L7+2)</f>
        <v>38150.571428571435</v>
      </c>
      <c r="P7" s="94">
        <f t="shared" si="3"/>
        <v>146640.00000000003</v>
      </c>
      <c r="Q7" s="94">
        <f t="shared" si="4"/>
        <v>187944.09190121258</v>
      </c>
      <c r="R7" s="95">
        <f t="shared" si="5"/>
        <v>5.1662524519541604</v>
      </c>
      <c r="S7" s="86"/>
      <c r="T7" s="86"/>
      <c r="U7" s="86"/>
    </row>
    <row r="8" spans="1:21">
      <c r="A8" s="86"/>
      <c r="B8" s="92" t="s">
        <v>190</v>
      </c>
      <c r="C8" s="93">
        <v>500</v>
      </c>
      <c r="D8" s="93">
        <f>LOG(705/250)</f>
        <v>0.45024910831936105</v>
      </c>
      <c r="E8" s="93">
        <v>1248</v>
      </c>
      <c r="F8" s="93">
        <v>70</v>
      </c>
      <c r="G8" s="91">
        <f>(E8/F8)*(1)*POWER(10,D8+2)</f>
        <v>5027.6571428571442</v>
      </c>
      <c r="H8" s="93">
        <f>LOG(705/250)</f>
        <v>0.45024910831936105</v>
      </c>
      <c r="I8" s="93">
        <v>1303</v>
      </c>
      <c r="J8" s="93">
        <v>70</v>
      </c>
      <c r="K8" s="91">
        <f t="shared" si="1"/>
        <v>53542.131428571432</v>
      </c>
      <c r="L8" s="93">
        <f>LOG(705/250)</f>
        <v>0.45024910831936105</v>
      </c>
      <c r="M8" s="93">
        <v>1278</v>
      </c>
      <c r="N8" s="93">
        <v>70</v>
      </c>
      <c r="O8" s="91">
        <f>(M8/N8)*(1)*POWER(10,L8+2)</f>
        <v>5148.5142857142864</v>
      </c>
      <c r="P8" s="94">
        <f t="shared" si="3"/>
        <v>21239.434285714287</v>
      </c>
      <c r="Q8" s="94">
        <f t="shared" si="4"/>
        <v>27975.021602129429</v>
      </c>
      <c r="R8" s="95">
        <f t="shared" si="5"/>
        <v>4.3271429450900092</v>
      </c>
      <c r="S8" s="86"/>
      <c r="T8" s="86"/>
      <c r="U8" s="86"/>
    </row>
    <row r="9" spans="1:21">
      <c r="A9" s="86"/>
      <c r="B9" s="92" t="s">
        <v>191</v>
      </c>
      <c r="C9" s="93">
        <v>900</v>
      </c>
      <c r="D9" s="93">
        <v>2</v>
      </c>
      <c r="E9" s="93">
        <v>26822</v>
      </c>
      <c r="F9" s="93">
        <v>7</v>
      </c>
      <c r="G9" s="91">
        <f t="shared" si="0"/>
        <v>390834857.14285713</v>
      </c>
      <c r="H9" s="93">
        <v>2</v>
      </c>
      <c r="I9" s="93">
        <v>25452</v>
      </c>
      <c r="J9" s="93">
        <v>7</v>
      </c>
      <c r="K9" s="91">
        <f t="shared" si="1"/>
        <v>370872000</v>
      </c>
      <c r="L9" s="93">
        <v>2</v>
      </c>
      <c r="M9" s="93">
        <v>29126</v>
      </c>
      <c r="N9" s="93">
        <v>7</v>
      </c>
      <c r="O9" s="91">
        <f t="shared" si="2"/>
        <v>424407428.57142854</v>
      </c>
      <c r="P9" s="94">
        <f t="shared" si="3"/>
        <v>395371428.57142854</v>
      </c>
      <c r="Q9" s="94">
        <f t="shared" si="4"/>
        <v>27054498.485954784</v>
      </c>
      <c r="R9" s="95">
        <f t="shared" si="5"/>
        <v>8.5970052819172</v>
      </c>
      <c r="S9" s="86"/>
      <c r="T9" s="86"/>
      <c r="U9" s="86"/>
    </row>
    <row r="10" spans="1:21">
      <c r="A10" s="86"/>
      <c r="B10" s="92" t="s">
        <v>192</v>
      </c>
      <c r="C10" s="93">
        <v>900</v>
      </c>
      <c r="D10" s="93">
        <v>1</v>
      </c>
      <c r="E10" s="93">
        <v>11669</v>
      </c>
      <c r="F10" s="93">
        <v>7</v>
      </c>
      <c r="G10" s="91">
        <f t="shared" si="0"/>
        <v>17003399.999999996</v>
      </c>
      <c r="H10" s="93">
        <v>1</v>
      </c>
      <c r="I10" s="93">
        <v>13970</v>
      </c>
      <c r="J10" s="93">
        <v>20</v>
      </c>
      <c r="K10" s="91">
        <f t="shared" si="1"/>
        <v>7124700</v>
      </c>
      <c r="L10" s="93">
        <v>1</v>
      </c>
      <c r="M10" s="93">
        <v>12995</v>
      </c>
      <c r="N10" s="93">
        <v>7</v>
      </c>
      <c r="O10" s="91">
        <f t="shared" si="2"/>
        <v>18935571.428571429</v>
      </c>
      <c r="P10" s="94">
        <f t="shared" si="3"/>
        <v>14354557.142857142</v>
      </c>
      <c r="Q10" s="94">
        <f t="shared" si="4"/>
        <v>6335333.2459262749</v>
      </c>
      <c r="R10" s="95">
        <f t="shared" si="5"/>
        <v>7.1569897984779303</v>
      </c>
      <c r="S10" s="99" t="s">
        <v>129</v>
      </c>
      <c r="T10" s="86"/>
      <c r="U10" s="86"/>
    </row>
    <row r="11" spans="1:21">
      <c r="A11" s="86"/>
      <c r="B11" s="92" t="s">
        <v>193</v>
      </c>
      <c r="C11" s="93">
        <v>900</v>
      </c>
      <c r="D11" s="93">
        <v>1</v>
      </c>
      <c r="E11" s="93">
        <v>6123</v>
      </c>
      <c r="F11" s="93">
        <v>7</v>
      </c>
      <c r="G11" s="91">
        <f t="shared" si="0"/>
        <v>8922085.7142857127</v>
      </c>
      <c r="H11" s="93">
        <v>1</v>
      </c>
      <c r="I11" s="93">
        <v>6639</v>
      </c>
      <c r="J11" s="93">
        <v>7</v>
      </c>
      <c r="K11" s="91">
        <f t="shared" si="1"/>
        <v>9673971.4285714272</v>
      </c>
      <c r="L11" s="93">
        <v>1</v>
      </c>
      <c r="M11" s="93">
        <v>7021</v>
      </c>
      <c r="N11" s="93">
        <v>7</v>
      </c>
      <c r="O11" s="91">
        <f t="shared" si="2"/>
        <v>10230599.999999998</v>
      </c>
      <c r="P11" s="94">
        <f t="shared" si="3"/>
        <v>9608885.7142857127</v>
      </c>
      <c r="Q11" s="94">
        <f t="shared" si="4"/>
        <v>656680.68468065432</v>
      </c>
      <c r="R11" s="95">
        <f t="shared" si="5"/>
        <v>6.9826730280228597</v>
      </c>
      <c r="S11" s="99" t="s">
        <v>129</v>
      </c>
      <c r="T11" s="86"/>
      <c r="U11" s="86"/>
    </row>
    <row r="12" spans="1:21">
      <c r="A12" s="86"/>
      <c r="B12" s="92" t="s">
        <v>194</v>
      </c>
      <c r="C12" s="93">
        <v>900</v>
      </c>
      <c r="D12" s="93">
        <v>1</v>
      </c>
      <c r="E12" s="93">
        <v>29009</v>
      </c>
      <c r="F12" s="93">
        <v>7</v>
      </c>
      <c r="G12" s="91">
        <f t="shared" si="0"/>
        <v>42270257.142857142</v>
      </c>
      <c r="H12" s="93">
        <v>1</v>
      </c>
      <c r="I12" s="93">
        <v>29016</v>
      </c>
      <c r="J12" s="93">
        <v>7</v>
      </c>
      <c r="K12" s="91">
        <f t="shared" si="1"/>
        <v>42280457.142857134</v>
      </c>
      <c r="L12" s="93">
        <v>1</v>
      </c>
      <c r="M12" s="93">
        <v>31568</v>
      </c>
      <c r="N12" s="93">
        <v>7</v>
      </c>
      <c r="O12" s="91">
        <f t="shared" si="2"/>
        <v>45999085.714285709</v>
      </c>
      <c r="P12" s="94">
        <f t="shared" si="3"/>
        <v>43516599.999999993</v>
      </c>
      <c r="Q12" s="94">
        <f t="shared" si="4"/>
        <v>2149901.7422255576</v>
      </c>
      <c r="R12" s="95">
        <f t="shared" si="5"/>
        <v>7.6386549561082937</v>
      </c>
      <c r="S12" s="86"/>
      <c r="T12" s="86"/>
      <c r="U12" s="86"/>
    </row>
    <row r="13" spans="1:21">
      <c r="A13" s="86"/>
      <c r="B13" s="92" t="s">
        <v>195</v>
      </c>
      <c r="C13" s="93">
        <v>900</v>
      </c>
      <c r="D13" s="93">
        <v>1</v>
      </c>
      <c r="E13" s="93">
        <v>13542</v>
      </c>
      <c r="F13" s="93">
        <v>7</v>
      </c>
      <c r="G13" s="91">
        <f t="shared" si="0"/>
        <v>19732628.571428571</v>
      </c>
      <c r="H13" s="93">
        <v>1</v>
      </c>
      <c r="I13" s="93">
        <v>14070</v>
      </c>
      <c r="J13" s="93">
        <v>7</v>
      </c>
      <c r="K13" s="91">
        <f t="shared" si="1"/>
        <v>20502000</v>
      </c>
      <c r="L13" s="93">
        <v>1</v>
      </c>
      <c r="M13" s="93">
        <v>15197</v>
      </c>
      <c r="N13" s="93">
        <v>7</v>
      </c>
      <c r="O13" s="91">
        <f t="shared" si="2"/>
        <v>22144199.999999996</v>
      </c>
      <c r="P13" s="94">
        <f t="shared" si="3"/>
        <v>20792942.857142854</v>
      </c>
      <c r="Q13" s="94">
        <f t="shared" si="4"/>
        <v>1231829.938898768</v>
      </c>
      <c r="R13" s="95">
        <f t="shared" si="5"/>
        <v>7.3179159600467427</v>
      </c>
      <c r="S13" s="86"/>
      <c r="T13" s="86"/>
      <c r="U13" s="86"/>
    </row>
    <row r="14" spans="1:21">
      <c r="A14" s="86"/>
      <c r="B14" s="92" t="s">
        <v>196</v>
      </c>
      <c r="C14" s="93">
        <v>900</v>
      </c>
      <c r="D14" s="93">
        <v>1</v>
      </c>
      <c r="E14" s="93">
        <v>6282</v>
      </c>
      <c r="F14" s="93">
        <v>7</v>
      </c>
      <c r="G14" s="91">
        <f t="shared" si="0"/>
        <v>9153771.4285714291</v>
      </c>
      <c r="H14" s="93">
        <v>1</v>
      </c>
      <c r="I14" s="93">
        <v>6343</v>
      </c>
      <c r="J14" s="93">
        <v>7</v>
      </c>
      <c r="K14" s="91">
        <f t="shared" si="1"/>
        <v>9242657.1428571418</v>
      </c>
      <c r="L14" s="93">
        <v>1</v>
      </c>
      <c r="M14" s="93">
        <v>7014</v>
      </c>
      <c r="N14" s="93">
        <v>7</v>
      </c>
      <c r="O14" s="91">
        <f t="shared" si="2"/>
        <v>10220400</v>
      </c>
      <c r="P14" s="94">
        <f t="shared" si="3"/>
        <v>9538942.8571428563</v>
      </c>
      <c r="Q14" s="94">
        <f t="shared" si="4"/>
        <v>591830.25075969705</v>
      </c>
      <c r="R14" s="95">
        <f t="shared" si="5"/>
        <v>6.9795002471622967</v>
      </c>
      <c r="S14" s="86"/>
      <c r="T14" s="86"/>
      <c r="U14" s="86"/>
    </row>
    <row r="15" spans="1:21">
      <c r="A15" s="86"/>
      <c r="B15" s="92" t="s">
        <v>197</v>
      </c>
      <c r="C15" s="93">
        <v>900</v>
      </c>
      <c r="D15" s="93">
        <v>1</v>
      </c>
      <c r="E15" s="93">
        <v>3249</v>
      </c>
      <c r="F15" s="93">
        <v>7</v>
      </c>
      <c r="G15" s="91">
        <f t="shared" si="0"/>
        <v>4734257.1428571427</v>
      </c>
      <c r="H15" s="93">
        <v>1</v>
      </c>
      <c r="I15" s="93">
        <v>3902</v>
      </c>
      <c r="J15" s="93">
        <v>7</v>
      </c>
      <c r="K15" s="91">
        <f t="shared" si="1"/>
        <v>5685771.4285714282</v>
      </c>
      <c r="L15" s="93">
        <v>1</v>
      </c>
      <c r="M15" s="93">
        <v>3833</v>
      </c>
      <c r="N15" s="93">
        <v>7</v>
      </c>
      <c r="O15" s="91">
        <f t="shared" si="2"/>
        <v>5585228.5714285709</v>
      </c>
      <c r="P15" s="94">
        <f t="shared" si="3"/>
        <v>5335085.7142857136</v>
      </c>
      <c r="Q15" s="94">
        <f t="shared" si="4"/>
        <v>522755.62714741344</v>
      </c>
      <c r="R15" s="95">
        <f t="shared" si="5"/>
        <v>6.7271414012566968</v>
      </c>
      <c r="S15" s="86"/>
      <c r="T15" s="86"/>
      <c r="U15" s="86"/>
    </row>
    <row r="16" spans="1:21">
      <c r="A16" s="86"/>
      <c r="B16" s="92" t="s">
        <v>198</v>
      </c>
      <c r="C16" s="93">
        <v>900</v>
      </c>
      <c r="D16" s="93">
        <v>0</v>
      </c>
      <c r="E16" s="93">
        <v>12331</v>
      </c>
      <c r="F16" s="93">
        <v>7</v>
      </c>
      <c r="G16" s="91">
        <f t="shared" si="0"/>
        <v>1796802.857142857</v>
      </c>
      <c r="H16" s="93">
        <v>0</v>
      </c>
      <c r="I16" s="93">
        <v>13246</v>
      </c>
      <c r="J16" s="93">
        <v>7</v>
      </c>
      <c r="K16" s="91">
        <f t="shared" si="1"/>
        <v>1930131.4285714284</v>
      </c>
      <c r="L16" s="93">
        <v>0</v>
      </c>
      <c r="M16" s="93">
        <v>11745</v>
      </c>
      <c r="N16" s="93">
        <v>7</v>
      </c>
      <c r="O16" s="91">
        <f t="shared" si="2"/>
        <v>1711414.2857142854</v>
      </c>
      <c r="P16" s="94">
        <f t="shared" si="3"/>
        <v>1812782.857142857</v>
      </c>
      <c r="Q16" s="94">
        <f t="shared" si="4"/>
        <v>110230.74636823416</v>
      </c>
      <c r="R16" s="95">
        <f t="shared" si="5"/>
        <v>6.2583457855668376</v>
      </c>
      <c r="S16" s="86"/>
      <c r="T16" s="86"/>
      <c r="U16" s="86"/>
    </row>
    <row r="17" spans="1:21">
      <c r="A17" s="86"/>
      <c r="B17" s="92" t="s">
        <v>199</v>
      </c>
      <c r="C17" s="93">
        <v>900</v>
      </c>
      <c r="D17" s="93">
        <v>0</v>
      </c>
      <c r="E17" s="93">
        <v>6389</v>
      </c>
      <c r="F17" s="93">
        <v>7</v>
      </c>
      <c r="G17" s="91">
        <f t="shared" si="0"/>
        <v>930968.57142857136</v>
      </c>
      <c r="H17" s="93">
        <v>0</v>
      </c>
      <c r="I17" s="93">
        <v>4586</v>
      </c>
      <c r="J17" s="93">
        <v>7</v>
      </c>
      <c r="K17" s="91">
        <f t="shared" si="1"/>
        <v>668245.7142857142</v>
      </c>
      <c r="L17" s="93">
        <v>0</v>
      </c>
      <c r="M17" s="93">
        <v>5332</v>
      </c>
      <c r="N17" s="93">
        <v>7</v>
      </c>
      <c r="O17" s="91">
        <f t="shared" si="2"/>
        <v>776948.57142857136</v>
      </c>
      <c r="P17" s="94">
        <f t="shared" si="3"/>
        <v>792054.28571428556</v>
      </c>
      <c r="Q17" s="94">
        <f t="shared" si="4"/>
        <v>132011.21872548491</v>
      </c>
      <c r="R17" s="95">
        <f t="shared" si="5"/>
        <v>5.8987549482286576</v>
      </c>
      <c r="S17" s="86"/>
      <c r="T17" s="86"/>
      <c r="U17" s="86"/>
    </row>
    <row r="18" spans="1:21">
      <c r="A18" s="86"/>
      <c r="B18" s="92" t="s">
        <v>200</v>
      </c>
      <c r="C18" s="93">
        <v>900</v>
      </c>
      <c r="D18" s="93">
        <v>0</v>
      </c>
      <c r="E18" s="93">
        <v>2453</v>
      </c>
      <c r="F18" s="93">
        <v>7</v>
      </c>
      <c r="G18" s="91">
        <f t="shared" si="0"/>
        <v>357437.14285714284</v>
      </c>
      <c r="H18" s="93">
        <v>0</v>
      </c>
      <c r="I18" s="93">
        <v>2433</v>
      </c>
      <c r="J18" s="93">
        <v>7</v>
      </c>
      <c r="K18" s="91">
        <f t="shared" si="1"/>
        <v>354522.8571428571</v>
      </c>
      <c r="L18" s="93">
        <v>0</v>
      </c>
      <c r="M18" s="93">
        <v>1833</v>
      </c>
      <c r="N18" s="93">
        <v>7</v>
      </c>
      <c r="O18" s="91">
        <f t="shared" si="2"/>
        <v>267094.28571428568</v>
      </c>
      <c r="P18" s="94">
        <f t="shared" si="3"/>
        <v>326351.42857142852</v>
      </c>
      <c r="Q18" s="94">
        <f t="shared" si="4"/>
        <v>51338.874159841398</v>
      </c>
      <c r="R18" s="95">
        <f t="shared" si="5"/>
        <v>5.5136855181177333</v>
      </c>
      <c r="S18" s="86"/>
      <c r="T18" s="86"/>
      <c r="U18" s="86"/>
    </row>
    <row r="19" spans="1:21">
      <c r="A19" s="86"/>
      <c r="B19" s="92" t="s">
        <v>201</v>
      </c>
      <c r="C19" s="93">
        <v>900</v>
      </c>
      <c r="D19" s="93">
        <v>0</v>
      </c>
      <c r="E19" s="93">
        <v>2574</v>
      </c>
      <c r="F19" s="93">
        <v>14</v>
      </c>
      <c r="G19" s="91">
        <f t="shared" si="0"/>
        <v>187534.28571428571</v>
      </c>
      <c r="H19" s="93">
        <v>0</v>
      </c>
      <c r="I19" s="93">
        <v>1997</v>
      </c>
      <c r="J19" s="93">
        <v>14</v>
      </c>
      <c r="K19" s="91">
        <f t="shared" si="1"/>
        <v>145495.71428571429</v>
      </c>
      <c r="L19" s="93">
        <v>0</v>
      </c>
      <c r="M19" s="93">
        <v>1974</v>
      </c>
      <c r="N19" s="93">
        <v>14</v>
      </c>
      <c r="O19" s="91">
        <f t="shared" si="2"/>
        <v>143819.99999999997</v>
      </c>
      <c r="P19" s="94">
        <f t="shared" si="3"/>
        <v>158950</v>
      </c>
      <c r="Q19" s="94">
        <f t="shared" si="4"/>
        <v>24768.892727345858</v>
      </c>
      <c r="R19" s="95">
        <f t="shared" si="5"/>
        <v>5.2012605322507914</v>
      </c>
      <c r="S19" s="86"/>
      <c r="T19" s="86"/>
      <c r="U19" s="86"/>
    </row>
    <row r="20" spans="1:21" ht="15" thickBo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</row>
    <row r="21" spans="1:21" ht="43" thickBot="1">
      <c r="A21" s="86"/>
      <c r="B21" s="96" t="s">
        <v>4</v>
      </c>
      <c r="C21" s="96" t="s">
        <v>202</v>
      </c>
      <c r="D21" s="96" t="s">
        <v>203</v>
      </c>
      <c r="E21" s="96" t="s">
        <v>204</v>
      </c>
      <c r="F21" s="96" t="s">
        <v>205</v>
      </c>
      <c r="G21" s="97" t="s">
        <v>206</v>
      </c>
      <c r="H21" s="98" t="s">
        <v>207</v>
      </c>
      <c r="I21" s="98" t="s">
        <v>259</v>
      </c>
      <c r="J21" s="98" t="s">
        <v>260</v>
      </c>
      <c r="K21" s="98" t="s">
        <v>261</v>
      </c>
      <c r="L21" s="98" t="s">
        <v>262</v>
      </c>
      <c r="M21" s="99" t="s">
        <v>212</v>
      </c>
      <c r="N21" s="86"/>
      <c r="O21" s="86"/>
      <c r="P21" s="86"/>
      <c r="Q21" s="86"/>
      <c r="R21" s="86"/>
      <c r="S21" s="86"/>
      <c r="T21" s="86"/>
      <c r="U21" s="86"/>
    </row>
    <row r="22" spans="1:2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pans="1:21">
      <c r="A23" s="86"/>
      <c r="B23" s="92" t="s">
        <v>186</v>
      </c>
      <c r="C23" s="100">
        <v>13.733217239379883</v>
      </c>
      <c r="D23" s="100">
        <v>13.964070320129395</v>
      </c>
      <c r="E23" s="100">
        <v>13.836982727050781</v>
      </c>
      <c r="F23" s="105">
        <f>AVERAGE(C23:E23)</f>
        <v>13.844756762186686</v>
      </c>
      <c r="G23" s="86">
        <f>150/100*180/4*1000/900</f>
        <v>75</v>
      </c>
      <c r="H23" s="114">
        <f>LOG(G23)/LOG(2)</f>
        <v>6.2288186904958813</v>
      </c>
      <c r="I23" s="100">
        <f>C23-H23</f>
        <v>7.5043985488840015</v>
      </c>
      <c r="J23" s="100">
        <f>D23-H23</f>
        <v>7.7352516296335132</v>
      </c>
      <c r="K23" s="100">
        <f>E23-H23</f>
        <v>7.6081640365548999</v>
      </c>
      <c r="L23" s="105">
        <f>AVERAGE(I23:K23)</f>
        <v>7.6159380716908052</v>
      </c>
      <c r="M23" s="86"/>
      <c r="N23" s="86"/>
      <c r="O23" s="86"/>
      <c r="P23" s="86"/>
      <c r="Q23" s="86"/>
      <c r="R23" s="86"/>
      <c r="S23" s="86"/>
      <c r="T23" s="86"/>
      <c r="U23" s="86"/>
    </row>
    <row r="24" spans="1:21">
      <c r="A24" s="86"/>
      <c r="B24" s="92" t="s">
        <v>187</v>
      </c>
      <c r="C24" s="100">
        <v>17.19072151184082</v>
      </c>
      <c r="D24" s="100">
        <v>17.22271728515625</v>
      </c>
      <c r="E24" s="100">
        <v>17.264667510986328</v>
      </c>
      <c r="F24" s="105">
        <f t="shared" ref="F24:F38" si="6">AVERAGE(C24:E24)</f>
        <v>17.226035435994465</v>
      </c>
      <c r="G24" s="86">
        <f t="shared" ref="G24:G27" si="7">150/100*180/4*1000/900</f>
        <v>75</v>
      </c>
      <c r="H24" s="114">
        <f t="shared" ref="H24:H37" si="8">LOG(G24)/LOG(2)</f>
        <v>6.2288186904958813</v>
      </c>
      <c r="I24" s="100">
        <f t="shared" ref="I24:I38" si="9">C24-H24</f>
        <v>10.961902821344939</v>
      </c>
      <c r="J24" s="100">
        <f t="shared" ref="J24:J38" si="10">D24-H24</f>
        <v>10.993898594660369</v>
      </c>
      <c r="K24" s="100">
        <f t="shared" ref="K24:K38" si="11">E24-H24</f>
        <v>11.035848820490447</v>
      </c>
      <c r="L24" s="105">
        <f t="shared" ref="L24:L38" si="12">AVERAGE(I24:K24)</f>
        <v>10.997216745498585</v>
      </c>
      <c r="M24" s="86"/>
      <c r="N24" s="86"/>
      <c r="O24" s="86"/>
      <c r="P24" s="86"/>
      <c r="Q24" s="86"/>
      <c r="R24" s="86"/>
      <c r="S24" s="86"/>
      <c r="T24" s="86"/>
      <c r="U24" s="86"/>
    </row>
    <row r="25" spans="1:21">
      <c r="A25" s="86"/>
      <c r="B25" s="92" t="s">
        <v>188</v>
      </c>
      <c r="C25" s="100">
        <v>20.897546768188477</v>
      </c>
      <c r="D25" s="100">
        <v>20.622665405273438</v>
      </c>
      <c r="E25" s="100">
        <v>20.75037956237793</v>
      </c>
      <c r="F25" s="105">
        <f t="shared" si="6"/>
        <v>20.756863911946613</v>
      </c>
      <c r="G25" s="86">
        <f t="shared" si="7"/>
        <v>75</v>
      </c>
      <c r="H25" s="114">
        <f t="shared" si="8"/>
        <v>6.2288186904958813</v>
      </c>
      <c r="I25" s="100">
        <f t="shared" si="9"/>
        <v>14.668728077692595</v>
      </c>
      <c r="J25" s="100">
        <f t="shared" si="10"/>
        <v>14.393846714777556</v>
      </c>
      <c r="K25" s="100">
        <f t="shared" si="11"/>
        <v>14.521560871882048</v>
      </c>
      <c r="L25" s="105">
        <f t="shared" si="12"/>
        <v>14.528045221450734</v>
      </c>
      <c r="M25" s="99" t="s">
        <v>129</v>
      </c>
      <c r="N25" s="86"/>
      <c r="O25" s="86"/>
      <c r="P25" s="86"/>
      <c r="Q25" s="86"/>
      <c r="R25" s="86"/>
      <c r="S25" s="86"/>
      <c r="T25" s="86"/>
      <c r="U25" s="86"/>
    </row>
    <row r="26" spans="1:21">
      <c r="A26" s="86"/>
      <c r="B26" s="92" t="s">
        <v>189</v>
      </c>
      <c r="C26" s="100">
        <v>25.132444381713867</v>
      </c>
      <c r="D26" s="100">
        <v>25.147838592529297</v>
      </c>
      <c r="E26" s="100">
        <v>25.181661605834961</v>
      </c>
      <c r="F26" s="105">
        <f t="shared" si="6"/>
        <v>25.153981526692707</v>
      </c>
      <c r="G26" s="86">
        <f t="shared" si="7"/>
        <v>75</v>
      </c>
      <c r="H26" s="114">
        <f t="shared" si="8"/>
        <v>6.2288186904958813</v>
      </c>
      <c r="I26" s="100">
        <f t="shared" si="9"/>
        <v>18.903625691217986</v>
      </c>
      <c r="J26" s="100">
        <f t="shared" si="10"/>
        <v>18.919019902033416</v>
      </c>
      <c r="K26" s="100">
        <f t="shared" si="11"/>
        <v>18.95284291533908</v>
      </c>
      <c r="L26" s="105">
        <f t="shared" si="12"/>
        <v>18.925162836196829</v>
      </c>
      <c r="M26" s="86"/>
      <c r="N26" s="86"/>
      <c r="O26" s="86"/>
      <c r="P26" s="86"/>
      <c r="Q26" s="86"/>
      <c r="R26" s="86"/>
      <c r="S26" s="86"/>
      <c r="T26" s="86"/>
      <c r="U26" s="86"/>
    </row>
    <row r="27" spans="1:21">
      <c r="A27" s="86"/>
      <c r="B27" s="92" t="s">
        <v>190</v>
      </c>
      <c r="C27" s="100">
        <v>28.415132522583008</v>
      </c>
      <c r="D27" s="100">
        <v>28.359806060791016</v>
      </c>
      <c r="E27" s="100">
        <v>28.363668441772461</v>
      </c>
      <c r="F27" s="105">
        <f t="shared" si="6"/>
        <v>28.379535675048828</v>
      </c>
      <c r="G27" s="86">
        <f t="shared" si="7"/>
        <v>75</v>
      </c>
      <c r="H27" s="114">
        <f t="shared" si="8"/>
        <v>6.2288186904958813</v>
      </c>
      <c r="I27" s="100">
        <f t="shared" si="9"/>
        <v>22.186313832087126</v>
      </c>
      <c r="J27" s="100">
        <f t="shared" si="10"/>
        <v>22.130987370295134</v>
      </c>
      <c r="K27" s="100">
        <f t="shared" si="11"/>
        <v>22.13484975127658</v>
      </c>
      <c r="L27" s="105">
        <f t="shared" si="12"/>
        <v>22.150716984552947</v>
      </c>
      <c r="M27" s="86"/>
      <c r="N27" s="86"/>
      <c r="O27" s="86"/>
      <c r="P27" s="86"/>
      <c r="Q27" s="86"/>
      <c r="R27" s="86"/>
      <c r="S27" s="86"/>
      <c r="T27" s="86"/>
      <c r="U27" s="86"/>
    </row>
    <row r="28" spans="1:21">
      <c r="A28" s="86"/>
      <c r="B28" s="92" t="s">
        <v>191</v>
      </c>
      <c r="C28" s="100">
        <v>14.936457633972168</v>
      </c>
      <c r="D28" s="100">
        <v>14.999619483947754</v>
      </c>
      <c r="E28" s="100">
        <v>15.074687957763672</v>
      </c>
      <c r="F28" s="105">
        <f t="shared" si="6"/>
        <v>15.003588358561197</v>
      </c>
      <c r="G28" s="86">
        <f>150/100*180/4*1000/500</f>
        <v>135</v>
      </c>
      <c r="H28" s="114">
        <f t="shared" si="8"/>
        <v>7.0768155970508309</v>
      </c>
      <c r="I28" s="100">
        <f t="shared" si="9"/>
        <v>7.8596420369213371</v>
      </c>
      <c r="J28" s="100">
        <f t="shared" si="10"/>
        <v>7.9228038868969231</v>
      </c>
      <c r="K28" s="100">
        <f t="shared" si="11"/>
        <v>7.997872360712841</v>
      </c>
      <c r="L28" s="105">
        <f t="shared" si="12"/>
        <v>7.9267727615103674</v>
      </c>
      <c r="M28" s="86"/>
      <c r="N28" s="86"/>
      <c r="O28" s="86"/>
      <c r="P28" s="86"/>
      <c r="Q28" s="86"/>
      <c r="R28" s="86"/>
      <c r="S28" s="86"/>
      <c r="T28" s="86"/>
      <c r="U28" s="86"/>
    </row>
    <row r="29" spans="1:21">
      <c r="A29" s="86"/>
      <c r="B29" s="92" t="s">
        <v>192</v>
      </c>
      <c r="C29" s="100">
        <v>16.18989372253418</v>
      </c>
      <c r="D29" s="100">
        <v>15.8782958984375</v>
      </c>
      <c r="E29" s="100">
        <v>15.960098266601562</v>
      </c>
      <c r="F29" s="105">
        <f t="shared" si="6"/>
        <v>16.009429295857746</v>
      </c>
      <c r="G29" s="86">
        <f t="shared" ref="G29:G37" si="13">150/100*180/4*1000/500</f>
        <v>135</v>
      </c>
      <c r="H29" s="114">
        <f t="shared" si="8"/>
        <v>7.0768155970508309</v>
      </c>
      <c r="I29" s="100">
        <f t="shared" si="9"/>
        <v>9.1130781254833479</v>
      </c>
      <c r="J29" s="100">
        <f t="shared" si="10"/>
        <v>8.8014803013866683</v>
      </c>
      <c r="K29" s="100">
        <f t="shared" si="11"/>
        <v>8.8832826695507308</v>
      </c>
      <c r="L29" s="105">
        <f t="shared" si="12"/>
        <v>8.9326136988069162</v>
      </c>
      <c r="M29" s="99" t="s">
        <v>129</v>
      </c>
      <c r="N29" s="86"/>
      <c r="O29" s="86"/>
      <c r="P29" s="86"/>
      <c r="Q29" s="86"/>
      <c r="R29" s="86"/>
      <c r="S29" s="86"/>
      <c r="T29" s="86"/>
      <c r="U29" s="86"/>
    </row>
    <row r="30" spans="1:21">
      <c r="A30" s="86"/>
      <c r="B30" s="92" t="s">
        <v>193</v>
      </c>
      <c r="C30" s="100">
        <v>16.854721069335938</v>
      </c>
      <c r="D30" s="100">
        <v>16.93126106262207</v>
      </c>
      <c r="E30" s="100">
        <v>17.05010986328125</v>
      </c>
      <c r="F30" s="105">
        <f t="shared" si="6"/>
        <v>16.945363998413086</v>
      </c>
      <c r="G30" s="86">
        <f t="shared" si="13"/>
        <v>135</v>
      </c>
      <c r="H30" s="114">
        <f t="shared" si="8"/>
        <v>7.0768155970508309</v>
      </c>
      <c r="I30" s="100">
        <f t="shared" si="9"/>
        <v>9.7779054722851058</v>
      </c>
      <c r="J30" s="100">
        <f t="shared" si="10"/>
        <v>9.8544454655712386</v>
      </c>
      <c r="K30" s="100">
        <f t="shared" si="11"/>
        <v>9.9732942662304183</v>
      </c>
      <c r="L30" s="105">
        <f t="shared" si="12"/>
        <v>9.8685484013622542</v>
      </c>
      <c r="M30" s="99" t="s">
        <v>129</v>
      </c>
      <c r="N30" s="86"/>
      <c r="O30" s="86"/>
      <c r="P30" s="86"/>
      <c r="Q30" s="86"/>
      <c r="R30" s="86"/>
      <c r="S30" s="86"/>
      <c r="T30" s="86"/>
      <c r="U30" s="86"/>
    </row>
    <row r="31" spans="1:21">
      <c r="A31" s="86"/>
      <c r="B31" s="92" t="s">
        <v>194</v>
      </c>
      <c r="C31" s="100">
        <v>18.072385787963867</v>
      </c>
      <c r="D31" s="100">
        <v>18.182058334350586</v>
      </c>
      <c r="E31" s="100">
        <v>18.225353240966797</v>
      </c>
      <c r="F31" s="105">
        <f t="shared" si="6"/>
        <v>18.159932454427082</v>
      </c>
      <c r="G31" s="86">
        <f t="shared" si="13"/>
        <v>135</v>
      </c>
      <c r="H31" s="114">
        <f t="shared" si="8"/>
        <v>7.0768155970508309</v>
      </c>
      <c r="I31" s="100">
        <f t="shared" si="9"/>
        <v>10.995570190913035</v>
      </c>
      <c r="J31" s="100">
        <f t="shared" si="10"/>
        <v>11.105242737299754</v>
      </c>
      <c r="K31" s="100">
        <f t="shared" si="11"/>
        <v>11.148537643915965</v>
      </c>
      <c r="L31" s="105">
        <f t="shared" si="12"/>
        <v>11.083116857376252</v>
      </c>
      <c r="M31" s="86"/>
      <c r="N31" s="86"/>
      <c r="O31" s="86"/>
      <c r="P31" s="86"/>
      <c r="Q31" s="86"/>
      <c r="R31" s="86"/>
      <c r="S31" s="86"/>
      <c r="T31" s="86"/>
      <c r="U31" s="86"/>
    </row>
    <row r="32" spans="1:21">
      <c r="A32" s="86"/>
      <c r="B32" s="92" t="s">
        <v>195</v>
      </c>
      <c r="C32" s="100">
        <v>20.280126571655273</v>
      </c>
      <c r="D32" s="100">
        <v>20.968669891357422</v>
      </c>
      <c r="E32" s="100">
        <v>20.306863784790039</v>
      </c>
      <c r="F32" s="105">
        <f t="shared" si="6"/>
        <v>20.518553415934246</v>
      </c>
      <c r="G32" s="86">
        <f t="shared" si="13"/>
        <v>135</v>
      </c>
      <c r="H32" s="114">
        <f t="shared" si="8"/>
        <v>7.0768155970508309</v>
      </c>
      <c r="I32" s="100">
        <f t="shared" si="9"/>
        <v>13.203310974604442</v>
      </c>
      <c r="J32" s="100">
        <f t="shared" si="10"/>
        <v>13.89185429430659</v>
      </c>
      <c r="K32" s="100">
        <f t="shared" si="11"/>
        <v>13.230048187739207</v>
      </c>
      <c r="L32" s="105">
        <f t="shared" si="12"/>
        <v>13.441737818883412</v>
      </c>
      <c r="M32" s="86"/>
      <c r="N32" s="86"/>
      <c r="O32" s="86"/>
      <c r="P32" s="86"/>
      <c r="Q32" s="86"/>
      <c r="R32" s="86"/>
      <c r="S32" s="86"/>
      <c r="T32" s="86"/>
      <c r="U32" s="86"/>
    </row>
    <row r="33" spans="1:21">
      <c r="A33" s="86"/>
      <c r="B33" s="92" t="s">
        <v>196</v>
      </c>
      <c r="C33" s="100">
        <v>21.049312591552734</v>
      </c>
      <c r="D33" s="100">
        <v>21.128349304199219</v>
      </c>
      <c r="E33" s="100">
        <v>21.15723991394043</v>
      </c>
      <c r="F33" s="105">
        <f t="shared" si="6"/>
        <v>21.111633936564129</v>
      </c>
      <c r="G33" s="86">
        <f t="shared" si="13"/>
        <v>135</v>
      </c>
      <c r="H33" s="114">
        <f t="shared" si="8"/>
        <v>7.0768155970508309</v>
      </c>
      <c r="I33" s="100">
        <f t="shared" si="9"/>
        <v>13.972496994501903</v>
      </c>
      <c r="J33" s="100">
        <f t="shared" si="10"/>
        <v>14.051533707148387</v>
      </c>
      <c r="K33" s="100">
        <f t="shared" si="11"/>
        <v>14.080424316889598</v>
      </c>
      <c r="L33" s="105">
        <f t="shared" si="12"/>
        <v>14.034818339513295</v>
      </c>
      <c r="M33" s="86"/>
      <c r="N33" s="86"/>
      <c r="O33" s="86"/>
      <c r="P33" s="86"/>
      <c r="Q33" s="86"/>
      <c r="R33" s="86"/>
      <c r="S33" s="86"/>
      <c r="T33" s="86"/>
      <c r="U33" s="86"/>
    </row>
    <row r="34" spans="1:21">
      <c r="A34" s="86"/>
      <c r="B34" s="92" t="s">
        <v>197</v>
      </c>
      <c r="C34" s="100">
        <v>21.142179489135742</v>
      </c>
      <c r="D34" s="100">
        <v>21.006193161010742</v>
      </c>
      <c r="E34" s="100">
        <v>21.079441070556641</v>
      </c>
      <c r="F34" s="105">
        <f t="shared" si="6"/>
        <v>21.075937906901043</v>
      </c>
      <c r="G34" s="86">
        <f t="shared" si="13"/>
        <v>135</v>
      </c>
      <c r="H34" s="114">
        <f t="shared" si="8"/>
        <v>7.0768155970508309</v>
      </c>
      <c r="I34" s="100">
        <f t="shared" si="9"/>
        <v>14.06536389208491</v>
      </c>
      <c r="J34" s="100">
        <f t="shared" si="10"/>
        <v>13.92937756395991</v>
      </c>
      <c r="K34" s="100">
        <f t="shared" si="11"/>
        <v>14.002625473505809</v>
      </c>
      <c r="L34" s="105">
        <f t="shared" si="12"/>
        <v>13.999122309850209</v>
      </c>
      <c r="M34" s="86"/>
      <c r="N34" s="86"/>
      <c r="O34" s="86"/>
      <c r="P34" s="86"/>
      <c r="Q34" s="86"/>
      <c r="R34" s="86"/>
      <c r="S34" s="86"/>
      <c r="T34" s="86"/>
      <c r="U34" s="86"/>
    </row>
    <row r="35" spans="1:21">
      <c r="A35" s="86"/>
      <c r="B35" s="92" t="s">
        <v>198</v>
      </c>
      <c r="C35" s="100">
        <v>22.919816970825195</v>
      </c>
      <c r="D35" s="100">
        <v>22.845848083496094</v>
      </c>
      <c r="E35" s="100">
        <v>22.840835571289062</v>
      </c>
      <c r="F35" s="105">
        <f t="shared" si="6"/>
        <v>22.868833541870117</v>
      </c>
      <c r="G35" s="86">
        <f t="shared" si="13"/>
        <v>135</v>
      </c>
      <c r="H35" s="114">
        <f t="shared" si="8"/>
        <v>7.0768155970508309</v>
      </c>
      <c r="I35" s="100">
        <f t="shared" si="9"/>
        <v>15.843001373774364</v>
      </c>
      <c r="J35" s="100">
        <f t="shared" si="10"/>
        <v>15.769032486445262</v>
      </c>
      <c r="K35" s="100">
        <f t="shared" si="11"/>
        <v>15.764019974238231</v>
      </c>
      <c r="L35" s="105">
        <f t="shared" si="12"/>
        <v>15.792017944819285</v>
      </c>
      <c r="M35" s="86"/>
      <c r="N35" s="86"/>
      <c r="O35" s="86"/>
      <c r="P35" s="86"/>
      <c r="Q35" s="86"/>
      <c r="R35" s="86"/>
      <c r="S35" s="86"/>
      <c r="T35" s="86"/>
      <c r="U35" s="86"/>
    </row>
    <row r="36" spans="1:21">
      <c r="A36" s="86"/>
      <c r="B36" s="92" t="s">
        <v>199</v>
      </c>
      <c r="C36" s="100">
        <v>23.948450088500977</v>
      </c>
      <c r="D36" s="100">
        <v>24.184415817260742</v>
      </c>
      <c r="E36" s="100">
        <v>24.005857467651367</v>
      </c>
      <c r="F36" s="105">
        <f t="shared" si="6"/>
        <v>24.046241124471027</v>
      </c>
      <c r="G36" s="86">
        <f t="shared" si="13"/>
        <v>135</v>
      </c>
      <c r="H36" s="114">
        <f t="shared" si="8"/>
        <v>7.0768155970508309</v>
      </c>
      <c r="I36" s="100">
        <f t="shared" si="9"/>
        <v>16.871634491450145</v>
      </c>
      <c r="J36" s="100">
        <f t="shared" si="10"/>
        <v>17.10760022020991</v>
      </c>
      <c r="K36" s="100">
        <f t="shared" si="11"/>
        <v>16.929041870600535</v>
      </c>
      <c r="L36" s="105">
        <f t="shared" si="12"/>
        <v>16.969425527420196</v>
      </c>
      <c r="M36" s="86"/>
      <c r="N36" s="86"/>
      <c r="O36" s="86"/>
      <c r="P36" s="86"/>
      <c r="Q36" s="86"/>
      <c r="R36" s="86"/>
      <c r="S36" s="86"/>
      <c r="T36" s="86"/>
      <c r="U36" s="86"/>
    </row>
    <row r="37" spans="1:21">
      <c r="A37" s="86"/>
      <c r="B37" s="92" t="s">
        <v>200</v>
      </c>
      <c r="C37" s="100">
        <v>24.632528305053711</v>
      </c>
      <c r="D37" s="100">
        <v>24.451812744140625</v>
      </c>
      <c r="E37" s="100">
        <v>24.549453735351562</v>
      </c>
      <c r="F37" s="105">
        <f t="shared" si="6"/>
        <v>24.544598261515301</v>
      </c>
      <c r="G37" s="86">
        <f t="shared" si="13"/>
        <v>135</v>
      </c>
      <c r="H37" s="114">
        <f t="shared" si="8"/>
        <v>7.0768155970508309</v>
      </c>
      <c r="I37" s="100">
        <f t="shared" si="9"/>
        <v>17.555712708002879</v>
      </c>
      <c r="J37" s="100">
        <f t="shared" si="10"/>
        <v>17.374997147089793</v>
      </c>
      <c r="K37" s="100">
        <f t="shared" si="11"/>
        <v>17.472638138300731</v>
      </c>
      <c r="L37" s="105">
        <f t="shared" si="12"/>
        <v>17.467782664464469</v>
      </c>
      <c r="M37" s="86"/>
      <c r="N37" s="86"/>
      <c r="O37" s="86"/>
      <c r="P37" s="86"/>
      <c r="Q37" s="86"/>
      <c r="R37" s="86"/>
      <c r="S37" s="86"/>
      <c r="T37" s="86"/>
      <c r="U37" s="86"/>
    </row>
    <row r="38" spans="1:21">
      <c r="A38" s="86"/>
      <c r="B38" s="92" t="s">
        <v>201</v>
      </c>
      <c r="C38" s="93"/>
      <c r="D38" s="93"/>
      <c r="E38" s="93"/>
      <c r="F38" s="105" t="e">
        <f t="shared" si="6"/>
        <v>#DIV/0!</v>
      </c>
      <c r="G38" s="86">
        <v>0</v>
      </c>
      <c r="H38" s="114">
        <v>0</v>
      </c>
      <c r="I38" s="100">
        <f t="shared" si="9"/>
        <v>0</v>
      </c>
      <c r="J38" s="100">
        <f t="shared" si="10"/>
        <v>0</v>
      </c>
      <c r="K38" s="100">
        <f t="shared" si="11"/>
        <v>0</v>
      </c>
      <c r="L38" s="105">
        <f t="shared" si="12"/>
        <v>0</v>
      </c>
      <c r="M38" s="86"/>
      <c r="N38" s="86"/>
      <c r="O38" s="86"/>
      <c r="P38" s="86"/>
      <c r="Q38" s="86"/>
      <c r="R38" s="86"/>
      <c r="S38" s="86"/>
      <c r="T38" s="86"/>
      <c r="U38" s="86"/>
    </row>
    <row r="39" spans="1:21">
      <c r="A39" s="86"/>
      <c r="B39" s="86"/>
      <c r="C39" s="86"/>
      <c r="D39" s="86"/>
      <c r="E39" s="86"/>
      <c r="F39" s="114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</row>
    <row r="40" spans="1:21">
      <c r="A40" s="86"/>
      <c r="B40" s="92" t="s">
        <v>263</v>
      </c>
      <c r="C40" s="100">
        <v>14.390941619873047</v>
      </c>
      <c r="D40" s="100">
        <v>14.411395072937012</v>
      </c>
      <c r="E40" s="100">
        <v>14.301624298095703</v>
      </c>
      <c r="F40" s="105">
        <f>AVERAGE(C40:E40)</f>
        <v>14.367986996968588</v>
      </c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</row>
    <row r="41" spans="1:2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</row>
    <row r="42" spans="1:21">
      <c r="A42" s="86"/>
      <c r="B42" s="99" t="s">
        <v>214</v>
      </c>
      <c r="C42" s="86" t="s">
        <v>215</v>
      </c>
      <c r="D42" s="86"/>
      <c r="E42" s="86"/>
      <c r="F42" t="s">
        <v>264</v>
      </c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</row>
    <row r="43" spans="1:21">
      <c r="A43" s="86"/>
      <c r="B43" s="86" t="s">
        <v>265</v>
      </c>
      <c r="C43" s="86" t="s">
        <v>215</v>
      </c>
      <c r="D43" s="86"/>
      <c r="E43" s="86"/>
      <c r="F43">
        <v>0.35990572856564834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</row>
    <row r="44" spans="1:21">
      <c r="A44" s="86"/>
      <c r="B44" s="86"/>
      <c r="C44" s="103" t="s">
        <v>217</v>
      </c>
      <c r="D44" s="115">
        <v>-3.2483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</row>
    <row r="45" spans="1:21">
      <c r="A45" s="86"/>
      <c r="B45" s="86"/>
      <c r="C45" s="103" t="s">
        <v>218</v>
      </c>
      <c r="D45" s="101">
        <v>36.023000000000003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</row>
    <row r="46" spans="1:2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</row>
    <row r="47" spans="1:2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</row>
    <row r="48" spans="1:21">
      <c r="A48" s="86"/>
      <c r="B48" s="99" t="s">
        <v>219</v>
      </c>
      <c r="C48" s="86"/>
      <c r="D48" s="86">
        <f>-1+ POWER(10,-(1/D44))</f>
        <v>1.0316707994539165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</row>
    <row r="49" spans="1:2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</row>
    <row r="50" spans="1:2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</row>
    <row r="51" spans="1:2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</row>
    <row r="52" spans="1:2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</row>
    <row r="53" spans="1:2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46" workbookViewId="0">
      <selection activeCell="H79" sqref="H79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4" t="s">
        <v>266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19">
      <c r="A2" s="133" t="s">
        <v>4</v>
      </c>
      <c r="B2" s="133" t="s">
        <v>117</v>
      </c>
      <c r="C2" s="133" t="s">
        <v>117</v>
      </c>
      <c r="D2" s="133" t="s">
        <v>5</v>
      </c>
      <c r="E2" s="145" t="s">
        <v>221</v>
      </c>
      <c r="F2" s="145" t="s">
        <v>222</v>
      </c>
      <c r="G2" s="145" t="s">
        <v>223</v>
      </c>
      <c r="H2" s="147" t="s">
        <v>224</v>
      </c>
      <c r="I2" s="147" t="s">
        <v>225</v>
      </c>
      <c r="J2" s="147" t="s">
        <v>226</v>
      </c>
      <c r="K2" s="145" t="s">
        <v>227</v>
      </c>
      <c r="L2" s="145" t="s">
        <v>228</v>
      </c>
      <c r="M2" s="145" t="s">
        <v>229</v>
      </c>
      <c r="N2" s="145" t="s">
        <v>230</v>
      </c>
      <c r="O2" s="145" t="s">
        <v>231</v>
      </c>
      <c r="P2" s="147" t="s">
        <v>232</v>
      </c>
      <c r="Q2" s="147" t="s">
        <v>267</v>
      </c>
      <c r="R2" s="147" t="s">
        <v>234</v>
      </c>
      <c r="S2" s="147" t="s">
        <v>235</v>
      </c>
    </row>
    <row r="3" spans="1:19">
      <c r="A3" s="134"/>
      <c r="B3" s="134"/>
      <c r="C3" s="134"/>
      <c r="D3" s="13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00">
        <v>27.703145980834961</v>
      </c>
      <c r="F4" s="100">
        <v>27.210134506225586</v>
      </c>
      <c r="G4" s="105">
        <v>27.932735443115234</v>
      </c>
      <c r="H4" s="111">
        <f>E4-$H$70+$H$78</f>
        <v>27.380693481279451</v>
      </c>
      <c r="I4" s="111">
        <f>F4-$H$70+$H$78</f>
        <v>26.887682006670076</v>
      </c>
      <c r="J4" s="111">
        <f>G4-$H$70+$H$78</f>
        <v>27.610282943559724</v>
      </c>
      <c r="K4" s="105">
        <f>((H4-'Calibration F. prausnitzii'!$D$45)/'Calibration F. prausnitzii'!$D$44)+$B$27</f>
        <v>6.3137754293682846</v>
      </c>
      <c r="L4" s="105">
        <f>((I4-'Calibration F. prausnitzii'!$D$45)/'Calibration F. prausnitzii'!$D$44)+$B$27</f>
        <v>6.4655506578291337</v>
      </c>
      <c r="M4" s="105">
        <f>((J4-'Calibration F. prausnitzii'!$D$45)/'Calibration F. prausnitzii'!$D$44)+$B$27</f>
        <v>6.2430955468819773</v>
      </c>
      <c r="N4" s="106">
        <f>AVERAGE(K4:M4)</f>
        <v>6.3408072113597989</v>
      </c>
      <c r="O4" s="106">
        <f>STDEV(K4:M4)</f>
        <v>0.11366444925681676</v>
      </c>
      <c r="P4" s="107">
        <f>(AVERAGE(POWER(10,K4),POWER(10,L4),POWER(10,M4)))*Calculation!$I4/Calculation!$K3</f>
        <v>2245063.4359351681</v>
      </c>
      <c r="Q4" s="107">
        <f>(STDEV(POWER(10,K4),POWER(10,L4),POWER(10,M4))*Calculation!$I4/Calculation!$K3)</f>
        <v>607148.92916229158</v>
      </c>
      <c r="R4" s="106">
        <f>LOG(P4)</f>
        <v>6.3512286168259227</v>
      </c>
      <c r="S4" s="106">
        <f>O4*Calculation!$I4/Calculation!$K3</f>
        <v>0.11373647995976785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0">
        <v>26.762582778930664</v>
      </c>
      <c r="F5" s="100">
        <v>26.921392440795898</v>
      </c>
      <c r="G5" s="105">
        <v>26.978418350219727</v>
      </c>
      <c r="H5" s="111">
        <f>E5-$H$70+$H$78</f>
        <v>26.440130279375154</v>
      </c>
      <c r="I5" s="111">
        <f>F5-$H$70+$H$78</f>
        <v>26.598939941240388</v>
      </c>
      <c r="J5" s="111">
        <f>G5-$H$70+$H$78</f>
        <v>26.655965850664217</v>
      </c>
      <c r="K5" s="105">
        <f>((H5-'Calibration F. prausnitzii'!$D$45)/'Calibration F. prausnitzii'!$D$44)+$B$27</f>
        <v>6.6033309513041587</v>
      </c>
      <c r="L5" s="105">
        <f>((I5-'Calibration F. prausnitzii'!$D$45)/'Calibration F. prausnitzii'!$D$44)+$B$27</f>
        <v>6.5544408666859777</v>
      </c>
      <c r="M5" s="105">
        <f>((J5-'Calibration F. prausnitzii'!$D$45)/'Calibration F. prausnitzii'!$D$44)+$B$27</f>
        <v>6.536885250079191</v>
      </c>
      <c r="N5" s="106">
        <f t="shared" ref="N5:N20" si="1">AVERAGE(K5:M5)</f>
        <v>6.5648856893564416</v>
      </c>
      <c r="O5" s="106">
        <f t="shared" ref="O5:O20" si="2">STDEV(K5:M5)</f>
        <v>3.4432231169102455E-2</v>
      </c>
      <c r="P5" s="107">
        <f>(AVERAGE(POWER(10,K5),POWER(10,L5),POWER(10,M5)))*Calculation!$I5/Calculation!$K4</f>
        <v>3681969.86081695</v>
      </c>
      <c r="Q5" s="107">
        <f>(STDEV(POWER(10,K5),POWER(10,L5),POWER(10,M5))*Calculation!$I5/Calculation!$K4)</f>
        <v>296417.73691794649</v>
      </c>
      <c r="R5" s="106">
        <f t="shared" ref="R5:R20" si="3">LOG(P5)</f>
        <v>6.5660802292156708</v>
      </c>
      <c r="S5" s="106">
        <f>O5*Calculation!$I5/Calculation!$K4</f>
        <v>3.4454051340945993E-2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100">
        <v>25.230365753173828</v>
      </c>
      <c r="F6" s="100">
        <v>25.333658218383789</v>
      </c>
      <c r="G6" s="105">
        <v>25.575418472290039</v>
      </c>
      <c r="H6" s="111">
        <f>E6-$H$70+$H$78</f>
        <v>24.907913253618318</v>
      </c>
      <c r="I6" s="111">
        <f>F6-$H$70+$H$78</f>
        <v>25.011205718828279</v>
      </c>
      <c r="J6" s="111">
        <f>G6-$H$70+$H$78</f>
        <v>25.252965972734529</v>
      </c>
      <c r="K6" s="105">
        <f>((H6-'Calibration F. prausnitzii'!$D$45)/'Calibration F. prausnitzii'!$D$44)+$B$27</f>
        <v>7.075029078249587</v>
      </c>
      <c r="L6" s="105">
        <f>((I6-'Calibration F. prausnitzii'!$D$45)/'Calibration F. prausnitzii'!$D$44)+$B$27</f>
        <v>7.0432301479753017</v>
      </c>
      <c r="M6" s="105">
        <f>((J6-'Calibration F. prausnitzii'!$D$45)/'Calibration F. prausnitzii'!$D$44)+$B$27</f>
        <v>6.9688034466526867</v>
      </c>
      <c r="N6" s="106">
        <f t="shared" si="1"/>
        <v>7.0290208909591918</v>
      </c>
      <c r="O6" s="106">
        <f t="shared" si="2"/>
        <v>5.4519706902665013E-2</v>
      </c>
      <c r="P6" s="107">
        <f>(AVERAGE(POWER(10,K6),POWER(10,L6),POWER(10,M6)))*Calculation!$I6/Calculation!$K5</f>
        <v>10753250.968235262</v>
      </c>
      <c r="Q6" s="107">
        <f>(STDEV(POWER(10,K6),POWER(10,L6),POWER(10,M6))*Calculation!$I6/Calculation!$K5)</f>
        <v>1316256.6875295863</v>
      </c>
      <c r="R6" s="106">
        <f t="shared" si="3"/>
        <v>7.031539781844323</v>
      </c>
      <c r="S6" s="106">
        <f>O6*Calculation!$I6/Calculation!$K5</f>
        <v>5.4554256780296614E-2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100">
        <v>24.100191116333008</v>
      </c>
      <c r="F7" s="100">
        <v>24.199111938476562</v>
      </c>
      <c r="G7" s="105">
        <v>24.370344161987305</v>
      </c>
      <c r="H7" s="111">
        <f>E7-$H$70+$H$78</f>
        <v>23.777738616777498</v>
      </c>
      <c r="I7" s="111">
        <f>F7-$H$70+$H$78</f>
        <v>23.876659438921052</v>
      </c>
      <c r="J7" s="111">
        <f>G7-$H$70+$H$78</f>
        <v>24.047891662431795</v>
      </c>
      <c r="K7" s="105">
        <f>((H7-'Calibration F. prausnitzii'!$D$45)/'Calibration F. prausnitzii'!$D$44)+$B$27</f>
        <v>7.4229571134805763</v>
      </c>
      <c r="L7" s="105">
        <f>((I7-'Calibration F. prausnitzii'!$D$45)/'Calibration F. prausnitzii'!$D$44)+$B$27</f>
        <v>7.3925040081197544</v>
      </c>
      <c r="M7" s="105">
        <f>((J7-'Calibration F. prausnitzii'!$D$45)/'Calibration F. prausnitzii'!$D$44)+$B$27</f>
        <v>7.3397895964241773</v>
      </c>
      <c r="N7" s="106">
        <f t="shared" si="1"/>
        <v>7.3850835726748363</v>
      </c>
      <c r="O7" s="106">
        <f t="shared" si="2"/>
        <v>4.2077382522867988E-2</v>
      </c>
      <c r="P7" s="107">
        <f>(AVERAGE(POWER(10,K7),POWER(10,L7),POWER(10,M7)))*Calculation!$I7/Calculation!$K6</f>
        <v>24378550.101748373</v>
      </c>
      <c r="Q7" s="107">
        <f>(STDEV(POWER(10,K7),POWER(10,L7),POWER(10,M7))*Calculation!$I7/Calculation!$K6)</f>
        <v>2329806.7738523292</v>
      </c>
      <c r="R7" s="106">
        <f t="shared" si="3"/>
        <v>7.3870078726714272</v>
      </c>
      <c r="S7" s="106">
        <f>O7*Calculation!$I7/Calculation!$K6</f>
        <v>4.2133388330476931E-2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00">
        <v>22.309085845947266</v>
      </c>
      <c r="F8" s="100">
        <v>22.982904434204102</v>
      </c>
      <c r="G8" s="105">
        <v>22.975433349609375</v>
      </c>
      <c r="H8" s="111">
        <f>E8-$H$70+$H$78</f>
        <v>21.986633346391756</v>
      </c>
      <c r="I8" s="111">
        <f>F8-$H$70+$H$78</f>
        <v>22.660451934648592</v>
      </c>
      <c r="J8" s="111">
        <f>G8-$H$70+$H$78</f>
        <v>22.652980850053865</v>
      </c>
      <c r="K8" s="105">
        <f>((H8-'Calibration F. prausnitzii'!$D$45)/'Calibration F. prausnitzii'!$D$44)+$B$27</f>
        <v>7.9743548508772886</v>
      </c>
      <c r="L8" s="105">
        <f>((I8-'Calibration F. prausnitzii'!$D$45)/'Calibration F. prausnitzii'!$D$44)+$B$27</f>
        <v>7.7669175488248801</v>
      </c>
      <c r="M8" s="105">
        <f>((J8-'Calibration F. prausnitzii'!$D$45)/'Calibration F. prausnitzii'!$D$44)+$B$27</f>
        <v>7.7692175471608493</v>
      </c>
      <c r="N8" s="106">
        <f t="shared" si="1"/>
        <v>7.8368299822876724</v>
      </c>
      <c r="O8" s="106">
        <f t="shared" si="2"/>
        <v>0.11910558176899061</v>
      </c>
      <c r="P8" s="107">
        <f>(AVERAGE(POWER(10,K8),POWER(10,L8),POWER(10,M8)))*Calculation!$I8/Calculation!$K7</f>
        <v>70699498.308888152</v>
      </c>
      <c r="Q8" s="107">
        <f>(STDEV(POWER(10,K8),POWER(10,L8),POWER(10,M8))*Calculation!$I8/Calculation!$K7)</f>
        <v>20636012.634136513</v>
      </c>
      <c r="R8" s="106">
        <f t="shared" si="3"/>
        <v>7.8494163320082917</v>
      </c>
      <c r="S8" s="106">
        <f>O8*Calculation!$I8/Calculation!$K7</f>
        <v>0.11943571663644517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00">
        <v>21.454885482788086</v>
      </c>
      <c r="F9" s="100">
        <v>21.672647476196289</v>
      </c>
      <c r="G9" s="105">
        <v>22.084840774536133</v>
      </c>
      <c r="H9" s="111">
        <f>E9-$H$70+$H$78</f>
        <v>21.132432983232576</v>
      </c>
      <c r="I9" s="111">
        <f>F9-$H$70+$H$78</f>
        <v>21.350194976640779</v>
      </c>
      <c r="J9" s="111">
        <f>G9-$H$70+$H$78</f>
        <v>21.762388274980623</v>
      </c>
      <c r="K9" s="105">
        <f>((H9-'Calibration F. prausnitzii'!$D$45)/'Calibration F. prausnitzii'!$D$44)+$B$27</f>
        <v>8.2373232845685056</v>
      </c>
      <c r="L9" s="105">
        <f>((I9-'Calibration F. prausnitzii'!$D$45)/'Calibration F. prausnitzii'!$D$44)+$B$27</f>
        <v>8.1702845278624743</v>
      </c>
      <c r="M9" s="105">
        <f>((J9-'Calibration F. prausnitzii'!$D$45)/'Calibration F. prausnitzii'!$D$44)+$B$27</f>
        <v>8.0433894447913765</v>
      </c>
      <c r="N9" s="106">
        <f t="shared" si="1"/>
        <v>8.15033241907412</v>
      </c>
      <c r="O9" s="106">
        <f t="shared" si="2"/>
        <v>9.8494408656035246E-2</v>
      </c>
      <c r="P9" s="107">
        <f>(AVERAGE(POWER(10,K9),POWER(10,L9),POWER(10,M9)))*Calculation!$I9/Calculation!$K8</f>
        <v>144784239.24673858</v>
      </c>
      <c r="Q9" s="107">
        <f>(STDEV(POWER(10,K9),POWER(10,L9),POWER(10,M9))*Calculation!$I9/Calculation!$K8)</f>
        <v>31548321.661873534</v>
      </c>
      <c r="R9" s="106">
        <f t="shared" si="3"/>
        <v>8.1607212885136793</v>
      </c>
      <c r="S9" s="106">
        <f>O9*Calculation!$I9/Calculation!$K8</f>
        <v>9.9208339771742843E-2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00">
        <v>19.635971069335938</v>
      </c>
      <c r="F10" s="100">
        <v>20.889438629150391</v>
      </c>
      <c r="G10" s="105">
        <v>19.911163330078125</v>
      </c>
      <c r="H10" s="111">
        <f>E10-$H$70+$H$78</f>
        <v>19.313518569780427</v>
      </c>
      <c r="I10" s="111">
        <f>F10-$H$70+$H$78</f>
        <v>20.566986129594881</v>
      </c>
      <c r="J10" s="111">
        <f>G10-$H$70+$H$78</f>
        <v>19.588710830522615</v>
      </c>
      <c r="K10" s="105">
        <f>((H10-'Calibration F. prausnitzii'!$D$45)/'Calibration F. prausnitzii'!$D$44)+$B$27</f>
        <v>8.797282159503748</v>
      </c>
      <c r="L10" s="105">
        <f>((I10-'Calibration F. prausnitzii'!$D$45)/'Calibration F. prausnitzii'!$D$44)+$B$27</f>
        <v>8.4113979863010098</v>
      </c>
      <c r="M10" s="105">
        <f>((J10-'Calibration F. prausnitzii'!$D$45)/'Calibration F. prausnitzii'!$D$44)+$B$27</f>
        <v>8.7125633032582694</v>
      </c>
      <c r="N10" s="106">
        <f t="shared" si="1"/>
        <v>8.6404144830210097</v>
      </c>
      <c r="O10" s="106">
        <f t="shared" si="2"/>
        <v>0.20280714479108375</v>
      </c>
      <c r="P10" s="107">
        <f>(AVERAGE(POWER(10,K10),POWER(10,L10),POWER(10,M10)))*Calculation!$I10/Calculation!$K9</f>
        <v>473914609.36511075</v>
      </c>
      <c r="Q10" s="107">
        <f>(STDEV(POWER(10,K10),POWER(10,L10),POWER(10,M10))*Calculation!$I10/Calculation!$K9)</f>
        <v>192218901.43650472</v>
      </c>
      <c r="R10" s="106">
        <f t="shared" si="3"/>
        <v>8.6757000969012488</v>
      </c>
      <c r="S10" s="106">
        <f>O10*Calculation!$I10/Calculation!$K9</f>
        <v>0.20584132464237589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100">
        <v>18.803289413452148</v>
      </c>
      <c r="F11" s="100">
        <v>18.491220474243164</v>
      </c>
      <c r="G11" s="105">
        <v>18.43193244934082</v>
      </c>
      <c r="H11" s="111">
        <f>E11-$H$70+$H$78</f>
        <v>18.480836913896638</v>
      </c>
      <c r="I11" s="111">
        <f>F11-$H$70+$H$78</f>
        <v>18.168767974687654</v>
      </c>
      <c r="J11" s="111">
        <f>G11-$H$70+$H$78</f>
        <v>18.10947994978531</v>
      </c>
      <c r="K11" s="105">
        <f>((H11-'Calibration F. prausnitzii'!$D$45)/'Calibration F. prausnitzii'!$D$44)+$B$27</f>
        <v>9.0536259873163853</v>
      </c>
      <c r="L11" s="105">
        <f>((I11-'Calibration F. prausnitzii'!$D$45)/'Calibration F. prausnitzii'!$D$44)+$B$27</f>
        <v>9.1496974521469063</v>
      </c>
      <c r="M11" s="105">
        <f>((J11-'Calibration F. prausnitzii'!$D$45)/'Calibration F. prausnitzii'!$D$44)+$B$27</f>
        <v>9.1679494685562108</v>
      </c>
      <c r="N11" s="106">
        <f t="shared" si="1"/>
        <v>9.1237576360065002</v>
      </c>
      <c r="O11" s="106">
        <f t="shared" si="2"/>
        <v>6.1417588171033828E-2</v>
      </c>
      <c r="P11" s="107">
        <f>(AVERAGE(POWER(10,K11),POWER(10,L11),POWER(10,M11)))*Calculation!$I11/Calculation!$K10</f>
        <v>1370134744.2506545</v>
      </c>
      <c r="Q11" s="107">
        <f>(STDEV(POWER(10,K11),POWER(10,L11),POWER(10,M11))*Calculation!$I11/Calculation!$K10)</f>
        <v>186077910.11210749</v>
      </c>
      <c r="R11" s="106">
        <f t="shared" si="3"/>
        <v>9.1367632794242599</v>
      </c>
      <c r="S11" s="106">
        <f>O11*Calculation!$I11/Calculation!$K10</f>
        <v>6.2875100922956673E-2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00">
        <v>18.076662063598633</v>
      </c>
      <c r="F12" s="100">
        <v>18.539056777954102</v>
      </c>
      <c r="G12" s="105">
        <v>18.357902526855469</v>
      </c>
      <c r="H12" s="111">
        <f>E12-$H$70+$H$78</f>
        <v>17.754209564043123</v>
      </c>
      <c r="I12" s="111">
        <f>F12-$H$70+$H$78</f>
        <v>18.216604278398592</v>
      </c>
      <c r="J12" s="111">
        <f>G12-$H$70+$H$78</f>
        <v>18.035450027299959</v>
      </c>
      <c r="K12" s="105">
        <f>((H12-'Calibration F. prausnitzii'!$D$45)/'Calibration F. prausnitzii'!$D$44)+$B$27</f>
        <v>9.2773206429373296</v>
      </c>
      <c r="L12" s="105">
        <f>((I12-'Calibration F. prausnitzii'!$D$45)/'Calibration F. prausnitzii'!$D$44)+$B$27</f>
        <v>9.1349708863398877</v>
      </c>
      <c r="M12" s="105">
        <f>((J12-'Calibration F. prausnitzii'!$D$45)/'Calibration F. prausnitzii'!$D$44)+$B$27</f>
        <v>9.1907398273547685</v>
      </c>
      <c r="N12" s="106">
        <f t="shared" si="1"/>
        <v>9.2010104522106619</v>
      </c>
      <c r="O12" s="106">
        <f t="shared" si="2"/>
        <v>7.1728499231725251E-2</v>
      </c>
      <c r="P12" s="107">
        <f>(AVERAGE(POWER(10,K12),POWER(10,L12),POWER(10,M12)))*Calculation!$I12/Calculation!$K11</f>
        <v>1661162869.2616451</v>
      </c>
      <c r="Q12" s="107">
        <f>(STDEV(POWER(10,K12),POWER(10,L12),POWER(10,M12))*Calculation!$I12/Calculation!$K11)</f>
        <v>278094865.11912763</v>
      </c>
      <c r="R12" s="106">
        <f t="shared" si="3"/>
        <v>9.220412215084723</v>
      </c>
      <c r="S12" s="106">
        <f>O12*Calculation!$I12/Calculation!$K11</f>
        <v>7.4320411862293406E-2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00">
        <v>17.866870880126953</v>
      </c>
      <c r="F13" s="100">
        <v>17.828161239624023</v>
      </c>
      <c r="G13" s="105">
        <v>17.887897491455078</v>
      </c>
      <c r="H13" s="111">
        <f>E13-$H$70+$H$78</f>
        <v>17.544418380571443</v>
      </c>
      <c r="I13" s="111">
        <f>F13-$H$70+$H$78</f>
        <v>17.505708740068513</v>
      </c>
      <c r="J13" s="111">
        <f>G13-$H$70+$H$78</f>
        <v>17.565444991899568</v>
      </c>
      <c r="K13" s="105">
        <f>((H13-'Calibration F. prausnitzii'!$D$45)/'Calibration F. prausnitzii'!$D$44)+$B$27</f>
        <v>9.3419055591925027</v>
      </c>
      <c r="L13" s="105">
        <f>((I13-'Calibration F. prausnitzii'!$D$45)/'Calibration F. prausnitzii'!$D$44)+$B$27</f>
        <v>9.3538224512600241</v>
      </c>
      <c r="M13" s="105">
        <f>((J13-'Calibration F. prausnitzii'!$D$45)/'Calibration F. prausnitzii'!$D$44)+$B$27</f>
        <v>9.3354324466942344</v>
      </c>
      <c r="N13" s="106">
        <f t="shared" si="1"/>
        <v>9.3437201523822537</v>
      </c>
      <c r="O13" s="106">
        <f t="shared" si="2"/>
        <v>9.3283239821341599E-3</v>
      </c>
      <c r="P13" s="107">
        <f>(AVERAGE(POWER(10,K13),POWER(10,L13),POWER(10,M13)))*Calculation!$I13/Calculation!$K12</f>
        <v>2315087296.3203068</v>
      </c>
      <c r="Q13" s="107">
        <f>(STDEV(POWER(10,K13),POWER(10,L13),POWER(10,M13))*Calculation!$I13/Calculation!$K12)</f>
        <v>49873167.413100116</v>
      </c>
      <c r="R13" s="106">
        <f t="shared" si="3"/>
        <v>9.3645673718530649</v>
      </c>
      <c r="S13" s="106">
        <f>O13*Calculation!$I13/Calculation!$K12</f>
        <v>9.785520260612985E-3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100">
        <v>17.953403472900391</v>
      </c>
      <c r="F14" s="100">
        <v>17.566474914550781</v>
      </c>
      <c r="G14" s="105">
        <v>17.36419677734375</v>
      </c>
      <c r="H14" s="111">
        <f>E14-$H$70+$H$78</f>
        <v>17.630950973344881</v>
      </c>
      <c r="I14" s="111">
        <f>F14-$H$70+$H$78</f>
        <v>17.244022414995271</v>
      </c>
      <c r="J14" s="111">
        <f>G14-$H$70+$H$78</f>
        <v>17.04174427778824</v>
      </c>
      <c r="K14" s="105">
        <f>((H14-'Calibration F. prausnitzii'!$D$45)/'Calibration F. prausnitzii'!$D$44)+$B$27</f>
        <v>9.3152662116034755</v>
      </c>
      <c r="L14" s="105">
        <f>((I14-'Calibration F. prausnitzii'!$D$45)/'Calibration F. prausnitzii'!$D$44)+$B$27</f>
        <v>9.4343834601179637</v>
      </c>
      <c r="M14" s="105">
        <f>((J14-'Calibration F. prausnitzii'!$D$45)/'Calibration F. prausnitzii'!$D$44)+$B$27</f>
        <v>9.4966554599969868</v>
      </c>
      <c r="N14" s="106">
        <f t="shared" si="1"/>
        <v>9.4154350439061414</v>
      </c>
      <c r="O14" s="106">
        <f t="shared" si="2"/>
        <v>9.2167221482982009E-2</v>
      </c>
      <c r="P14" s="107">
        <f>(AVERAGE(POWER(10,K14),POWER(10,L14),POWER(10,M14)))*Calculation!$I14/Calculation!$K13</f>
        <v>2798648993.5124054</v>
      </c>
      <c r="Q14" s="107">
        <f>(STDEV(POWER(10,K14),POWER(10,L14),POWER(10,M14))*Calculation!$I14/Calculation!$K13)</f>
        <v>572083866.44867718</v>
      </c>
      <c r="R14" s="106">
        <f t="shared" si="3"/>
        <v>9.4469484326784539</v>
      </c>
      <c r="S14" s="106">
        <f>O14*Calculation!$I14/Calculation!$K13</f>
        <v>9.7662744272586352E-2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100">
        <v>17.784963607788086</v>
      </c>
      <c r="F15" s="100">
        <v>17.848949432373047</v>
      </c>
      <c r="G15" s="105">
        <v>17.894403457641602</v>
      </c>
      <c r="H15" s="111">
        <f>E15-$H$70+$H$78</f>
        <v>17.462511108232576</v>
      </c>
      <c r="I15" s="111">
        <f>F15-$H$70+$H$78</f>
        <v>17.526496932817537</v>
      </c>
      <c r="J15" s="111">
        <f>G15-$H$70+$H$78</f>
        <v>17.571950958086092</v>
      </c>
      <c r="K15" s="105">
        <f>((H15-'Calibration F. prausnitzii'!$D$45)/'Calibration F. prausnitzii'!$D$44)+$B$27</f>
        <v>9.3671209864433322</v>
      </c>
      <c r="L15" s="105">
        <f>((I15-'Calibration F. prausnitzii'!$D$45)/'Calibration F. prausnitzii'!$D$44)+$B$27</f>
        <v>9.3474227367173341</v>
      </c>
      <c r="M15" s="105">
        <f>((J15-'Calibration F. prausnitzii'!$D$45)/'Calibration F. prausnitzii'!$D$44)+$B$27</f>
        <v>9.3334295632824436</v>
      </c>
      <c r="N15" s="106">
        <f t="shared" si="1"/>
        <v>9.34932442881437</v>
      </c>
      <c r="O15" s="106">
        <f t="shared" si="2"/>
        <v>1.6926025028797018E-2</v>
      </c>
      <c r="P15" s="107">
        <f>(AVERAGE(POWER(10,K15),POWER(10,L15),POWER(10,M15)))*Calculation!$I15/Calculation!$K14</f>
        <v>2384120218.6766133</v>
      </c>
      <c r="Q15" s="107">
        <f>(STDEV(POWER(10,K15),POWER(10,L15),POWER(10,M15))*Calculation!$I15/Calculation!$K14)</f>
        <v>93200744.308030561</v>
      </c>
      <c r="R15" s="106">
        <f t="shared" si="3"/>
        <v>9.3773281508129589</v>
      </c>
      <c r="S15" s="106">
        <f>O15*Calculation!$I15/Calculation!$K14</f>
        <v>1.8044230405874776E-2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100">
        <v>17.980398178100586</v>
      </c>
      <c r="F16" s="100">
        <v>18.338283538818359</v>
      </c>
      <c r="G16" s="105">
        <v>17.969549179077148</v>
      </c>
      <c r="H16" s="111">
        <f>E16-$H$70+$H$78</f>
        <v>17.657945678545076</v>
      </c>
      <c r="I16" s="111">
        <f>F16-$H$70+$H$78</f>
        <v>18.015831039262849</v>
      </c>
      <c r="J16" s="111">
        <f>G16-$H$70+$H$78</f>
        <v>17.647096679521638</v>
      </c>
      <c r="K16" s="105">
        <f>((H16-'Calibration F. prausnitzii'!$D$45)/'Calibration F. prausnitzii'!$D$44)+$B$27</f>
        <v>9.3069558014811982</v>
      </c>
      <c r="L16" s="105">
        <f>((I16-'Calibration F. prausnitzii'!$D$45)/'Calibration F. prausnitzii'!$D$44)+$B$27</f>
        <v>9.1967795983233085</v>
      </c>
      <c r="M16" s="105">
        <f>((J16-'Calibration F. prausnitzii'!$D$45)/'Calibration F. prausnitzii'!$D$44)+$B$27</f>
        <v>9.3102957020517856</v>
      </c>
      <c r="N16" s="106">
        <f t="shared" si="1"/>
        <v>9.2713437006187629</v>
      </c>
      <c r="O16" s="106">
        <f t="shared" si="2"/>
        <v>6.4595996372071904E-2</v>
      </c>
      <c r="P16" s="107">
        <f>(AVERAGE(POWER(10,K16),POWER(10,L16),POWER(10,M16)))*Calculation!$I16/Calculation!$K15</f>
        <v>2005547342.1665165</v>
      </c>
      <c r="Q16" s="107">
        <f>(STDEV(POWER(10,K16),POWER(10,L16),POWER(10,M16))*Calculation!$I16/Calculation!$K15)</f>
        <v>284552620.13780731</v>
      </c>
      <c r="R16" s="106">
        <f t="shared" si="3"/>
        <v>9.3022329182244246</v>
      </c>
      <c r="S16" s="106">
        <f>O16*Calculation!$I16/Calculation!$K15</f>
        <v>6.8863483295791755E-2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100">
        <v>18.056844711303711</v>
      </c>
      <c r="F17" s="100">
        <v>18.422849655151367</v>
      </c>
      <c r="G17" s="105">
        <v>18.233837127685547</v>
      </c>
      <c r="H17" s="111">
        <f>E17-$H$70+$H$78</f>
        <v>17.734392211748201</v>
      </c>
      <c r="I17" s="111">
        <f>F17-$H$70+$H$78</f>
        <v>18.100397155595857</v>
      </c>
      <c r="J17" s="111">
        <f>G17-$H$70+$H$78</f>
        <v>17.911384628130037</v>
      </c>
      <c r="K17" s="105">
        <f>((H17-'Calibration F. prausnitzii'!$D$45)/'Calibration F. prausnitzii'!$D$44)+$B$27</f>
        <v>9.2834214810049112</v>
      </c>
      <c r="L17" s="105">
        <f>((I17-'Calibration F. prausnitzii'!$D$45)/'Calibration F. prausnitzii'!$D$44)+$B$27</f>
        <v>9.1707456370718816</v>
      </c>
      <c r="M17" s="105">
        <f>((J17-'Calibration F. prausnitzii'!$D$45)/'Calibration F. prausnitzii'!$D$44)+$B$27</f>
        <v>9.2289337747025879</v>
      </c>
      <c r="N17" s="106">
        <f t="shared" si="1"/>
        <v>9.2277002975931257</v>
      </c>
      <c r="O17" s="106">
        <f t="shared" si="2"/>
        <v>5.6348048332127532E-2</v>
      </c>
      <c r="P17" s="107">
        <f>(AVERAGE(POWER(10,K17),POWER(10,L17),POWER(10,M17)))*Calculation!$I17/Calculation!$K16</f>
        <v>1812674734.7433677</v>
      </c>
      <c r="Q17" s="107">
        <f>(STDEV(POWER(10,K17),POWER(10,L17),POWER(10,M17))*Calculation!$I17/Calculation!$K16)</f>
        <v>234196705.33729559</v>
      </c>
      <c r="R17" s="106">
        <f t="shared" si="3"/>
        <v>9.2583198815476671</v>
      </c>
      <c r="S17" s="106">
        <f>O17*Calculation!$I17/Calculation!$K16</f>
        <v>6.0126833946166268E-2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100">
        <v>17.753908157348633</v>
      </c>
      <c r="F18" s="100">
        <v>17.980192184448242</v>
      </c>
      <c r="G18" s="105">
        <v>18.302516937255859</v>
      </c>
      <c r="H18" s="111">
        <f>E18-$H$70+$H$78</f>
        <v>17.431455657793123</v>
      </c>
      <c r="I18" s="111">
        <f>F18-$H$70+$H$78</f>
        <v>17.657739684892732</v>
      </c>
      <c r="J18" s="111">
        <f>G18-$H$70+$H$78</f>
        <v>17.980064437700349</v>
      </c>
      <c r="K18" s="105">
        <f>((H18-'Calibration F. prausnitzii'!$D$45)/'Calibration F. prausnitzii'!$D$44)+$B$27</f>
        <v>9.3766815105450014</v>
      </c>
      <c r="L18" s="105">
        <f>((I18-'Calibration F. prausnitzii'!$D$45)/'Calibration F. prausnitzii'!$D$44)+$B$27</f>
        <v>9.3070192173148172</v>
      </c>
      <c r="M18" s="105">
        <f>((J18-'Calibration F. prausnitzii'!$D$45)/'Calibration F. prausnitzii'!$D$44)+$B$27</f>
        <v>9.2077904660271841</v>
      </c>
      <c r="N18" s="106">
        <f t="shared" si="1"/>
        <v>9.297163731295667</v>
      </c>
      <c r="O18" s="106">
        <f t="shared" si="2"/>
        <v>8.4875757334383059E-2</v>
      </c>
      <c r="P18" s="107">
        <f>(AVERAGE(POWER(10,K18),POWER(10,L18),POWER(10,M18)))*Calculation!$I18/Calculation!$K17</f>
        <v>2148178430.2027092</v>
      </c>
      <c r="Q18" s="107">
        <f>(STDEV(POWER(10,K18),POWER(10,L18),POWER(10,M18))*Calculation!$I18/Calculation!$K17)</f>
        <v>410847818.72732896</v>
      </c>
      <c r="R18" s="106">
        <f t="shared" si="3"/>
        <v>9.3320703515312875</v>
      </c>
      <c r="S18" s="106">
        <f>O18*Calculation!$I18/Calculation!$K17</f>
        <v>9.0832214244491075E-2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100">
        <v>18.221197128295898</v>
      </c>
      <c r="F19" s="100">
        <v>18.761238098144531</v>
      </c>
      <c r="G19" s="105">
        <v>18.687654495239258</v>
      </c>
      <c r="H19" s="111">
        <f>E19-$H$70+$H$78</f>
        <v>17.898744628740388</v>
      </c>
      <c r="I19" s="111">
        <f>F19-$H$70+$H$78</f>
        <v>18.438785598589021</v>
      </c>
      <c r="J19" s="111">
        <f>G19-$H$70+$H$78</f>
        <v>18.365201995683748</v>
      </c>
      <c r="K19" s="105">
        <f>((H19-'Calibration F. prausnitzii'!$D$45)/'Calibration F. prausnitzii'!$D$44)+$B$27</f>
        <v>9.2328250407154702</v>
      </c>
      <c r="L19" s="105">
        <f>((I19-'Calibration F. prausnitzii'!$D$45)/'Calibration F. prausnitzii'!$D$44)+$B$27</f>
        <v>9.0665716251292778</v>
      </c>
      <c r="M19" s="105">
        <f>((J19-'Calibration F. prausnitzii'!$D$45)/'Calibration F. prausnitzii'!$D$44)+$B$27</f>
        <v>9.0892245829549925</v>
      </c>
      <c r="N19" s="106">
        <f t="shared" si="1"/>
        <v>9.129540416266579</v>
      </c>
      <c r="O19" s="106">
        <f t="shared" si="2"/>
        <v>9.0161379538162501E-2</v>
      </c>
      <c r="P19" s="107">
        <f>(AVERAGE(POWER(10,K19),POWER(10,L19),POWER(10,M19)))*Calculation!$I19/Calculation!$K18</f>
        <v>1463668911.8303115</v>
      </c>
      <c r="Q19" s="107">
        <f>(STDEV(POWER(10,K19),POWER(10,L19),POWER(10,M19))*Calculation!$I19/Calculation!$K18)</f>
        <v>318388945.56274521</v>
      </c>
      <c r="R19" s="106">
        <f t="shared" si="3"/>
        <v>9.165442848561975</v>
      </c>
      <c r="S19" s="106">
        <f>O19*Calculation!$I19/Calculation!$K18</f>
        <v>9.6488773708669706E-2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100">
        <v>19.084218978881836</v>
      </c>
      <c r="F20" s="100">
        <v>19.23951530456543</v>
      </c>
      <c r="G20" s="105">
        <v>19.716657638549805</v>
      </c>
      <c r="H20" s="111">
        <f>E20-$H$70+$H$78</f>
        <v>18.761766479326326</v>
      </c>
      <c r="I20" s="111">
        <f>F20-$H$70+$H$78</f>
        <v>18.91706280500992</v>
      </c>
      <c r="J20" s="111">
        <f>G20-$H$70+$H$78</f>
        <v>19.394205138994295</v>
      </c>
      <c r="K20" s="105">
        <f>((H20-'Calibration F. prausnitzii'!$D$45)/'Calibration F. prausnitzii'!$D$44)+$B$27</f>
        <v>8.9671408826678949</v>
      </c>
      <c r="L20" s="105">
        <f>((I20-'Calibration F. prausnitzii'!$D$45)/'Calibration F. prausnitzii'!$D$44)+$B$27</f>
        <v>8.9193323903231025</v>
      </c>
      <c r="M20" s="105">
        <f>((J20-'Calibration F. prausnitzii'!$D$45)/'Calibration F. prausnitzii'!$D$44)+$B$27</f>
        <v>8.772442529785474</v>
      </c>
      <c r="N20" s="106">
        <f t="shared" si="1"/>
        <v>8.8863052675921566</v>
      </c>
      <c r="O20" s="106">
        <f t="shared" si="2"/>
        <v>0.10146405905883925</v>
      </c>
      <c r="P20" s="107">
        <f>(AVERAGE(POWER(10,K20),POWER(10,L20),POWER(10,M20)))*Calculation!$I20/Calculation!$K19</f>
        <v>838228542.06635571</v>
      </c>
      <c r="Q20" s="107">
        <f>(STDEV(POWER(10,K20),POWER(10,L20),POWER(10,M20))*Calculation!$I20/Calculation!$K19)</f>
        <v>184503318.2282168</v>
      </c>
      <c r="R20" s="106">
        <f t="shared" si="3"/>
        <v>8.9233624446759201</v>
      </c>
      <c r="S20" s="106">
        <f>O20*Calculation!$I20/Calculation!$K19</f>
        <v>0.10858465880003063</v>
      </c>
    </row>
    <row r="21" spans="1:19">
      <c r="A21" s="10"/>
      <c r="B21" s="10"/>
      <c r="C21" s="10"/>
      <c r="D21" s="109"/>
      <c r="E21" s="116"/>
      <c r="F21" s="116"/>
      <c r="G21" s="117"/>
      <c r="H21" s="113"/>
      <c r="I21" s="113"/>
      <c r="J21" s="113"/>
      <c r="K21" s="117"/>
      <c r="L21" s="117"/>
      <c r="M21" s="117"/>
      <c r="N21" s="118"/>
      <c r="O21" s="118"/>
      <c r="P21" s="119"/>
      <c r="Q21" s="119"/>
      <c r="R21" s="118"/>
      <c r="S21" s="118"/>
    </row>
    <row r="22" spans="1:19"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</row>
    <row r="23" spans="1:19"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</row>
    <row r="24" spans="1:19"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</row>
    <row r="25" spans="1:19"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</row>
    <row r="26" spans="1:19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</row>
    <row r="27" spans="1:19">
      <c r="A27" s="103" t="s">
        <v>236</v>
      </c>
      <c r="B27" s="110">
        <f>LOG(B28)</f>
        <v>3.6532125137753435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</row>
    <row r="28" spans="1:19">
      <c r="A28" s="86" t="s">
        <v>237</v>
      </c>
      <c r="B28" s="86">
        <f>20*1800/4/2</f>
        <v>4500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</row>
    <row r="29" spans="1:19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</row>
    <row r="30" spans="1:19">
      <c r="A30" s="99" t="s">
        <v>268</v>
      </c>
      <c r="B30" s="86"/>
      <c r="C30" s="86"/>
      <c r="D30" s="86"/>
      <c r="E30" s="112">
        <v>14.390941619873047</v>
      </c>
      <c r="F30" s="111">
        <v>14.411395072937012</v>
      </c>
      <c r="G30" s="111">
        <v>14.301624298095703</v>
      </c>
      <c r="H30" s="111">
        <f>AVERAGE(E30:G30)</f>
        <v>14.367986996968588</v>
      </c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</row>
    <row r="31" spans="1:19">
      <c r="A31" s="120" t="s">
        <v>269</v>
      </c>
      <c r="C31" s="86"/>
      <c r="D31" s="86"/>
      <c r="E31" s="112">
        <v>13.95859432220459</v>
      </c>
      <c r="F31" s="111">
        <v>13.837825775146484</v>
      </c>
      <c r="G31" s="111">
        <v>14.070391654968262</v>
      </c>
      <c r="H31" s="111">
        <f t="shared" ref="H31:H75" si="5">AVERAGE(E31:G31)</f>
        <v>13.955603917439779</v>
      </c>
    </row>
    <row r="32" spans="1:19">
      <c r="A32" s="120" t="s">
        <v>270</v>
      </c>
      <c r="E32" s="112">
        <v>14.085451126098633</v>
      </c>
      <c r="F32" s="111">
        <v>14.111333847045898</v>
      </c>
      <c r="G32" s="111">
        <v>14.077548980712891</v>
      </c>
      <c r="H32" s="111">
        <f t="shared" si="5"/>
        <v>14.091444651285807</v>
      </c>
    </row>
    <row r="33" spans="1:8">
      <c r="A33" s="120" t="s">
        <v>271</v>
      </c>
      <c r="E33" s="112">
        <v>13.838394165039062</v>
      </c>
      <c r="F33" s="111">
        <v>14.03663444519043</v>
      </c>
      <c r="G33" s="111">
        <v>13.97320556640625</v>
      </c>
      <c r="H33" s="111">
        <f t="shared" si="5"/>
        <v>13.949411392211914</v>
      </c>
    </row>
    <row r="34" spans="1:8">
      <c r="A34" s="120" t="s">
        <v>272</v>
      </c>
      <c r="E34" s="112">
        <v>11.618982315063477</v>
      </c>
      <c r="F34" s="111">
        <v>11.485271453857422</v>
      </c>
      <c r="G34" s="111">
        <v>11.470490455627441</v>
      </c>
      <c r="H34" s="111">
        <f t="shared" si="5"/>
        <v>11.524914741516113</v>
      </c>
    </row>
    <row r="35" spans="1:8">
      <c r="A35" s="120" t="s">
        <v>273</v>
      </c>
      <c r="E35" s="112">
        <v>14.489413261413574</v>
      </c>
      <c r="F35" s="111">
        <v>14.78773021697998</v>
      </c>
      <c r="G35" s="111">
        <v>14.708776473999023</v>
      </c>
      <c r="H35" s="111">
        <f t="shared" si="5"/>
        <v>14.661973317464193</v>
      </c>
    </row>
    <row r="36" spans="1:8">
      <c r="A36" s="120" t="s">
        <v>274</v>
      </c>
      <c r="E36" s="112">
        <v>14.322483062744141</v>
      </c>
      <c r="F36" s="111">
        <v>14.812288284301758</v>
      </c>
      <c r="G36" s="111">
        <v>14.651363372802734</v>
      </c>
      <c r="H36" s="111">
        <f t="shared" si="5"/>
        <v>14.595378239949545</v>
      </c>
    </row>
    <row r="37" spans="1:8">
      <c r="A37" s="120" t="s">
        <v>275</v>
      </c>
      <c r="E37" s="112">
        <v>13.079689025878906</v>
      </c>
      <c r="F37" s="111">
        <v>13.297797203063965</v>
      </c>
      <c r="G37" s="111">
        <v>14.48363208770752</v>
      </c>
      <c r="H37" s="111">
        <f t="shared" si="5"/>
        <v>13.620372772216797</v>
      </c>
    </row>
    <row r="38" spans="1:8">
      <c r="A38" s="120" t="s">
        <v>276</v>
      </c>
      <c r="B38" s="86"/>
      <c r="C38" s="86"/>
      <c r="D38" s="86"/>
      <c r="E38" s="112">
        <v>14.77447509765625</v>
      </c>
      <c r="F38" s="111">
        <v>15.046281814575195</v>
      </c>
      <c r="G38" s="111">
        <v>14.986320495605469</v>
      </c>
      <c r="H38" s="111">
        <f t="shared" si="5"/>
        <v>14.935692469278971</v>
      </c>
    </row>
    <row r="39" spans="1:8">
      <c r="A39" s="120" t="s">
        <v>276</v>
      </c>
      <c r="C39" s="86"/>
      <c r="D39" s="86"/>
      <c r="E39" s="112">
        <v>13.851560592651367</v>
      </c>
      <c r="F39" s="111">
        <v>14.262241363525391</v>
      </c>
      <c r="G39" s="111">
        <v>14.016228675842285</v>
      </c>
      <c r="H39" s="111">
        <f t="shared" si="5"/>
        <v>14.043343544006348</v>
      </c>
    </row>
    <row r="40" spans="1:8">
      <c r="A40" s="120" t="s">
        <v>277</v>
      </c>
      <c r="E40" s="112">
        <v>14.028319358825684</v>
      </c>
      <c r="F40" s="111">
        <v>14.285782814025879</v>
      </c>
      <c r="G40" s="111">
        <v>14.480982780456543</v>
      </c>
      <c r="H40" s="111">
        <f t="shared" si="5"/>
        <v>14.265028317769369</v>
      </c>
    </row>
    <row r="41" spans="1:8">
      <c r="A41" s="120" t="s">
        <v>277</v>
      </c>
      <c r="E41" s="112">
        <v>14.83289909362793</v>
      </c>
      <c r="F41" s="111">
        <v>14.839167594909668</v>
      </c>
      <c r="G41" s="111">
        <v>14.813106536865234</v>
      </c>
      <c r="H41" s="111">
        <f t="shared" si="5"/>
        <v>14.828391075134277</v>
      </c>
    </row>
    <row r="42" spans="1:8">
      <c r="A42" s="120" t="s">
        <v>278</v>
      </c>
      <c r="E42" s="112">
        <v>15.412906646728516</v>
      </c>
      <c r="F42" s="111">
        <v>15.433472633361816</v>
      </c>
      <c r="G42" s="111">
        <v>15.37113094329834</v>
      </c>
      <c r="H42" s="111">
        <f t="shared" si="5"/>
        <v>15.405836741129557</v>
      </c>
    </row>
    <row r="43" spans="1:8">
      <c r="A43" s="120" t="s">
        <v>278</v>
      </c>
      <c r="E43" s="112">
        <v>15.125240325927734</v>
      </c>
      <c r="F43" s="111">
        <v>15.287156105041504</v>
      </c>
      <c r="G43" s="111">
        <v>15.169957160949707</v>
      </c>
      <c r="H43" s="111">
        <f t="shared" si="5"/>
        <v>15.194117863972982</v>
      </c>
    </row>
    <row r="44" spans="1:8">
      <c r="A44" s="120" t="s">
        <v>279</v>
      </c>
      <c r="E44" s="112">
        <v>14.932897567749023</v>
      </c>
      <c r="F44" s="111">
        <v>14.934226036071777</v>
      </c>
      <c r="G44" s="111">
        <v>14.918047904968262</v>
      </c>
      <c r="H44" s="111">
        <f t="shared" si="5"/>
        <v>14.928390502929688</v>
      </c>
    </row>
    <row r="45" spans="1:8">
      <c r="A45" s="120" t="s">
        <v>279</v>
      </c>
      <c r="E45" s="112">
        <v>14.112751960754395</v>
      </c>
      <c r="F45" s="111">
        <v>14.298762321472168</v>
      </c>
      <c r="G45" s="111">
        <v>14.374398231506348</v>
      </c>
      <c r="H45" s="111">
        <f t="shared" si="5"/>
        <v>14.261970837910971</v>
      </c>
    </row>
    <row r="46" spans="1:8">
      <c r="A46" s="120" t="s">
        <v>280</v>
      </c>
      <c r="E46" s="112">
        <v>14.954710960388184</v>
      </c>
      <c r="F46" s="111">
        <v>14.841438293457031</v>
      </c>
      <c r="G46" s="111">
        <v>15.281417846679688</v>
      </c>
      <c r="H46" s="111">
        <f t="shared" si="5"/>
        <v>15.025855700174967</v>
      </c>
    </row>
    <row r="47" spans="1:8">
      <c r="A47" s="120" t="s">
        <v>281</v>
      </c>
      <c r="E47" s="112">
        <v>14.948505401611328</v>
      </c>
      <c r="F47" s="111">
        <v>15.147294044494629</v>
      </c>
      <c r="G47" s="111">
        <v>14.959335327148438</v>
      </c>
      <c r="H47" s="111">
        <f t="shared" si="5"/>
        <v>15.018378257751465</v>
      </c>
    </row>
    <row r="48" spans="1:8">
      <c r="A48" s="99" t="s">
        <v>282</v>
      </c>
      <c r="B48" s="86"/>
      <c r="C48" s="86"/>
      <c r="D48" s="86"/>
      <c r="E48" s="112">
        <v>15.064580917358398</v>
      </c>
      <c r="F48" s="111">
        <v>15.123675346374512</v>
      </c>
      <c r="G48" s="111">
        <v>15.059396743774414</v>
      </c>
      <c r="H48" s="111">
        <f t="shared" si="5"/>
        <v>15.082551002502441</v>
      </c>
    </row>
    <row r="49" spans="1:8">
      <c r="A49" s="99" t="s">
        <v>283</v>
      </c>
      <c r="B49" s="86"/>
      <c r="C49" s="86"/>
      <c r="D49" s="86"/>
      <c r="E49" s="112">
        <v>14.438828468322754</v>
      </c>
      <c r="F49" s="111">
        <v>14.371813774108887</v>
      </c>
      <c r="G49" s="111">
        <v>15.339963912963867</v>
      </c>
      <c r="H49" s="111">
        <f t="shared" si="5"/>
        <v>14.71686871846517</v>
      </c>
    </row>
    <row r="50" spans="1:8">
      <c r="A50" s="99" t="s">
        <v>284</v>
      </c>
      <c r="B50" s="86"/>
      <c r="C50" s="86"/>
      <c r="D50" s="86"/>
      <c r="E50" s="112">
        <v>14.56031322479248</v>
      </c>
      <c r="F50" s="111">
        <v>14.785432815551758</v>
      </c>
      <c r="G50" s="111">
        <v>14.991518974304199</v>
      </c>
      <c r="H50" s="111">
        <f t="shared" si="5"/>
        <v>14.779088338216146</v>
      </c>
    </row>
    <row r="51" spans="1:8">
      <c r="A51" s="99" t="s">
        <v>301</v>
      </c>
      <c r="B51" s="86"/>
      <c r="C51" s="86"/>
      <c r="D51" s="86"/>
      <c r="E51" s="112">
        <v>15.04175853729248</v>
      </c>
      <c r="F51" s="111">
        <v>15.037652969360352</v>
      </c>
      <c r="G51" s="111">
        <v>14.94129753112793</v>
      </c>
      <c r="H51" s="111">
        <f t="shared" si="5"/>
        <v>15.006903012593588</v>
      </c>
    </row>
    <row r="52" spans="1:8">
      <c r="A52" s="99" t="s">
        <v>306</v>
      </c>
      <c r="B52" s="86"/>
      <c r="C52" s="86"/>
      <c r="D52" s="86"/>
      <c r="E52" s="112">
        <v>15.191975593566895</v>
      </c>
      <c r="F52" s="111">
        <v>15.268773078918457</v>
      </c>
      <c r="G52" s="111">
        <v>15.282587051391602</v>
      </c>
      <c r="H52" s="111">
        <f t="shared" si="5"/>
        <v>15.24777857462565</v>
      </c>
    </row>
    <row r="53" spans="1:8">
      <c r="A53" s="99" t="s">
        <v>329</v>
      </c>
      <c r="B53" s="86"/>
      <c r="C53" s="86"/>
      <c r="D53" s="86"/>
      <c r="E53" s="112">
        <v>15.494284629821777</v>
      </c>
      <c r="F53" s="111">
        <v>15.500131607055664</v>
      </c>
      <c r="G53" s="111">
        <v>15.308513641357422</v>
      </c>
      <c r="H53" s="111">
        <f t="shared" si="5"/>
        <v>15.434309959411621</v>
      </c>
    </row>
    <row r="54" spans="1:8">
      <c r="A54" s="99" t="s">
        <v>330</v>
      </c>
      <c r="B54" s="86"/>
      <c r="C54" s="86"/>
      <c r="D54" s="86"/>
      <c r="E54" s="112">
        <v>15.209195137023926</v>
      </c>
      <c r="F54" s="111">
        <v>15.267397880554199</v>
      </c>
      <c r="G54" s="111">
        <v>15.118107795715332</v>
      </c>
      <c r="H54" s="111">
        <f t="shared" si="5"/>
        <v>15.198233604431152</v>
      </c>
    </row>
    <row r="55" spans="1:8">
      <c r="A55" s="99" t="s">
        <v>331</v>
      </c>
      <c r="B55" s="86"/>
      <c r="C55" s="86"/>
      <c r="D55" s="86"/>
      <c r="E55" s="112">
        <v>15.095216751098633</v>
      </c>
      <c r="F55" s="111">
        <v>15.058335304260254</v>
      </c>
      <c r="G55" s="111">
        <v>15.188286781311035</v>
      </c>
      <c r="H55" s="111">
        <f t="shared" si="5"/>
        <v>15.113946278889975</v>
      </c>
    </row>
    <row r="56" spans="1:8">
      <c r="A56" s="99" t="s">
        <v>332</v>
      </c>
      <c r="B56" s="86"/>
      <c r="C56" s="86"/>
      <c r="D56" s="86"/>
      <c r="E56" s="112">
        <v>14.974048614501953</v>
      </c>
      <c r="F56" s="111">
        <v>15.016510009765625</v>
      </c>
      <c r="G56" s="111">
        <v>14.949863433837891</v>
      </c>
      <c r="H56" s="111">
        <f t="shared" si="5"/>
        <v>14.980140686035156</v>
      </c>
    </row>
    <row r="57" spans="1:8">
      <c r="A57" s="99" t="s">
        <v>333</v>
      </c>
      <c r="E57" s="112">
        <v>15.325250625610352</v>
      </c>
      <c r="F57" s="111">
        <v>15.371528625488281</v>
      </c>
      <c r="G57" s="111">
        <v>15.399141311645508</v>
      </c>
      <c r="H57" s="111">
        <f t="shared" si="5"/>
        <v>15.365306854248047</v>
      </c>
    </row>
    <row r="58" spans="1:8">
      <c r="A58" s="99" t="s">
        <v>333</v>
      </c>
      <c r="E58" s="112">
        <v>15.129462242126465</v>
      </c>
      <c r="F58" s="111">
        <v>15.041775703430176</v>
      </c>
      <c r="G58" s="111">
        <v>15.221658706665039</v>
      </c>
      <c r="H58" s="111">
        <f t="shared" si="5"/>
        <v>15.13096555074056</v>
      </c>
    </row>
    <row r="59" spans="1:8">
      <c r="A59" s="99" t="s">
        <v>334</v>
      </c>
      <c r="E59" s="112">
        <v>15.064123153686523</v>
      </c>
      <c r="F59" s="111">
        <v>15.073297500610352</v>
      </c>
      <c r="G59" s="111">
        <v>15.109650611877441</v>
      </c>
      <c r="H59" s="111">
        <f t="shared" si="5"/>
        <v>15.082357088724772</v>
      </c>
    </row>
    <row r="60" spans="1:8">
      <c r="A60" s="99" t="s">
        <v>335</v>
      </c>
      <c r="E60" s="112">
        <v>15.271329879760742</v>
      </c>
      <c r="F60" s="111">
        <v>15.260854721069336</v>
      </c>
      <c r="G60" s="111">
        <v>15.188329696655273</v>
      </c>
      <c r="H60" s="111">
        <f t="shared" si="5"/>
        <v>15.240171432495117</v>
      </c>
    </row>
    <row r="61" spans="1:8">
      <c r="A61" s="99" t="s">
        <v>336</v>
      </c>
      <c r="E61" s="112">
        <v>14.958261489868164</v>
      </c>
      <c r="F61" s="111">
        <v>14.991987228393555</v>
      </c>
      <c r="G61" s="111">
        <v>15.025043487548828</v>
      </c>
      <c r="H61" s="111">
        <f t="shared" si="5"/>
        <v>14.991764068603516</v>
      </c>
    </row>
    <row r="62" spans="1:8">
      <c r="A62" s="99" t="s">
        <v>337</v>
      </c>
      <c r="E62" s="112">
        <v>15.201624870300293</v>
      </c>
      <c r="F62" s="111">
        <v>15.184474945068359</v>
      </c>
      <c r="G62" s="111">
        <v>15.128211975097656</v>
      </c>
      <c r="H62" s="111">
        <f t="shared" si="5"/>
        <v>15.17143726348877</v>
      </c>
    </row>
    <row r="63" spans="1:8">
      <c r="A63" s="99" t="s">
        <v>337</v>
      </c>
      <c r="E63" s="112">
        <v>15.056846618652344</v>
      </c>
      <c r="F63" s="111">
        <v>15.079096794128418</v>
      </c>
      <c r="G63" s="111">
        <v>14.947562217712402</v>
      </c>
      <c r="H63" s="111">
        <f t="shared" si="5"/>
        <v>15.027835210164389</v>
      </c>
    </row>
    <row r="64" spans="1:8">
      <c r="A64" s="99" t="s">
        <v>338</v>
      </c>
      <c r="E64" s="112">
        <v>15.4</v>
      </c>
      <c r="F64" s="111">
        <v>14.7</v>
      </c>
      <c r="G64" s="111">
        <v>14.2</v>
      </c>
      <c r="H64" s="111">
        <f t="shared" si="5"/>
        <v>14.766666666666666</v>
      </c>
    </row>
    <row r="65" spans="1:8">
      <c r="A65" s="99" t="s">
        <v>338</v>
      </c>
      <c r="E65" s="126">
        <v>14.4</v>
      </c>
      <c r="F65" s="127">
        <v>14.4</v>
      </c>
      <c r="G65" s="127">
        <v>14.5</v>
      </c>
      <c r="H65" s="111">
        <f t="shared" si="5"/>
        <v>14.433333333333332</v>
      </c>
    </row>
    <row r="66" spans="1:8">
      <c r="A66" s="99" t="s">
        <v>339</v>
      </c>
      <c r="E66" s="126">
        <v>15.11392879486084</v>
      </c>
      <c r="F66" s="127">
        <v>15.182292938232422</v>
      </c>
      <c r="G66" s="127">
        <v>15.373931884765625</v>
      </c>
      <c r="H66" s="111">
        <f t="shared" si="5"/>
        <v>15.223384539286295</v>
      </c>
    </row>
    <row r="67" spans="1:8">
      <c r="A67" s="99" t="s">
        <v>344</v>
      </c>
      <c r="B67" s="86"/>
      <c r="C67" s="86"/>
      <c r="D67" s="86"/>
      <c r="E67" s="126">
        <v>14.613919258117676</v>
      </c>
      <c r="F67" s="127">
        <v>14.544337272644043</v>
      </c>
      <c r="G67" s="127">
        <v>14.610519409179688</v>
      </c>
      <c r="H67" s="111">
        <f t="shared" si="5"/>
        <v>14.589591979980469</v>
      </c>
    </row>
    <row r="68" spans="1:8">
      <c r="A68" s="99" t="s">
        <v>345</v>
      </c>
      <c r="B68" s="86"/>
      <c r="C68" s="86"/>
      <c r="D68" s="86"/>
      <c r="E68" s="126">
        <v>14.970376014709473</v>
      </c>
      <c r="F68" s="127">
        <v>14.902167320251465</v>
      </c>
      <c r="G68" s="127">
        <v>14.964475631713867</v>
      </c>
      <c r="H68" s="111">
        <f t="shared" si="5"/>
        <v>14.945672988891602</v>
      </c>
    </row>
    <row r="69" spans="1:8">
      <c r="A69" s="99" t="s">
        <v>346</v>
      </c>
      <c r="B69" s="86"/>
      <c r="C69" s="86"/>
      <c r="D69" s="86"/>
      <c r="E69" s="126">
        <v>15.184457778930664</v>
      </c>
      <c r="F69" s="127">
        <v>15.273150444030762</v>
      </c>
      <c r="G69" s="127">
        <v>15.250771522521973</v>
      </c>
      <c r="H69" s="111">
        <f t="shared" si="5"/>
        <v>15.236126581827799</v>
      </c>
    </row>
    <row r="70" spans="1:8">
      <c r="A70" s="99" t="s">
        <v>347</v>
      </c>
      <c r="B70" s="86"/>
      <c r="C70" s="86"/>
      <c r="D70" s="86"/>
      <c r="E70" s="126">
        <v>15.047176361083984</v>
      </c>
      <c r="F70" s="127">
        <v>15.114773750305176</v>
      </c>
      <c r="G70" s="127">
        <v>15.180623054504395</v>
      </c>
      <c r="H70" s="111">
        <f t="shared" si="5"/>
        <v>15.114191055297852</v>
      </c>
    </row>
    <row r="71" spans="1:8">
      <c r="A71" s="99" t="s">
        <v>356</v>
      </c>
      <c r="B71" s="86"/>
      <c r="E71" s="126">
        <v>14.840383529663086</v>
      </c>
      <c r="F71" s="127">
        <v>14.916571617126465</v>
      </c>
      <c r="G71" s="127">
        <v>14.954231262207031</v>
      </c>
      <c r="H71" s="111">
        <f t="shared" si="5"/>
        <v>14.903728802998861</v>
      </c>
    </row>
    <row r="72" spans="1:8">
      <c r="A72" s="99" t="s">
        <v>357</v>
      </c>
      <c r="E72" s="126">
        <v>15.199845314025879</v>
      </c>
      <c r="F72" s="127">
        <v>15.533450126647949</v>
      </c>
      <c r="G72" s="127">
        <v>15.423110961914062</v>
      </c>
      <c r="H72" s="111">
        <f t="shared" si="5"/>
        <v>15.385468800862631</v>
      </c>
    </row>
    <row r="73" spans="1:8">
      <c r="A73" s="99" t="s">
        <v>358</v>
      </c>
      <c r="B73" s="86"/>
      <c r="E73" s="126">
        <v>15.120054244995117</v>
      </c>
      <c r="F73" s="127">
        <v>15.144433975219727</v>
      </c>
      <c r="G73" s="127">
        <v>15.071084976196289</v>
      </c>
      <c r="H73" s="111">
        <f t="shared" si="5"/>
        <v>15.111857732137045</v>
      </c>
    </row>
    <row r="74" spans="1:8">
      <c r="A74" s="99" t="s">
        <v>358</v>
      </c>
      <c r="E74" s="126">
        <v>15.292695999145508</v>
      </c>
      <c r="F74" s="127">
        <v>15.627285957336426</v>
      </c>
      <c r="G74" s="127">
        <v>15.304715156555176</v>
      </c>
      <c r="H74" s="111">
        <f t="shared" si="5"/>
        <v>15.408232371012369</v>
      </c>
    </row>
    <row r="75" spans="1:8">
      <c r="A75" s="99" t="s">
        <v>359</v>
      </c>
      <c r="E75" s="126">
        <v>15.044212341308594</v>
      </c>
      <c r="F75" s="127">
        <v>15.046442985534668</v>
      </c>
      <c r="G75" s="127">
        <v>15.083253860473633</v>
      </c>
      <c r="H75" s="111">
        <f t="shared" si="5"/>
        <v>15.057969729105631</v>
      </c>
    </row>
    <row r="76" spans="1:8">
      <c r="A76" s="99"/>
      <c r="E76" s="113"/>
      <c r="F76" s="113"/>
      <c r="G76" s="113"/>
      <c r="H76" s="113"/>
    </row>
    <row r="77" spans="1:8">
      <c r="A77" s="120"/>
    </row>
    <row r="78" spans="1:8">
      <c r="G78" t="s">
        <v>285</v>
      </c>
      <c r="H78" s="80">
        <f>AVERAGE(H29:H75)</f>
        <v>14.791738555742343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workbookViewId="0">
      <selection activeCell="M41" sqref="M41"/>
    </sheetView>
  </sheetViews>
  <sheetFormatPr baseColWidth="10" defaultRowHeight="14" x14ac:dyDescent="0"/>
  <cols>
    <col min="7" max="7" width="11" bestFit="1" customWidth="1"/>
  </cols>
  <sheetData>
    <row r="1" spans="1:22">
      <c r="A1" s="86"/>
      <c r="B1" s="145" t="s">
        <v>4</v>
      </c>
      <c r="C1" s="147" t="s">
        <v>185</v>
      </c>
      <c r="D1" s="148" t="s">
        <v>18</v>
      </c>
      <c r="E1" s="148"/>
      <c r="F1" s="148"/>
      <c r="G1" s="148"/>
      <c r="H1" s="148" t="s">
        <v>20</v>
      </c>
      <c r="I1" s="148"/>
      <c r="J1" s="148"/>
      <c r="K1" s="148"/>
      <c r="L1" s="148" t="s">
        <v>21</v>
      </c>
      <c r="M1" s="148"/>
      <c r="N1" s="148"/>
      <c r="O1" s="148"/>
      <c r="P1" s="85" t="s">
        <v>22</v>
      </c>
      <c r="Q1" s="85" t="s">
        <v>22</v>
      </c>
      <c r="R1" s="85" t="s">
        <v>22</v>
      </c>
      <c r="S1" s="152" t="s">
        <v>258</v>
      </c>
      <c r="T1" s="86"/>
      <c r="U1" s="86"/>
      <c r="V1" s="86"/>
    </row>
    <row r="2" spans="1:22">
      <c r="A2" s="86"/>
      <c r="B2" s="146"/>
      <c r="C2" s="146"/>
      <c r="D2" s="87" t="s">
        <v>19</v>
      </c>
      <c r="E2" s="87" t="s">
        <v>68</v>
      </c>
      <c r="F2" s="87" t="s">
        <v>69</v>
      </c>
      <c r="G2" s="87" t="s">
        <v>70</v>
      </c>
      <c r="H2" s="87" t="s">
        <v>19</v>
      </c>
      <c r="I2" s="87" t="s">
        <v>68</v>
      </c>
      <c r="J2" s="87" t="s">
        <v>69</v>
      </c>
      <c r="K2" s="87" t="s">
        <v>70</v>
      </c>
      <c r="L2" s="87" t="s">
        <v>19</v>
      </c>
      <c r="M2" s="87" t="s">
        <v>68</v>
      </c>
      <c r="N2" s="87" t="s">
        <v>69</v>
      </c>
      <c r="O2" s="87" t="s">
        <v>71</v>
      </c>
      <c r="P2" s="88" t="s">
        <v>70</v>
      </c>
      <c r="Q2" s="88" t="s">
        <v>23</v>
      </c>
      <c r="R2" s="88" t="s">
        <v>72</v>
      </c>
      <c r="S2" s="153"/>
      <c r="T2" s="86"/>
      <c r="U2" s="86"/>
      <c r="V2" s="86"/>
    </row>
    <row r="3" spans="1:22">
      <c r="A3" s="86"/>
      <c r="B3" s="89"/>
      <c r="C3" s="89"/>
      <c r="D3" s="90"/>
      <c r="E3" s="90"/>
      <c r="F3" s="90"/>
      <c r="G3" s="91"/>
      <c r="H3" s="90"/>
      <c r="I3" s="90"/>
      <c r="J3" s="90"/>
      <c r="K3" s="91"/>
      <c r="L3" s="90"/>
      <c r="M3" s="90"/>
      <c r="N3" s="90"/>
      <c r="O3" s="91"/>
      <c r="P3" s="142"/>
      <c r="Q3" s="143"/>
      <c r="R3" s="144"/>
      <c r="S3" s="86"/>
      <c r="T3" s="86"/>
      <c r="U3" s="86"/>
      <c r="V3" s="86"/>
    </row>
    <row r="4" spans="1:22">
      <c r="A4" s="86"/>
      <c r="B4" s="92" t="s">
        <v>186</v>
      </c>
      <c r="C4" s="93">
        <v>500</v>
      </c>
      <c r="D4" s="93">
        <v>2</v>
      </c>
      <c r="E4" s="93">
        <v>11777</v>
      </c>
      <c r="F4" s="93">
        <v>6</v>
      </c>
      <c r="G4" s="91">
        <f>(E4/F4)*(10.2)*POWER(10,D4+2)</f>
        <v>200208999.99999997</v>
      </c>
      <c r="H4" s="93">
        <v>2</v>
      </c>
      <c r="I4" s="93">
        <v>12350</v>
      </c>
      <c r="J4" s="93">
        <v>6</v>
      </c>
      <c r="K4" s="91">
        <f>(I4/J4)*(10.2)*POWER(10,H4+2)</f>
        <v>209950000</v>
      </c>
      <c r="L4" s="93">
        <v>2</v>
      </c>
      <c r="M4" s="93">
        <v>12193</v>
      </c>
      <c r="N4" s="93">
        <v>6</v>
      </c>
      <c r="O4" s="91">
        <f t="shared" ref="O4:O19" si="0">(M4/N4)*(10.2)*POWER(10,L4+2)</f>
        <v>207281000</v>
      </c>
      <c r="P4" s="94">
        <f t="shared" ref="P4:P19" si="1">AVERAGE(O4,K4,G4)</f>
        <v>205813333.33333334</v>
      </c>
      <c r="Q4" s="94">
        <f t="shared" ref="Q4:Q19" si="2">STDEV(O4,K4,G4)</f>
        <v>5033617.4202389978</v>
      </c>
      <c r="R4" s="95">
        <f>LOG(P4)</f>
        <v>8.313473506507659</v>
      </c>
      <c r="S4" s="99"/>
      <c r="T4" s="86"/>
      <c r="U4" s="86"/>
      <c r="V4" s="86"/>
    </row>
    <row r="5" spans="1:22">
      <c r="A5" s="86"/>
      <c r="B5" s="92" t="s">
        <v>187</v>
      </c>
      <c r="C5" s="93">
        <v>500</v>
      </c>
      <c r="D5" s="93">
        <v>1</v>
      </c>
      <c r="E5" s="93">
        <v>10368</v>
      </c>
      <c r="F5" s="93">
        <v>6</v>
      </c>
      <c r="G5" s="91">
        <f t="shared" ref="G5:G19" si="3">(E5/F5)*(10.2)*POWER(10,D5+2)</f>
        <v>17625600</v>
      </c>
      <c r="H5" s="93">
        <v>1</v>
      </c>
      <c r="I5" s="93">
        <v>11649</v>
      </c>
      <c r="J5" s="93">
        <v>6</v>
      </c>
      <c r="K5" s="91">
        <f t="shared" ref="K5:K19" si="4">(I5/J5)*(10.2)*POWER(10,H5+2)</f>
        <v>19803300</v>
      </c>
      <c r="L5" s="93">
        <v>1</v>
      </c>
      <c r="M5" s="93">
        <v>11377</v>
      </c>
      <c r="N5" s="93">
        <v>6</v>
      </c>
      <c r="O5" s="91">
        <f t="shared" si="0"/>
        <v>19340899.999999996</v>
      </c>
      <c r="P5" s="94">
        <f t="shared" si="1"/>
        <v>18923266.666666668</v>
      </c>
      <c r="Q5" s="94">
        <f t="shared" si="2"/>
        <v>1147348.0393208207</v>
      </c>
      <c r="R5" s="95">
        <f t="shared" ref="R5:R19" si="5">LOG(P5)</f>
        <v>7.2769961094890272</v>
      </c>
      <c r="S5" s="86"/>
      <c r="T5" s="86"/>
      <c r="U5" s="86"/>
      <c r="V5" s="86"/>
    </row>
    <row r="6" spans="1:22">
      <c r="A6" s="86"/>
      <c r="B6" s="92" t="s">
        <v>188</v>
      </c>
      <c r="C6" s="93">
        <v>500</v>
      </c>
      <c r="D6" s="93">
        <v>1</v>
      </c>
      <c r="E6" s="93">
        <v>1368</v>
      </c>
      <c r="F6" s="93">
        <v>6</v>
      </c>
      <c r="G6" s="91">
        <f t="shared" si="3"/>
        <v>2325600</v>
      </c>
      <c r="H6" s="93">
        <v>1</v>
      </c>
      <c r="I6" s="93">
        <v>1169</v>
      </c>
      <c r="J6" s="93">
        <v>6</v>
      </c>
      <c r="K6" s="91">
        <f t="shared" si="4"/>
        <v>1987300</v>
      </c>
      <c r="L6" s="93">
        <v>1</v>
      </c>
      <c r="M6" s="93">
        <v>1324</v>
      </c>
      <c r="N6" s="93">
        <v>6</v>
      </c>
      <c r="O6" s="91">
        <f t="shared" si="0"/>
        <v>2250799.9999999995</v>
      </c>
      <c r="P6" s="94">
        <f t="shared" si="1"/>
        <v>2187900</v>
      </c>
      <c r="Q6" s="94">
        <f t="shared" si="2"/>
        <v>177704.89582451005</v>
      </c>
      <c r="R6" s="95">
        <f t="shared" si="5"/>
        <v>6.3400274682826607</v>
      </c>
      <c r="S6" s="86"/>
      <c r="T6" s="86"/>
      <c r="U6" s="86"/>
      <c r="V6" s="86"/>
    </row>
    <row r="7" spans="1:22">
      <c r="A7" s="86"/>
      <c r="B7" s="92" t="s">
        <v>189</v>
      </c>
      <c r="C7" s="93">
        <v>500</v>
      </c>
      <c r="D7" s="93">
        <v>1</v>
      </c>
      <c r="E7" s="93">
        <v>1657</v>
      </c>
      <c r="F7" s="93">
        <v>67</v>
      </c>
      <c r="G7" s="91">
        <f>(E7/F7)*(10.2)*POWER(10,D7+2)</f>
        <v>252259.70149253728</v>
      </c>
      <c r="H7" s="93">
        <v>1</v>
      </c>
      <c r="I7" s="93">
        <v>1712</v>
      </c>
      <c r="J7" s="93">
        <v>67</v>
      </c>
      <c r="K7" s="91">
        <f t="shared" si="4"/>
        <v>260632.83582089547</v>
      </c>
      <c r="L7" s="93">
        <v>1</v>
      </c>
      <c r="M7" s="93">
        <v>1701</v>
      </c>
      <c r="N7" s="93">
        <v>67</v>
      </c>
      <c r="O7" s="91">
        <f t="shared" si="0"/>
        <v>258958.20895522388</v>
      </c>
      <c r="P7" s="94">
        <f t="shared" si="1"/>
        <v>257283.58208955219</v>
      </c>
      <c r="Q7" s="94">
        <f t="shared" si="2"/>
        <v>4430.6462253947329</v>
      </c>
      <c r="R7" s="95">
        <f t="shared" si="5"/>
        <v>5.410412073674765</v>
      </c>
      <c r="S7" s="99"/>
      <c r="T7" s="86"/>
      <c r="U7" s="86"/>
      <c r="V7" s="86"/>
    </row>
    <row r="8" spans="1:22">
      <c r="A8" s="86"/>
      <c r="B8" s="92" t="s">
        <v>190</v>
      </c>
      <c r="C8" s="93">
        <v>500</v>
      </c>
      <c r="D8" s="93">
        <v>1</v>
      </c>
      <c r="E8" s="93">
        <v>1582</v>
      </c>
      <c r="F8" s="93">
        <v>334</v>
      </c>
      <c r="G8" s="91">
        <f t="shared" si="3"/>
        <v>48312.574850299396</v>
      </c>
      <c r="H8" s="93">
        <v>1</v>
      </c>
      <c r="I8" s="93">
        <v>1222</v>
      </c>
      <c r="J8" s="93">
        <v>334</v>
      </c>
      <c r="K8" s="91">
        <f t="shared" si="4"/>
        <v>37318.562874251496</v>
      </c>
      <c r="L8" s="93">
        <v>1</v>
      </c>
      <c r="M8" s="93">
        <v>1331</v>
      </c>
      <c r="N8" s="93">
        <v>334</v>
      </c>
      <c r="O8" s="91">
        <f t="shared" si="0"/>
        <v>40647.305389221554</v>
      </c>
      <c r="P8" s="94">
        <f t="shared" si="1"/>
        <v>42092.814371257482</v>
      </c>
      <c r="Q8" s="94">
        <f t="shared" si="2"/>
        <v>5637.7475107733544</v>
      </c>
      <c r="R8" s="95">
        <f t="shared" si="5"/>
        <v>4.6242079641192557</v>
      </c>
      <c r="S8" s="99"/>
      <c r="T8" s="86"/>
      <c r="U8" s="86"/>
      <c r="V8" s="86"/>
    </row>
    <row r="9" spans="1:22">
      <c r="A9" s="86"/>
      <c r="B9" s="92" t="s">
        <v>191</v>
      </c>
      <c r="C9" s="93">
        <v>900</v>
      </c>
      <c r="D9" s="93">
        <v>2</v>
      </c>
      <c r="E9" s="93">
        <v>14797</v>
      </c>
      <c r="F9" s="93">
        <v>6</v>
      </c>
      <c r="G9" s="91">
        <f t="shared" si="3"/>
        <v>251548999.99999997</v>
      </c>
      <c r="H9" s="93">
        <v>2</v>
      </c>
      <c r="I9" s="93">
        <v>12831</v>
      </c>
      <c r="J9" s="93">
        <v>6</v>
      </c>
      <c r="K9" s="91">
        <f t="shared" si="4"/>
        <v>218126999.99999997</v>
      </c>
      <c r="L9" s="93">
        <v>2</v>
      </c>
      <c r="M9" s="93">
        <v>13557</v>
      </c>
      <c r="N9" s="93">
        <v>6</v>
      </c>
      <c r="O9" s="91">
        <f t="shared" si="0"/>
        <v>230468999.99999997</v>
      </c>
      <c r="P9" s="94">
        <f t="shared" si="1"/>
        <v>233381666.66666663</v>
      </c>
      <c r="Q9" s="94">
        <f t="shared" si="2"/>
        <v>16900302.995311458</v>
      </c>
      <c r="R9" s="95">
        <f t="shared" si="5"/>
        <v>8.3680667369783137</v>
      </c>
      <c r="S9" s="86"/>
      <c r="T9" s="86"/>
      <c r="U9" s="86"/>
      <c r="V9" s="86"/>
    </row>
    <row r="10" spans="1:22">
      <c r="A10" s="86"/>
      <c r="B10" s="92" t="s">
        <v>192</v>
      </c>
      <c r="C10" s="93">
        <v>900</v>
      </c>
      <c r="D10" s="93">
        <v>2</v>
      </c>
      <c r="E10" s="93">
        <v>6167</v>
      </c>
      <c r="F10" s="93">
        <v>6</v>
      </c>
      <c r="G10" s="91">
        <f t="shared" si="3"/>
        <v>104838999.99999999</v>
      </c>
      <c r="H10" s="93">
        <v>2</v>
      </c>
      <c r="I10" s="93">
        <v>6132</v>
      </c>
      <c r="J10" s="93">
        <v>6</v>
      </c>
      <c r="K10" s="91">
        <f t="shared" si="4"/>
        <v>104244000</v>
      </c>
      <c r="L10" s="93">
        <v>2</v>
      </c>
      <c r="M10" s="93">
        <v>5412</v>
      </c>
      <c r="N10" s="93">
        <v>6</v>
      </c>
      <c r="O10" s="91">
        <f t="shared" si="0"/>
        <v>92004000</v>
      </c>
      <c r="P10" s="94">
        <f t="shared" si="1"/>
        <v>100362333.33333333</v>
      </c>
      <c r="Q10" s="94">
        <f t="shared" si="2"/>
        <v>7244639.9726510411</v>
      </c>
      <c r="R10" s="95">
        <f t="shared" si="5"/>
        <v>8.0015707497132311</v>
      </c>
      <c r="S10" s="86"/>
      <c r="T10" s="86"/>
      <c r="U10" s="86"/>
      <c r="V10" s="86"/>
    </row>
    <row r="11" spans="1:22">
      <c r="A11" s="86"/>
      <c r="B11" s="92" t="s">
        <v>193</v>
      </c>
      <c r="C11" s="93">
        <v>900</v>
      </c>
      <c r="D11" s="93">
        <v>2</v>
      </c>
      <c r="E11" s="93">
        <v>2783</v>
      </c>
      <c r="F11" s="93">
        <v>6</v>
      </c>
      <c r="G11" s="91">
        <f t="shared" si="3"/>
        <v>47310999.999999993</v>
      </c>
      <c r="H11" s="93">
        <v>2</v>
      </c>
      <c r="I11" s="93">
        <v>2791</v>
      </c>
      <c r="J11" s="93">
        <v>6</v>
      </c>
      <c r="K11" s="91">
        <f t="shared" si="4"/>
        <v>47447000</v>
      </c>
      <c r="L11" s="93">
        <v>2</v>
      </c>
      <c r="M11" s="93">
        <v>2844</v>
      </c>
      <c r="N11" s="93">
        <v>6</v>
      </c>
      <c r="O11" s="91">
        <f t="shared" si="0"/>
        <v>48347999.999999993</v>
      </c>
      <c r="P11" s="94">
        <f t="shared" si="1"/>
        <v>47702000</v>
      </c>
      <c r="Q11" s="94">
        <f t="shared" si="2"/>
        <v>563569.87144452473</v>
      </c>
      <c r="R11" s="95">
        <f t="shared" si="5"/>
        <v>7.6785365880706147</v>
      </c>
      <c r="S11" s="86"/>
      <c r="T11" s="86"/>
      <c r="U11" s="86"/>
      <c r="V11" s="86"/>
    </row>
    <row r="12" spans="1:22">
      <c r="A12" s="86"/>
      <c r="B12" s="92" t="s">
        <v>194</v>
      </c>
      <c r="C12" s="93">
        <v>900</v>
      </c>
      <c r="D12" s="93">
        <v>1</v>
      </c>
      <c r="E12" s="93">
        <v>14347</v>
      </c>
      <c r="F12" s="93">
        <v>6</v>
      </c>
      <c r="G12" s="91">
        <f t="shared" si="3"/>
        <v>24389899.999999996</v>
      </c>
      <c r="H12" s="93">
        <v>1</v>
      </c>
      <c r="I12" s="93">
        <v>13548</v>
      </c>
      <c r="J12" s="93">
        <v>6</v>
      </c>
      <c r="K12" s="91">
        <f t="shared" si="4"/>
        <v>23031600</v>
      </c>
      <c r="L12" s="93">
        <v>1</v>
      </c>
      <c r="M12" s="93">
        <v>14200</v>
      </c>
      <c r="N12" s="93">
        <v>6</v>
      </c>
      <c r="O12" s="91">
        <f t="shared" si="0"/>
        <v>24139999.999999996</v>
      </c>
      <c r="P12" s="94">
        <f t="shared" si="1"/>
        <v>23853833.333333332</v>
      </c>
      <c r="Q12" s="94">
        <f t="shared" si="2"/>
        <v>722954.52369656716</v>
      </c>
      <c r="R12" s="95">
        <f t="shared" si="5"/>
        <v>7.3775581805140655</v>
      </c>
      <c r="S12" s="86"/>
      <c r="T12" s="86"/>
      <c r="U12" s="86"/>
      <c r="V12" s="86"/>
    </row>
    <row r="13" spans="1:22">
      <c r="A13" s="86"/>
      <c r="B13" s="92" t="s">
        <v>195</v>
      </c>
      <c r="C13" s="93">
        <v>900</v>
      </c>
      <c r="D13" s="93">
        <v>1</v>
      </c>
      <c r="E13" s="93">
        <v>5210</v>
      </c>
      <c r="F13" s="93">
        <v>6</v>
      </c>
      <c r="G13" s="91">
        <f t="shared" si="3"/>
        <v>8857000</v>
      </c>
      <c r="H13" s="93">
        <v>1</v>
      </c>
      <c r="I13" s="93">
        <v>5214</v>
      </c>
      <c r="J13" s="93">
        <v>6</v>
      </c>
      <c r="K13" s="91">
        <f t="shared" si="4"/>
        <v>8863800</v>
      </c>
      <c r="L13" s="93">
        <v>1</v>
      </c>
      <c r="M13" s="93">
        <v>5752</v>
      </c>
      <c r="N13" s="93">
        <v>6</v>
      </c>
      <c r="O13" s="91">
        <f t="shared" si="0"/>
        <v>9778400</v>
      </c>
      <c r="P13" s="94">
        <f t="shared" si="1"/>
        <v>9166400</v>
      </c>
      <c r="Q13" s="94">
        <f t="shared" si="2"/>
        <v>530018.4525089669</v>
      </c>
      <c r="R13" s="95">
        <f t="shared" si="5"/>
        <v>6.9621988049055377</v>
      </c>
      <c r="S13" s="86"/>
      <c r="T13" s="86"/>
      <c r="U13" s="86"/>
      <c r="V13" s="86"/>
    </row>
    <row r="14" spans="1:22">
      <c r="A14" s="86"/>
      <c r="B14" s="92" t="s">
        <v>196</v>
      </c>
      <c r="C14" s="93">
        <v>900</v>
      </c>
      <c r="D14" s="93">
        <v>1</v>
      </c>
      <c r="E14" s="93">
        <v>2620</v>
      </c>
      <c r="F14" s="93">
        <v>6</v>
      </c>
      <c r="G14" s="91">
        <f t="shared" si="3"/>
        <v>4454000</v>
      </c>
      <c r="H14" s="93">
        <v>1</v>
      </c>
      <c r="I14" s="93">
        <v>2454</v>
      </c>
      <c r="J14" s="93">
        <v>6</v>
      </c>
      <c r="K14" s="91">
        <f t="shared" si="4"/>
        <v>4171799.9999999991</v>
      </c>
      <c r="L14" s="93">
        <v>1</v>
      </c>
      <c r="M14" s="93">
        <v>2673</v>
      </c>
      <c r="N14" s="93">
        <v>6</v>
      </c>
      <c r="O14" s="91">
        <f t="shared" si="0"/>
        <v>4544099.9999999991</v>
      </c>
      <c r="P14" s="94">
        <f t="shared" si="1"/>
        <v>4389966.666666666</v>
      </c>
      <c r="Q14" s="94">
        <f t="shared" si="2"/>
        <v>194234.45454741904</v>
      </c>
      <c r="R14" s="95">
        <f t="shared" si="5"/>
        <v>6.642461222625335</v>
      </c>
      <c r="S14" s="86"/>
      <c r="T14" s="86"/>
      <c r="U14" s="86"/>
      <c r="V14" s="86"/>
    </row>
    <row r="15" spans="1:22">
      <c r="A15" s="86"/>
      <c r="B15" s="92" t="s">
        <v>197</v>
      </c>
      <c r="C15" s="93">
        <v>900</v>
      </c>
      <c r="D15" s="93">
        <v>1</v>
      </c>
      <c r="E15" s="93">
        <v>1562</v>
      </c>
      <c r="F15" s="93">
        <v>6</v>
      </c>
      <c r="G15" s="91">
        <f t="shared" si="3"/>
        <v>2655399.9999999995</v>
      </c>
      <c r="H15" s="93">
        <v>1</v>
      </c>
      <c r="I15" s="93">
        <v>1614</v>
      </c>
      <c r="J15" s="93">
        <v>6</v>
      </c>
      <c r="K15" s="91">
        <f t="shared" si="4"/>
        <v>2743799.9999999995</v>
      </c>
      <c r="L15" s="93">
        <v>1</v>
      </c>
      <c r="M15" s="93">
        <v>1660</v>
      </c>
      <c r="N15" s="93">
        <v>6</v>
      </c>
      <c r="O15" s="91">
        <f t="shared" si="0"/>
        <v>2822000</v>
      </c>
      <c r="P15" s="94">
        <f t="shared" si="1"/>
        <v>2740400</v>
      </c>
      <c r="Q15" s="94">
        <f t="shared" si="2"/>
        <v>83352.024570492809</v>
      </c>
      <c r="R15" s="95">
        <f t="shared" si="5"/>
        <v>6.4378139588473458</v>
      </c>
      <c r="S15" s="86"/>
      <c r="T15" s="86"/>
      <c r="U15" s="86"/>
      <c r="V15" s="86"/>
    </row>
    <row r="16" spans="1:22">
      <c r="A16" s="86"/>
      <c r="B16" s="92" t="s">
        <v>198</v>
      </c>
      <c r="C16" s="93">
        <v>900</v>
      </c>
      <c r="D16" s="93">
        <v>1</v>
      </c>
      <c r="E16" s="93">
        <v>2084</v>
      </c>
      <c r="F16" s="93">
        <v>13</v>
      </c>
      <c r="G16" s="91">
        <f t="shared" si="3"/>
        <v>1635138.4615384615</v>
      </c>
      <c r="H16" s="93">
        <v>1</v>
      </c>
      <c r="I16" s="93">
        <v>2144</v>
      </c>
      <c r="J16" s="93">
        <v>13</v>
      </c>
      <c r="K16" s="91">
        <f t="shared" si="4"/>
        <v>1682215.3846153847</v>
      </c>
      <c r="L16" s="93">
        <v>1</v>
      </c>
      <c r="M16" s="93">
        <v>1740</v>
      </c>
      <c r="N16" s="93">
        <v>13</v>
      </c>
      <c r="O16" s="91">
        <f t="shared" si="0"/>
        <v>1365230.769230769</v>
      </c>
      <c r="P16" s="94">
        <f t="shared" si="1"/>
        <v>1560861.5384615387</v>
      </c>
      <c r="Q16" s="94">
        <f t="shared" si="2"/>
        <v>171048.55326475156</v>
      </c>
      <c r="R16" s="95">
        <f t="shared" si="5"/>
        <v>6.1933643792000312</v>
      </c>
      <c r="S16" s="86"/>
      <c r="T16" s="86"/>
      <c r="U16" s="86"/>
      <c r="V16" s="86"/>
    </row>
    <row r="17" spans="1:22">
      <c r="A17" s="86"/>
      <c r="B17" s="92" t="s">
        <v>199</v>
      </c>
      <c r="C17" s="93">
        <v>900</v>
      </c>
      <c r="D17" s="93">
        <v>1</v>
      </c>
      <c r="E17" s="93">
        <v>2200</v>
      </c>
      <c r="F17" s="93">
        <v>26</v>
      </c>
      <c r="G17" s="91">
        <f t="shared" si="3"/>
        <v>863076.92307692301</v>
      </c>
      <c r="H17" s="93">
        <v>1</v>
      </c>
      <c r="I17" s="93">
        <v>2389</v>
      </c>
      <c r="J17" s="93">
        <v>26</v>
      </c>
      <c r="K17" s="91">
        <f t="shared" si="4"/>
        <v>937223.07692307688</v>
      </c>
      <c r="L17" s="93">
        <v>1</v>
      </c>
      <c r="M17" s="93">
        <v>2163</v>
      </c>
      <c r="N17" s="93">
        <v>26</v>
      </c>
      <c r="O17" s="91">
        <f t="shared" si="0"/>
        <v>848561.53846153838</v>
      </c>
      <c r="P17" s="94">
        <f t="shared" si="1"/>
        <v>882953.84615384601</v>
      </c>
      <c r="Q17" s="94">
        <f t="shared" si="2"/>
        <v>47555.611170987548</v>
      </c>
      <c r="R17" s="95">
        <f t="shared" si="5"/>
        <v>5.9459380026890356</v>
      </c>
      <c r="S17" s="86"/>
      <c r="T17" s="86"/>
      <c r="U17" s="86"/>
      <c r="V17" s="86"/>
    </row>
    <row r="18" spans="1:22">
      <c r="A18" s="86"/>
      <c r="B18" s="92" t="s">
        <v>200</v>
      </c>
      <c r="C18" s="93">
        <v>900</v>
      </c>
      <c r="D18" s="93">
        <v>1</v>
      </c>
      <c r="E18" s="93">
        <v>2258</v>
      </c>
      <c r="F18" s="93">
        <v>53</v>
      </c>
      <c r="G18" s="91">
        <f t="shared" si="3"/>
        <v>434558.49056603765</v>
      </c>
      <c r="H18" s="93">
        <v>1</v>
      </c>
      <c r="I18" s="93">
        <v>2364</v>
      </c>
      <c r="J18" s="93">
        <v>53</v>
      </c>
      <c r="K18" s="91">
        <f t="shared" si="4"/>
        <v>454958.49056603771</v>
      </c>
      <c r="L18" s="93">
        <v>1</v>
      </c>
      <c r="M18" s="93">
        <v>2494</v>
      </c>
      <c r="N18" s="93">
        <v>53</v>
      </c>
      <c r="O18" s="91">
        <f t="shared" si="0"/>
        <v>479977.35849056597</v>
      </c>
      <c r="P18" s="94">
        <f t="shared" si="1"/>
        <v>456498.11320754705</v>
      </c>
      <c r="Q18" s="94">
        <f t="shared" si="2"/>
        <v>22748.543234570494</v>
      </c>
      <c r="R18" s="95">
        <f t="shared" si="5"/>
        <v>5.6594389868533534</v>
      </c>
      <c r="S18" s="86"/>
      <c r="T18" s="86"/>
      <c r="U18" s="86"/>
      <c r="V18" s="86"/>
    </row>
    <row r="19" spans="1:22">
      <c r="A19" s="86"/>
      <c r="B19" s="92" t="s">
        <v>201</v>
      </c>
      <c r="C19" s="93">
        <v>900</v>
      </c>
      <c r="D19" s="93">
        <v>1</v>
      </c>
      <c r="E19" s="93">
        <v>2389</v>
      </c>
      <c r="F19" s="93">
        <v>107</v>
      </c>
      <c r="G19" s="91">
        <f t="shared" si="3"/>
        <v>227736.44859813081</v>
      </c>
      <c r="H19" s="93">
        <v>1</v>
      </c>
      <c r="I19" s="93">
        <v>2798</v>
      </c>
      <c r="J19" s="93">
        <v>107</v>
      </c>
      <c r="K19" s="91">
        <f t="shared" si="4"/>
        <v>266725.23364485975</v>
      </c>
      <c r="L19" s="93">
        <v>1</v>
      </c>
      <c r="M19" s="93">
        <v>7437</v>
      </c>
      <c r="N19" s="93">
        <v>394</v>
      </c>
      <c r="O19" s="91">
        <f t="shared" si="0"/>
        <v>192531.47208121826</v>
      </c>
      <c r="P19" s="94">
        <f t="shared" si="1"/>
        <v>228997.71810806962</v>
      </c>
      <c r="Q19" s="94">
        <f t="shared" si="2"/>
        <v>37112.958172626859</v>
      </c>
      <c r="R19" s="95">
        <f t="shared" si="5"/>
        <v>5.359831154750319</v>
      </c>
      <c r="S19" s="86"/>
      <c r="T19" s="86"/>
      <c r="U19" s="86"/>
      <c r="V19" s="86"/>
    </row>
    <row r="20" spans="1:22" ht="15" thickBo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ht="43" thickBot="1">
      <c r="A21" s="86"/>
      <c r="B21" s="96" t="s">
        <v>4</v>
      </c>
      <c r="C21" s="96" t="s">
        <v>202</v>
      </c>
      <c r="D21" s="96" t="s">
        <v>203</v>
      </c>
      <c r="E21" s="96" t="s">
        <v>204</v>
      </c>
      <c r="F21" s="96" t="s">
        <v>205</v>
      </c>
      <c r="G21" s="97" t="s">
        <v>206</v>
      </c>
      <c r="H21" s="98" t="s">
        <v>207</v>
      </c>
      <c r="I21" s="98" t="s">
        <v>259</v>
      </c>
      <c r="J21" s="98" t="s">
        <v>260</v>
      </c>
      <c r="K21" s="98" t="s">
        <v>261</v>
      </c>
      <c r="L21" s="98" t="s">
        <v>262</v>
      </c>
      <c r="M21" s="99" t="s">
        <v>258</v>
      </c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92" t="s">
        <v>186</v>
      </c>
      <c r="C23" s="100">
        <v>12.024166107177734</v>
      </c>
      <c r="D23" s="100">
        <v>11.937971115112305</v>
      </c>
      <c r="E23" s="100">
        <v>12.113894462585449</v>
      </c>
      <c r="F23" s="105">
        <f>AVERAGE(C23:E23)</f>
        <v>12.025343894958496</v>
      </c>
      <c r="G23" s="121">
        <f>1000/1000*200/4*1000/900</f>
        <v>55.555555555555557</v>
      </c>
      <c r="H23" s="114">
        <f>LOG(G23)/LOG(2)</f>
        <v>5.7958592832197748</v>
      </c>
      <c r="I23" s="100">
        <f>C23-H23</f>
        <v>6.2283068239579595</v>
      </c>
      <c r="J23" s="100">
        <f>D23-H23</f>
        <v>6.1421118318925298</v>
      </c>
      <c r="K23" s="100">
        <f>E23-H23</f>
        <v>6.3180351793656744</v>
      </c>
      <c r="L23" s="105">
        <f>AVERAGE(I23:K23)</f>
        <v>6.2294846117387221</v>
      </c>
      <c r="M23" s="99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92" t="s">
        <v>187</v>
      </c>
      <c r="C24" s="100">
        <v>17.587196350097656</v>
      </c>
      <c r="D24" s="100">
        <v>17.463251113891602</v>
      </c>
      <c r="E24" s="100">
        <v>17.496953964233398</v>
      </c>
      <c r="F24" s="105">
        <f t="shared" ref="F24:F38" si="6">AVERAGE(C24:E24)</f>
        <v>17.515800476074219</v>
      </c>
      <c r="G24" s="121">
        <f t="shared" ref="G24:G27" si="7">1000/1000*200/4*1000/900</f>
        <v>55.555555555555557</v>
      </c>
      <c r="H24" s="114">
        <f t="shared" ref="H24:H38" si="8">LOG(G24)/LOG(2)</f>
        <v>5.7958592832197748</v>
      </c>
      <c r="I24" s="100">
        <f>C24-H24</f>
        <v>11.791337066877881</v>
      </c>
      <c r="J24" s="100">
        <f t="shared" ref="J24:J38" si="9">D24-H24</f>
        <v>11.667391830671827</v>
      </c>
      <c r="K24" s="100">
        <f t="shared" ref="K24:K38" si="10">E24-H24</f>
        <v>11.701094681013624</v>
      </c>
      <c r="L24" s="105">
        <f t="shared" ref="L24:L38" si="11">AVERAGE(I24:K24)</f>
        <v>11.719941192854444</v>
      </c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92" t="s">
        <v>188</v>
      </c>
      <c r="C25" s="100">
        <v>20.035877227783203</v>
      </c>
      <c r="D25" s="100">
        <v>19.974271774291992</v>
      </c>
      <c r="E25" s="100">
        <v>19.944717407226562</v>
      </c>
      <c r="F25" s="105">
        <f t="shared" si="6"/>
        <v>19.984955469767254</v>
      </c>
      <c r="G25" s="121">
        <f t="shared" si="7"/>
        <v>55.555555555555557</v>
      </c>
      <c r="H25" s="114">
        <f t="shared" si="8"/>
        <v>5.7958592832197748</v>
      </c>
      <c r="I25" s="100">
        <f>C25-H25</f>
        <v>14.240017944563428</v>
      </c>
      <c r="J25" s="100">
        <f t="shared" si="9"/>
        <v>14.178412491072217</v>
      </c>
      <c r="K25" s="100">
        <f t="shared" si="10"/>
        <v>14.148858124006788</v>
      </c>
      <c r="L25" s="105">
        <f t="shared" si="11"/>
        <v>14.189096186547479</v>
      </c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92" t="s">
        <v>189</v>
      </c>
      <c r="C26" s="100">
        <v>24.500289916992188</v>
      </c>
      <c r="D26" s="100">
        <v>24.458871841430664</v>
      </c>
      <c r="E26" s="100">
        <v>24.548263549804688</v>
      </c>
      <c r="F26" s="105">
        <f t="shared" si="6"/>
        <v>24.502475102742512</v>
      </c>
      <c r="G26" s="121">
        <f t="shared" si="7"/>
        <v>55.555555555555557</v>
      </c>
      <c r="H26" s="114">
        <f t="shared" si="8"/>
        <v>5.7958592832197748</v>
      </c>
      <c r="I26" s="100">
        <f>C26-H26</f>
        <v>18.704430633772411</v>
      </c>
      <c r="J26" s="100">
        <f t="shared" si="9"/>
        <v>18.663012558210887</v>
      </c>
      <c r="K26" s="100">
        <f t="shared" si="10"/>
        <v>18.752404266584911</v>
      </c>
      <c r="L26" s="105">
        <f t="shared" si="11"/>
        <v>18.706615819522735</v>
      </c>
      <c r="M26" s="99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92" t="s">
        <v>190</v>
      </c>
      <c r="C27" s="100">
        <v>27.966335296630859</v>
      </c>
      <c r="D27" s="100">
        <v>27.953102111816406</v>
      </c>
      <c r="E27" s="100">
        <v>27.858415603637695</v>
      </c>
      <c r="F27" s="105">
        <f>AVERAGE(C27:E27)</f>
        <v>27.92595100402832</v>
      </c>
      <c r="G27" s="121">
        <f t="shared" si="7"/>
        <v>55.555555555555557</v>
      </c>
      <c r="H27" s="114">
        <f t="shared" si="8"/>
        <v>5.7958592832197748</v>
      </c>
      <c r="I27" s="100">
        <f>C27-H27</f>
        <v>22.170476013411083</v>
      </c>
      <c r="J27" s="100">
        <f>D27-H27</f>
        <v>22.15724282859663</v>
      </c>
      <c r="K27" s="100">
        <f>E27-H27</f>
        <v>22.062556320417919</v>
      </c>
      <c r="L27" s="105">
        <f t="shared" si="11"/>
        <v>22.130091720808547</v>
      </c>
      <c r="M27" s="99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92" t="s">
        <v>191</v>
      </c>
      <c r="C28" s="100">
        <v>13.96388053894043</v>
      </c>
      <c r="D28" s="100">
        <v>13.646139144897461</v>
      </c>
      <c r="E28" s="100">
        <v>13.680848121643066</v>
      </c>
      <c r="F28" s="105">
        <f t="shared" si="6"/>
        <v>13.763622601826986</v>
      </c>
      <c r="G28" s="86">
        <f>1000/1000*200/4*1000/500</f>
        <v>100</v>
      </c>
      <c r="H28" s="114">
        <f t="shared" si="8"/>
        <v>6.6438561897747244</v>
      </c>
      <c r="I28" s="100">
        <f t="shared" ref="I28:I38" si="12">C28-H28</f>
        <v>7.3200243491657053</v>
      </c>
      <c r="J28" s="100">
        <f t="shared" si="9"/>
        <v>7.0022829551227366</v>
      </c>
      <c r="K28" s="100">
        <f t="shared" si="10"/>
        <v>7.036991931868342</v>
      </c>
      <c r="L28" s="105">
        <f t="shared" si="11"/>
        <v>7.119766412052261</v>
      </c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92" t="s">
        <v>192</v>
      </c>
      <c r="C29" s="100">
        <v>15.15186882019043</v>
      </c>
      <c r="D29" s="100">
        <v>15.517631530761719</v>
      </c>
      <c r="E29" s="100">
        <v>15.663459777832031</v>
      </c>
      <c r="F29" s="105">
        <f t="shared" si="6"/>
        <v>15.44432004292806</v>
      </c>
      <c r="G29" s="86">
        <f t="shared" ref="G29:G38" si="13">1000/1000*200/4*1000/500</f>
        <v>100</v>
      </c>
      <c r="H29" s="114">
        <f t="shared" si="8"/>
        <v>6.6438561897747244</v>
      </c>
      <c r="I29" s="100">
        <f t="shared" si="12"/>
        <v>8.5080126304157062</v>
      </c>
      <c r="J29" s="100">
        <f t="shared" si="9"/>
        <v>8.8737753409869953</v>
      </c>
      <c r="K29" s="100">
        <f t="shared" si="10"/>
        <v>9.0196035880573078</v>
      </c>
      <c r="L29" s="105">
        <f t="shared" si="11"/>
        <v>8.800463853153337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92" t="s">
        <v>193</v>
      </c>
      <c r="C30" s="100">
        <v>16.251581192016602</v>
      </c>
      <c r="D30" s="100">
        <v>16.335042953491211</v>
      </c>
      <c r="E30" s="100">
        <v>16.212072372436523</v>
      </c>
      <c r="F30" s="105">
        <f t="shared" si="6"/>
        <v>16.266232172648113</v>
      </c>
      <c r="G30" s="86">
        <f t="shared" si="13"/>
        <v>100</v>
      </c>
      <c r="H30" s="114">
        <f t="shared" si="8"/>
        <v>6.6438561897747244</v>
      </c>
      <c r="I30" s="100">
        <f t="shared" si="12"/>
        <v>9.6077250022418781</v>
      </c>
      <c r="J30" s="100">
        <f t="shared" si="9"/>
        <v>9.6911867637164875</v>
      </c>
      <c r="K30" s="100">
        <f t="shared" si="10"/>
        <v>9.5682161826618</v>
      </c>
      <c r="L30" s="105">
        <f t="shared" si="11"/>
        <v>9.6223759828733879</v>
      </c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92" t="s">
        <v>194</v>
      </c>
      <c r="C31" s="100">
        <v>18.410284042358398</v>
      </c>
      <c r="D31" s="100">
        <v>18.640316009521484</v>
      </c>
      <c r="E31" s="100">
        <v>18.454940795898438</v>
      </c>
      <c r="F31" s="105">
        <f t="shared" si="6"/>
        <v>18.501846949259441</v>
      </c>
      <c r="G31" s="86">
        <f t="shared" si="13"/>
        <v>100</v>
      </c>
      <c r="H31" s="114">
        <f t="shared" si="8"/>
        <v>6.6438561897747244</v>
      </c>
      <c r="I31" s="100">
        <f t="shared" si="12"/>
        <v>11.766427852583675</v>
      </c>
      <c r="J31" s="100">
        <f t="shared" si="9"/>
        <v>11.996459819746761</v>
      </c>
      <c r="K31" s="100">
        <f t="shared" si="10"/>
        <v>11.811084606123714</v>
      </c>
      <c r="L31" s="105">
        <f t="shared" si="11"/>
        <v>11.857990759484716</v>
      </c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92" t="s">
        <v>195</v>
      </c>
      <c r="C32" s="100">
        <v>18.648725509643555</v>
      </c>
      <c r="D32" s="100">
        <v>18.836643218994141</v>
      </c>
      <c r="E32" s="100">
        <v>18.618749618530273</v>
      </c>
      <c r="F32" s="105">
        <f t="shared" si="6"/>
        <v>18.701372782389324</v>
      </c>
      <c r="G32" s="86">
        <f t="shared" si="13"/>
        <v>100</v>
      </c>
      <c r="H32" s="114">
        <f t="shared" si="8"/>
        <v>6.6438561897747244</v>
      </c>
      <c r="I32" s="100">
        <f t="shared" si="12"/>
        <v>12.004869319868831</v>
      </c>
      <c r="J32" s="100">
        <f t="shared" si="9"/>
        <v>12.192787029219417</v>
      </c>
      <c r="K32" s="100">
        <f t="shared" si="10"/>
        <v>11.97489342875555</v>
      </c>
      <c r="L32" s="105">
        <f t="shared" si="11"/>
        <v>12.057516592614599</v>
      </c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92" t="s">
        <v>196</v>
      </c>
      <c r="C33" s="100">
        <v>19.173038482666016</v>
      </c>
      <c r="D33" s="100">
        <v>19.267778396606445</v>
      </c>
      <c r="E33" s="100">
        <v>19.15654182434082</v>
      </c>
      <c r="F33" s="105">
        <f t="shared" si="6"/>
        <v>19.199119567871094</v>
      </c>
      <c r="G33" s="86">
        <f t="shared" si="13"/>
        <v>100</v>
      </c>
      <c r="H33" s="114">
        <f t="shared" si="8"/>
        <v>6.6438561897747244</v>
      </c>
      <c r="I33" s="100">
        <f t="shared" si="12"/>
        <v>12.529182292891292</v>
      </c>
      <c r="J33" s="100">
        <f t="shared" si="9"/>
        <v>12.623922206831722</v>
      </c>
      <c r="K33" s="100">
        <f t="shared" si="10"/>
        <v>12.512685634566097</v>
      </c>
      <c r="L33" s="105">
        <f t="shared" si="11"/>
        <v>12.55526337809637</v>
      </c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92" t="s">
        <v>197</v>
      </c>
      <c r="C34" s="100">
        <v>20.283313751220703</v>
      </c>
      <c r="D34" s="100">
        <v>20.449991226196289</v>
      </c>
      <c r="E34" s="100">
        <v>20.311237335205078</v>
      </c>
      <c r="F34" s="105">
        <f t="shared" si="6"/>
        <v>20.348180770874023</v>
      </c>
      <c r="G34" s="86">
        <f t="shared" si="13"/>
        <v>100</v>
      </c>
      <c r="H34" s="114">
        <f t="shared" si="8"/>
        <v>6.6438561897747244</v>
      </c>
      <c r="I34" s="100">
        <f t="shared" si="12"/>
        <v>13.63945756144598</v>
      </c>
      <c r="J34" s="100">
        <f t="shared" si="9"/>
        <v>13.806135036421566</v>
      </c>
      <c r="K34" s="100">
        <f t="shared" si="10"/>
        <v>13.667381145430355</v>
      </c>
      <c r="L34" s="105">
        <f t="shared" si="11"/>
        <v>13.7043245810993</v>
      </c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92" t="s">
        <v>198</v>
      </c>
      <c r="C35" s="100">
        <v>21.243825912475586</v>
      </c>
      <c r="D35" s="100">
        <v>21.539775848388672</v>
      </c>
      <c r="E35" s="100">
        <v>21.392797470092773</v>
      </c>
      <c r="F35" s="105">
        <f t="shared" si="6"/>
        <v>21.392133076985676</v>
      </c>
      <c r="G35" s="86">
        <f t="shared" si="13"/>
        <v>100</v>
      </c>
      <c r="H35" s="114">
        <f t="shared" si="8"/>
        <v>6.6438561897747244</v>
      </c>
      <c r="I35" s="100">
        <f t="shared" si="12"/>
        <v>14.599969722700862</v>
      </c>
      <c r="J35" s="100">
        <f t="shared" si="9"/>
        <v>14.895919658613948</v>
      </c>
      <c r="K35" s="100">
        <f t="shared" si="10"/>
        <v>14.74894128031805</v>
      </c>
      <c r="L35" s="105">
        <f t="shared" si="11"/>
        <v>14.748276887210954</v>
      </c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92" t="s">
        <v>199</v>
      </c>
      <c r="C36" s="100">
        <v>22.513101577758789</v>
      </c>
      <c r="D36" s="100">
        <v>22.496644973754883</v>
      </c>
      <c r="E36" s="100">
        <v>22.572574615478516</v>
      </c>
      <c r="F36" s="105">
        <f t="shared" si="6"/>
        <v>22.527440388997395</v>
      </c>
      <c r="G36" s="86">
        <f t="shared" si="13"/>
        <v>100</v>
      </c>
      <c r="H36" s="114">
        <f t="shared" si="8"/>
        <v>6.6438561897747244</v>
      </c>
      <c r="I36" s="100">
        <f t="shared" si="12"/>
        <v>15.869245387984066</v>
      </c>
      <c r="J36" s="100">
        <f t="shared" si="9"/>
        <v>15.852788783980159</v>
      </c>
      <c r="K36" s="100">
        <f t="shared" si="10"/>
        <v>15.928718425703792</v>
      </c>
      <c r="L36" s="105">
        <f t="shared" si="11"/>
        <v>15.883584199222673</v>
      </c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92" t="s">
        <v>200</v>
      </c>
      <c r="C37" s="100">
        <v>25.11761474609375</v>
      </c>
      <c r="D37" s="100">
        <v>25.00200080871582</v>
      </c>
      <c r="E37" s="100">
        <v>25.069990158081055</v>
      </c>
      <c r="F37" s="105">
        <f t="shared" si="6"/>
        <v>25.063201904296875</v>
      </c>
      <c r="G37" s="86">
        <f t="shared" si="13"/>
        <v>100</v>
      </c>
      <c r="H37" s="114">
        <f t="shared" si="8"/>
        <v>6.6438561897747244</v>
      </c>
      <c r="I37" s="100">
        <f t="shared" si="12"/>
        <v>18.473758556319027</v>
      </c>
      <c r="J37" s="100">
        <f t="shared" si="9"/>
        <v>18.358144618941097</v>
      </c>
      <c r="K37" s="100">
        <f t="shared" si="10"/>
        <v>18.426133968306331</v>
      </c>
      <c r="L37" s="105">
        <f t="shared" si="11"/>
        <v>18.419345714522152</v>
      </c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92" t="s">
        <v>201</v>
      </c>
      <c r="C38" s="100">
        <v>25.78911018371582</v>
      </c>
      <c r="D38" s="100">
        <v>25.811565399169922</v>
      </c>
      <c r="E38" s="100">
        <v>25.885698318481445</v>
      </c>
      <c r="F38" s="105">
        <f t="shared" si="6"/>
        <v>25.82879130045573</v>
      </c>
      <c r="G38" s="86">
        <f t="shared" si="13"/>
        <v>100</v>
      </c>
      <c r="H38" s="114">
        <f t="shared" si="8"/>
        <v>6.6438561897747244</v>
      </c>
      <c r="I38" s="100">
        <f t="shared" si="12"/>
        <v>19.145253993941097</v>
      </c>
      <c r="J38" s="100">
        <f t="shared" si="9"/>
        <v>19.167709209395198</v>
      </c>
      <c r="K38" s="100">
        <f t="shared" si="10"/>
        <v>19.241842128706722</v>
      </c>
      <c r="L38" s="105">
        <f t="shared" si="11"/>
        <v>19.184935110681007</v>
      </c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114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92" t="s">
        <v>286</v>
      </c>
      <c r="C40" s="100">
        <v>10.746070861816406</v>
      </c>
      <c r="D40" s="100">
        <v>10.822755813598633</v>
      </c>
      <c r="E40" s="100">
        <v>10.731834411621094</v>
      </c>
      <c r="F40" s="105">
        <f>AVERAGE(C40:E40)</f>
        <v>10.766887029012045</v>
      </c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99" t="s">
        <v>214</v>
      </c>
      <c r="C42" s="86" t="s">
        <v>215</v>
      </c>
      <c r="D42" s="86"/>
      <c r="E42" s="86"/>
      <c r="F42" t="s">
        <v>264</v>
      </c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 t="s">
        <v>265</v>
      </c>
      <c r="C43" s="86" t="s">
        <v>215</v>
      </c>
      <c r="D43" s="86"/>
      <c r="E43" s="86"/>
      <c r="F43">
        <v>0.34642903804779052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103" t="s">
        <v>217</v>
      </c>
      <c r="D44" s="101">
        <v>-3.9893000000000001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103" t="s">
        <v>218</v>
      </c>
      <c r="D45" s="101">
        <v>40.134999999999998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99" t="s">
        <v>219</v>
      </c>
      <c r="C48" s="86"/>
      <c r="D48" s="86">
        <f>-1+ POWER(10,-(1/D44))</f>
        <v>0.78102716558460528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99" t="s">
        <v>287</v>
      </c>
      <c r="C50" s="122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2016-04-13T15:59:06Z</dcterms:modified>
</cp:coreProperties>
</file>