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12" activeTab="23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5" r:id="rId5"/>
    <sheet name="Determination cell counts RI" sheetId="26" r:id="rId6"/>
    <sheet name="Calibration F. prausnitzii" sheetId="27" r:id="rId7"/>
    <sheet name="Determination cell counts FP" sheetId="28" r:id="rId8"/>
    <sheet name="CalibrationB. hydrogenotrophica" sheetId="29" r:id="rId9"/>
    <sheet name="Determination cell counts BH" sheetId="30" r:id="rId10"/>
    <sheet name="Total cell count" sheetId="31" r:id="rId11"/>
    <sheet name="OD600nm" sheetId="4" r:id="rId12"/>
    <sheet name="CDM" sheetId="5" r:id="rId13"/>
    <sheet name="H2" sheetId="17" r:id="rId14"/>
    <sheet name="CO2" sheetId="7" r:id="rId15"/>
    <sheet name="Metabolites" sheetId="8" r:id="rId16"/>
    <sheet name="D-Fructose" sheetId="19" r:id="rId17"/>
    <sheet name="Formic acid" sheetId="18" r:id="rId18"/>
    <sheet name="Acetic acid" sheetId="15" r:id="rId19"/>
    <sheet name="Propionic acid" sheetId="20" r:id="rId20"/>
    <sheet name="Butyric acid" sheetId="21" r:id="rId21"/>
    <sheet name="Lactic acid" sheetId="14" r:id="rId22"/>
    <sheet name="Ethanol" sheetId="16" r:id="rId23"/>
    <sheet name="Graph" sheetId="13" r:id="rId24"/>
    <sheet name="Graph (2)" sheetId="24" r:id="rId25"/>
    <sheet name="Carbon recovery" sheetId="23" r:id="rId26"/>
  </sheets>
  <externalReferences>
    <externalReference r:id="rId27"/>
  </externalReferences>
  <definedNames>
    <definedName name="_2012_05_10_FPRAU_fruc1" localSheetId="14">'CO2'!$I$5:$I$293</definedName>
    <definedName name="_2012_06_08_BIF_REC_OLI_1" localSheetId="14">'CO2'!$N$5:$N$201</definedName>
    <definedName name="_2012_06_08_BIF_REC_OLI_1" localSheetId="13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26" l="1"/>
  <c r="H78" i="28"/>
  <c r="H67" i="30"/>
  <c r="H65" i="30"/>
  <c r="H64" i="30"/>
  <c r="H63" i="30"/>
  <c r="H62" i="30"/>
  <c r="H61" i="30"/>
  <c r="H60" i="30"/>
  <c r="H59" i="30"/>
  <c r="H58" i="30"/>
  <c r="H57" i="30"/>
  <c r="H56" i="30"/>
  <c r="H55" i="30"/>
  <c r="H75" i="28"/>
  <c r="H74" i="28"/>
  <c r="H73" i="28"/>
  <c r="H72" i="28"/>
  <c r="H71" i="28"/>
  <c r="H70" i="26"/>
  <c r="H69" i="26"/>
  <c r="H68" i="26"/>
  <c r="H67" i="26"/>
  <c r="H66" i="26"/>
  <c r="H65" i="26"/>
  <c r="H64" i="26"/>
  <c r="H53" i="30"/>
  <c r="H51" i="30"/>
  <c r="H52" i="30"/>
  <c r="H54" i="30"/>
  <c r="H5" i="30"/>
  <c r="I5" i="30"/>
  <c r="J5" i="30"/>
  <c r="H6" i="30"/>
  <c r="I6" i="30"/>
  <c r="J6" i="30"/>
  <c r="H7" i="30"/>
  <c r="I7" i="30"/>
  <c r="J7" i="30"/>
  <c r="H8" i="30"/>
  <c r="I8" i="30"/>
  <c r="J8" i="30"/>
  <c r="H9" i="30"/>
  <c r="I9" i="30"/>
  <c r="J9" i="30"/>
  <c r="H10" i="30"/>
  <c r="I10" i="30"/>
  <c r="J10" i="30"/>
  <c r="H11" i="30"/>
  <c r="I11" i="30"/>
  <c r="J11" i="30"/>
  <c r="H12" i="30"/>
  <c r="I12" i="30"/>
  <c r="J12" i="30"/>
  <c r="H13" i="30"/>
  <c r="I13" i="30"/>
  <c r="J13" i="30"/>
  <c r="H14" i="30"/>
  <c r="I14" i="30"/>
  <c r="J14" i="30"/>
  <c r="H15" i="30"/>
  <c r="I15" i="30"/>
  <c r="J15" i="30"/>
  <c r="H16" i="30"/>
  <c r="I16" i="30"/>
  <c r="J16" i="30"/>
  <c r="H17" i="30"/>
  <c r="I17" i="30"/>
  <c r="J17" i="30"/>
  <c r="H18" i="30"/>
  <c r="I18" i="30"/>
  <c r="J18" i="30"/>
  <c r="H19" i="30"/>
  <c r="I19" i="30"/>
  <c r="J19" i="30"/>
  <c r="H20" i="30"/>
  <c r="I20" i="30"/>
  <c r="J20" i="30"/>
  <c r="I4" i="30"/>
  <c r="J4" i="30"/>
  <c r="H4" i="30"/>
  <c r="C25" i="30"/>
  <c r="C28" i="28"/>
  <c r="H70" i="28"/>
  <c r="H69" i="28"/>
  <c r="H68" i="28"/>
  <c r="H67" i="28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C25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I4" i="26"/>
  <c r="J4" i="26"/>
  <c r="H4" i="26"/>
  <c r="H5" i="28"/>
  <c r="I5" i="28"/>
  <c r="J5" i="28"/>
  <c r="H6" i="28"/>
  <c r="I6" i="28"/>
  <c r="J6" i="28"/>
  <c r="H7" i="28"/>
  <c r="I7" i="28"/>
  <c r="J7" i="28"/>
  <c r="H8" i="28"/>
  <c r="I8" i="28"/>
  <c r="J8" i="28"/>
  <c r="H9" i="28"/>
  <c r="I9" i="28"/>
  <c r="J9" i="28"/>
  <c r="H10" i="28"/>
  <c r="I10" i="28"/>
  <c r="J10" i="28"/>
  <c r="H11" i="28"/>
  <c r="I11" i="28"/>
  <c r="J11" i="28"/>
  <c r="H12" i="28"/>
  <c r="I12" i="28"/>
  <c r="J12" i="28"/>
  <c r="H13" i="28"/>
  <c r="I13" i="28"/>
  <c r="J13" i="28"/>
  <c r="H14" i="28"/>
  <c r="I14" i="28"/>
  <c r="J14" i="28"/>
  <c r="H15" i="28"/>
  <c r="I15" i="28"/>
  <c r="J15" i="28"/>
  <c r="H16" i="28"/>
  <c r="I16" i="28"/>
  <c r="J16" i="28"/>
  <c r="H17" i="28"/>
  <c r="I17" i="28"/>
  <c r="J17" i="28"/>
  <c r="H18" i="28"/>
  <c r="I18" i="28"/>
  <c r="J18" i="28"/>
  <c r="H19" i="28"/>
  <c r="I19" i="28"/>
  <c r="J19" i="28"/>
  <c r="H20" i="28"/>
  <c r="I20" i="28"/>
  <c r="J20" i="28"/>
  <c r="I4" i="28"/>
  <c r="J4" i="28"/>
  <c r="H4" i="28"/>
  <c r="B25" i="26"/>
  <c r="B24" i="26"/>
  <c r="K20" i="26"/>
  <c r="L20" i="26"/>
  <c r="M20" i="26"/>
  <c r="P20" i="26"/>
  <c r="R20" i="26"/>
  <c r="E21" i="31"/>
  <c r="B25" i="30"/>
  <c r="B24" i="30"/>
  <c r="K20" i="30"/>
  <c r="L20" i="30"/>
  <c r="M20" i="30"/>
  <c r="P20" i="30"/>
  <c r="R20" i="30"/>
  <c r="L21" i="31"/>
  <c r="B28" i="28"/>
  <c r="B27" i="28"/>
  <c r="K20" i="28"/>
  <c r="L20" i="28"/>
  <c r="M20" i="28"/>
  <c r="P20" i="28"/>
  <c r="R20" i="28"/>
  <c r="E42" i="31"/>
  <c r="O21" i="31"/>
  <c r="C24" i="26"/>
  <c r="K5" i="26"/>
  <c r="L5" i="26"/>
  <c r="M5" i="26"/>
  <c r="P5" i="26"/>
  <c r="R5" i="26"/>
  <c r="E6" i="31"/>
  <c r="C24" i="30"/>
  <c r="K5" i="30"/>
  <c r="L5" i="30"/>
  <c r="M5" i="30"/>
  <c r="P5" i="30"/>
  <c r="R5" i="30"/>
  <c r="L6" i="31"/>
  <c r="C27" i="28"/>
  <c r="K5" i="28"/>
  <c r="L5" i="28"/>
  <c r="M5" i="28"/>
  <c r="P5" i="28"/>
  <c r="R5" i="28"/>
  <c r="E27" i="31"/>
  <c r="O6" i="31"/>
  <c r="K6" i="26"/>
  <c r="L6" i="26"/>
  <c r="M6" i="26"/>
  <c r="P6" i="26"/>
  <c r="R6" i="26"/>
  <c r="E7" i="31"/>
  <c r="K6" i="30"/>
  <c r="L6" i="30"/>
  <c r="M6" i="30"/>
  <c r="P6" i="30"/>
  <c r="R6" i="30"/>
  <c r="L7" i="31"/>
  <c r="K6" i="28"/>
  <c r="L6" i="28"/>
  <c r="M6" i="28"/>
  <c r="P6" i="28"/>
  <c r="R6" i="28"/>
  <c r="E28" i="31"/>
  <c r="O7" i="31"/>
  <c r="K7" i="26"/>
  <c r="L7" i="26"/>
  <c r="M7" i="26"/>
  <c r="P7" i="26"/>
  <c r="R7" i="26"/>
  <c r="E8" i="31"/>
  <c r="K7" i="30"/>
  <c r="L7" i="30"/>
  <c r="M7" i="30"/>
  <c r="P7" i="30"/>
  <c r="R7" i="30"/>
  <c r="L8" i="31"/>
  <c r="K7" i="28"/>
  <c r="L7" i="28"/>
  <c r="M7" i="28"/>
  <c r="P7" i="28"/>
  <c r="R7" i="28"/>
  <c r="E29" i="31"/>
  <c r="O8" i="31"/>
  <c r="K8" i="26"/>
  <c r="L8" i="26"/>
  <c r="M8" i="26"/>
  <c r="P8" i="26"/>
  <c r="R8" i="26"/>
  <c r="E9" i="31"/>
  <c r="K8" i="30"/>
  <c r="L8" i="30"/>
  <c r="M8" i="30"/>
  <c r="P8" i="30"/>
  <c r="R8" i="30"/>
  <c r="L9" i="31"/>
  <c r="K8" i="28"/>
  <c r="L8" i="28"/>
  <c r="M8" i="28"/>
  <c r="P8" i="28"/>
  <c r="R8" i="28"/>
  <c r="E30" i="31"/>
  <c r="O9" i="31"/>
  <c r="K9" i="26"/>
  <c r="L9" i="26"/>
  <c r="M9" i="26"/>
  <c r="P9" i="26"/>
  <c r="R9" i="26"/>
  <c r="E10" i="31"/>
  <c r="K9" i="30"/>
  <c r="L9" i="30"/>
  <c r="M9" i="30"/>
  <c r="P9" i="30"/>
  <c r="R9" i="30"/>
  <c r="L10" i="31"/>
  <c r="K9" i="28"/>
  <c r="L9" i="28"/>
  <c r="M9" i="28"/>
  <c r="P9" i="28"/>
  <c r="R9" i="28"/>
  <c r="E31" i="31"/>
  <c r="O10" i="31"/>
  <c r="K10" i="26"/>
  <c r="L10" i="26"/>
  <c r="M10" i="26"/>
  <c r="P10" i="26"/>
  <c r="R10" i="26"/>
  <c r="E11" i="31"/>
  <c r="K10" i="30"/>
  <c r="L10" i="30"/>
  <c r="M10" i="30"/>
  <c r="P10" i="30"/>
  <c r="R10" i="30"/>
  <c r="L11" i="31"/>
  <c r="K10" i="28"/>
  <c r="L10" i="28"/>
  <c r="M10" i="28"/>
  <c r="P10" i="28"/>
  <c r="R10" i="28"/>
  <c r="E32" i="31"/>
  <c r="O11" i="31"/>
  <c r="K11" i="26"/>
  <c r="L11" i="26"/>
  <c r="M11" i="26"/>
  <c r="P11" i="26"/>
  <c r="R11" i="26"/>
  <c r="E12" i="31"/>
  <c r="K11" i="30"/>
  <c r="L11" i="30"/>
  <c r="M11" i="30"/>
  <c r="P11" i="30"/>
  <c r="R11" i="30"/>
  <c r="L12" i="31"/>
  <c r="K11" i="28"/>
  <c r="L11" i="28"/>
  <c r="M11" i="28"/>
  <c r="P11" i="28"/>
  <c r="R11" i="28"/>
  <c r="E33" i="31"/>
  <c r="O12" i="31"/>
  <c r="K12" i="26"/>
  <c r="L12" i="26"/>
  <c r="M12" i="26"/>
  <c r="P12" i="26"/>
  <c r="R12" i="26"/>
  <c r="E13" i="31"/>
  <c r="K12" i="30"/>
  <c r="L12" i="30"/>
  <c r="M12" i="30"/>
  <c r="P12" i="30"/>
  <c r="R12" i="30"/>
  <c r="L13" i="31"/>
  <c r="K12" i="28"/>
  <c r="L12" i="28"/>
  <c r="M12" i="28"/>
  <c r="P12" i="28"/>
  <c r="R12" i="28"/>
  <c r="E34" i="31"/>
  <c r="O13" i="31"/>
  <c r="K13" i="26"/>
  <c r="L13" i="26"/>
  <c r="M13" i="26"/>
  <c r="P13" i="26"/>
  <c r="R13" i="26"/>
  <c r="E14" i="31"/>
  <c r="K13" i="30"/>
  <c r="L13" i="30"/>
  <c r="M13" i="30"/>
  <c r="P13" i="30"/>
  <c r="R13" i="30"/>
  <c r="L14" i="31"/>
  <c r="K13" i="28"/>
  <c r="L13" i="28"/>
  <c r="M13" i="28"/>
  <c r="P13" i="28"/>
  <c r="R13" i="28"/>
  <c r="E35" i="31"/>
  <c r="O14" i="31"/>
  <c r="K14" i="26"/>
  <c r="L14" i="26"/>
  <c r="M14" i="26"/>
  <c r="P14" i="26"/>
  <c r="R14" i="26"/>
  <c r="E15" i="31"/>
  <c r="K14" i="30"/>
  <c r="L14" i="30"/>
  <c r="M14" i="30"/>
  <c r="P14" i="30"/>
  <c r="R14" i="30"/>
  <c r="L15" i="31"/>
  <c r="K14" i="28"/>
  <c r="L14" i="28"/>
  <c r="M14" i="28"/>
  <c r="P14" i="28"/>
  <c r="R14" i="28"/>
  <c r="E36" i="31"/>
  <c r="O15" i="31"/>
  <c r="K15" i="26"/>
  <c r="L15" i="26"/>
  <c r="M15" i="26"/>
  <c r="P15" i="26"/>
  <c r="R15" i="26"/>
  <c r="E16" i="31"/>
  <c r="K15" i="30"/>
  <c r="L15" i="30"/>
  <c r="M15" i="30"/>
  <c r="P15" i="30"/>
  <c r="R15" i="30"/>
  <c r="L16" i="31"/>
  <c r="K15" i="28"/>
  <c r="L15" i="28"/>
  <c r="M15" i="28"/>
  <c r="P15" i="28"/>
  <c r="R15" i="28"/>
  <c r="E37" i="31"/>
  <c r="O16" i="31"/>
  <c r="K16" i="26"/>
  <c r="L16" i="26"/>
  <c r="M16" i="26"/>
  <c r="P16" i="26"/>
  <c r="R16" i="26"/>
  <c r="E17" i="31"/>
  <c r="K16" i="30"/>
  <c r="L16" i="30"/>
  <c r="M16" i="30"/>
  <c r="P16" i="30"/>
  <c r="R16" i="30"/>
  <c r="L17" i="31"/>
  <c r="K16" i="28"/>
  <c r="L16" i="28"/>
  <c r="M16" i="28"/>
  <c r="P16" i="28"/>
  <c r="R16" i="28"/>
  <c r="E38" i="31"/>
  <c r="O17" i="31"/>
  <c r="K17" i="26"/>
  <c r="L17" i="26"/>
  <c r="M17" i="26"/>
  <c r="P17" i="26"/>
  <c r="R17" i="26"/>
  <c r="E18" i="31"/>
  <c r="K17" i="30"/>
  <c r="L17" i="30"/>
  <c r="M17" i="30"/>
  <c r="P17" i="30"/>
  <c r="R17" i="30"/>
  <c r="L18" i="31"/>
  <c r="K17" i="28"/>
  <c r="L17" i="28"/>
  <c r="M17" i="28"/>
  <c r="P17" i="28"/>
  <c r="R17" i="28"/>
  <c r="E39" i="31"/>
  <c r="O18" i="31"/>
  <c r="K18" i="26"/>
  <c r="L18" i="26"/>
  <c r="M18" i="26"/>
  <c r="P18" i="26"/>
  <c r="R18" i="26"/>
  <c r="E19" i="31"/>
  <c r="K18" i="30"/>
  <c r="L18" i="30"/>
  <c r="M18" i="30"/>
  <c r="P18" i="30"/>
  <c r="R18" i="30"/>
  <c r="L19" i="31"/>
  <c r="K18" i="28"/>
  <c r="L18" i="28"/>
  <c r="M18" i="28"/>
  <c r="P18" i="28"/>
  <c r="R18" i="28"/>
  <c r="E40" i="31"/>
  <c r="O19" i="31"/>
  <c r="K19" i="26"/>
  <c r="L19" i="26"/>
  <c r="M19" i="26"/>
  <c r="P19" i="26"/>
  <c r="R19" i="26"/>
  <c r="E20" i="31"/>
  <c r="K19" i="30"/>
  <c r="L19" i="30"/>
  <c r="M19" i="30"/>
  <c r="P19" i="30"/>
  <c r="R19" i="30"/>
  <c r="L20" i="31"/>
  <c r="K19" i="28"/>
  <c r="L19" i="28"/>
  <c r="M19" i="28"/>
  <c r="P19" i="28"/>
  <c r="R19" i="28"/>
  <c r="E41" i="31"/>
  <c r="O20" i="31"/>
  <c r="O5" i="30"/>
  <c r="S5" i="30"/>
  <c r="M6" i="31"/>
  <c r="O6" i="30"/>
  <c r="S6" i="30"/>
  <c r="M7" i="31"/>
  <c r="O7" i="30"/>
  <c r="S7" i="30"/>
  <c r="M8" i="31"/>
  <c r="O8" i="30"/>
  <c r="S8" i="30"/>
  <c r="M9" i="31"/>
  <c r="O9" i="30"/>
  <c r="S9" i="30"/>
  <c r="M10" i="31"/>
  <c r="O10" i="30"/>
  <c r="S10" i="30"/>
  <c r="M11" i="31"/>
  <c r="O11" i="30"/>
  <c r="S11" i="30"/>
  <c r="M12" i="31"/>
  <c r="O12" i="30"/>
  <c r="S12" i="30"/>
  <c r="M13" i="31"/>
  <c r="O13" i="30"/>
  <c r="S13" i="30"/>
  <c r="M14" i="31"/>
  <c r="O14" i="30"/>
  <c r="S14" i="30"/>
  <c r="M15" i="31"/>
  <c r="O15" i="30"/>
  <c r="S15" i="30"/>
  <c r="M16" i="31"/>
  <c r="O16" i="30"/>
  <c r="S16" i="30"/>
  <c r="M17" i="31"/>
  <c r="O17" i="30"/>
  <c r="S17" i="30"/>
  <c r="M18" i="31"/>
  <c r="O18" i="30"/>
  <c r="S18" i="30"/>
  <c r="M19" i="31"/>
  <c r="O19" i="30"/>
  <c r="S19" i="30"/>
  <c r="M20" i="31"/>
  <c r="O20" i="30"/>
  <c r="S20" i="30"/>
  <c r="M21" i="31"/>
  <c r="K4" i="30"/>
  <c r="L4" i="30"/>
  <c r="M4" i="30"/>
  <c r="O4" i="30"/>
  <c r="S4" i="30"/>
  <c r="M5" i="31"/>
  <c r="P4" i="30"/>
  <c r="R4" i="30"/>
  <c r="L5" i="31"/>
  <c r="O5" i="28"/>
  <c r="S5" i="28"/>
  <c r="F27" i="31"/>
  <c r="O6" i="28"/>
  <c r="S6" i="28"/>
  <c r="F28" i="31"/>
  <c r="O7" i="28"/>
  <c r="S7" i="28"/>
  <c r="F29" i="31"/>
  <c r="O8" i="28"/>
  <c r="S8" i="28"/>
  <c r="F30" i="31"/>
  <c r="O9" i="28"/>
  <c r="S9" i="28"/>
  <c r="F31" i="31"/>
  <c r="O10" i="28"/>
  <c r="S10" i="28"/>
  <c r="F32" i="31"/>
  <c r="O11" i="28"/>
  <c r="S11" i="28"/>
  <c r="F33" i="31"/>
  <c r="O12" i="28"/>
  <c r="S12" i="28"/>
  <c r="F34" i="31"/>
  <c r="O13" i="28"/>
  <c r="S13" i="28"/>
  <c r="F35" i="31"/>
  <c r="O14" i="28"/>
  <c r="S14" i="28"/>
  <c r="F36" i="31"/>
  <c r="O15" i="28"/>
  <c r="S15" i="28"/>
  <c r="F37" i="31"/>
  <c r="O16" i="28"/>
  <c r="S16" i="28"/>
  <c r="F38" i="31"/>
  <c r="O17" i="28"/>
  <c r="S17" i="28"/>
  <c r="F39" i="31"/>
  <c r="O18" i="28"/>
  <c r="S18" i="28"/>
  <c r="F40" i="31"/>
  <c r="O19" i="28"/>
  <c r="S19" i="28"/>
  <c r="F41" i="31"/>
  <c r="O20" i="28"/>
  <c r="S20" i="28"/>
  <c r="F42" i="31"/>
  <c r="K4" i="28"/>
  <c r="L4" i="28"/>
  <c r="M4" i="28"/>
  <c r="O4" i="28"/>
  <c r="S4" i="28"/>
  <c r="F26" i="31"/>
  <c r="P4" i="28"/>
  <c r="R4" i="28"/>
  <c r="E26" i="31"/>
  <c r="O5" i="26"/>
  <c r="S5" i="26"/>
  <c r="F6" i="31"/>
  <c r="O6" i="26"/>
  <c r="S6" i="26"/>
  <c r="F7" i="31"/>
  <c r="O7" i="26"/>
  <c r="S7" i="26"/>
  <c r="F8" i="31"/>
  <c r="O8" i="26"/>
  <c r="S8" i="26"/>
  <c r="F9" i="31"/>
  <c r="O9" i="26"/>
  <c r="S9" i="26"/>
  <c r="F10" i="31"/>
  <c r="O10" i="26"/>
  <c r="S10" i="26"/>
  <c r="F11" i="31"/>
  <c r="O11" i="26"/>
  <c r="S11" i="26"/>
  <c r="F12" i="31"/>
  <c r="O12" i="26"/>
  <c r="S12" i="26"/>
  <c r="F13" i="31"/>
  <c r="O13" i="26"/>
  <c r="S13" i="26"/>
  <c r="F14" i="31"/>
  <c r="O14" i="26"/>
  <c r="S14" i="26"/>
  <c r="F15" i="31"/>
  <c r="O15" i="26"/>
  <c r="S15" i="26"/>
  <c r="F16" i="31"/>
  <c r="O16" i="26"/>
  <c r="S16" i="26"/>
  <c r="F17" i="31"/>
  <c r="O17" i="26"/>
  <c r="S17" i="26"/>
  <c r="F18" i="31"/>
  <c r="O18" i="26"/>
  <c r="S18" i="26"/>
  <c r="F19" i="31"/>
  <c r="O19" i="26"/>
  <c r="S19" i="26"/>
  <c r="F20" i="31"/>
  <c r="O20" i="26"/>
  <c r="S20" i="26"/>
  <c r="F21" i="31"/>
  <c r="K4" i="26"/>
  <c r="L4" i="26"/>
  <c r="M4" i="26"/>
  <c r="O4" i="26"/>
  <c r="S4" i="26"/>
  <c r="F5" i="31"/>
  <c r="P4" i="26"/>
  <c r="R4" i="26"/>
  <c r="E5" i="31"/>
  <c r="H4" i="8"/>
  <c r="H20" i="8"/>
  <c r="B2" i="23"/>
  <c r="L20" i="8"/>
  <c r="L4" i="8"/>
  <c r="B5" i="23"/>
  <c r="P20" i="8"/>
  <c r="P4" i="8"/>
  <c r="B3" i="23"/>
  <c r="L41" i="8"/>
  <c r="L25" i="8"/>
  <c r="B6" i="23"/>
  <c r="T4" i="8"/>
  <c r="T20" i="8"/>
  <c r="B4" i="23"/>
  <c r="B12" i="23"/>
  <c r="F3" i="2"/>
  <c r="J3" i="2"/>
  <c r="K3" i="2"/>
  <c r="F23" i="2"/>
  <c r="F4" i="2"/>
  <c r="I5" i="2"/>
  <c r="I4" i="2"/>
  <c r="J4" i="2"/>
  <c r="K4" i="2"/>
  <c r="F5" i="2"/>
  <c r="I6" i="2"/>
  <c r="J5" i="2"/>
  <c r="K5" i="2"/>
  <c r="F6" i="2"/>
  <c r="I7" i="2"/>
  <c r="J6" i="2"/>
  <c r="K6" i="2"/>
  <c r="F7" i="2"/>
  <c r="I8" i="2"/>
  <c r="J7" i="2"/>
  <c r="K7" i="2"/>
  <c r="F8" i="2"/>
  <c r="I9" i="2"/>
  <c r="J8" i="2"/>
  <c r="K8" i="2"/>
  <c r="F9" i="2"/>
  <c r="I10" i="2"/>
  <c r="J9" i="2"/>
  <c r="K9" i="2"/>
  <c r="F10" i="2"/>
  <c r="I11" i="2"/>
  <c r="J10" i="2"/>
  <c r="K10" i="2"/>
  <c r="F11" i="2"/>
  <c r="I12" i="2"/>
  <c r="J11" i="2"/>
  <c r="K11" i="2"/>
  <c r="F12" i="2"/>
  <c r="I13" i="2"/>
  <c r="J12" i="2"/>
  <c r="K12" i="2"/>
  <c r="F13" i="2"/>
  <c r="I14" i="2"/>
  <c r="J13" i="2"/>
  <c r="K13" i="2"/>
  <c r="F14" i="2"/>
  <c r="I15" i="2"/>
  <c r="J14" i="2"/>
  <c r="K14" i="2"/>
  <c r="F15" i="2"/>
  <c r="I16" i="2"/>
  <c r="J15" i="2"/>
  <c r="K15" i="2"/>
  <c r="F16" i="2"/>
  <c r="I17" i="2"/>
  <c r="J16" i="2"/>
  <c r="K16" i="2"/>
  <c r="F17" i="2"/>
  <c r="I18" i="2"/>
  <c r="J17" i="2"/>
  <c r="K17" i="2"/>
  <c r="F18" i="2"/>
  <c r="I19" i="2"/>
  <c r="J18" i="2"/>
  <c r="K18" i="2"/>
  <c r="F19" i="2"/>
  <c r="I20" i="2"/>
  <c r="J19" i="2"/>
  <c r="K19" i="2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4" i="30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Q21" i="31"/>
  <c r="P21" i="31"/>
  <c r="Q20" i="31"/>
  <c r="P20" i="31"/>
  <c r="Q19" i="31"/>
  <c r="P19" i="31"/>
  <c r="Q18" i="31"/>
  <c r="P18" i="31"/>
  <c r="Q17" i="31"/>
  <c r="P17" i="31"/>
  <c r="Q16" i="31"/>
  <c r="P16" i="31"/>
  <c r="Q15" i="31"/>
  <c r="P15" i="31"/>
  <c r="Q14" i="31"/>
  <c r="P14" i="31"/>
  <c r="Q13" i="31"/>
  <c r="P13" i="31"/>
  <c r="Q12" i="31"/>
  <c r="P12" i="31"/>
  <c r="Q11" i="31"/>
  <c r="P11" i="31"/>
  <c r="Q10" i="31"/>
  <c r="P10" i="31"/>
  <c r="Q9" i="31"/>
  <c r="P9" i="31"/>
  <c r="Q8" i="31"/>
  <c r="P8" i="31"/>
  <c r="Q7" i="31"/>
  <c r="P7" i="31"/>
  <c r="Q6" i="31"/>
  <c r="P6" i="31"/>
  <c r="Q5" i="31"/>
  <c r="O5" i="31"/>
  <c r="P5" i="31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5" i="30"/>
  <c r="N4" i="30"/>
  <c r="D48" i="29"/>
  <c r="F40" i="29"/>
  <c r="G38" i="29"/>
  <c r="H38" i="29"/>
  <c r="I38" i="29"/>
  <c r="J38" i="29"/>
  <c r="K38" i="29"/>
  <c r="L38" i="29"/>
  <c r="F38" i="29"/>
  <c r="G37" i="29"/>
  <c r="H37" i="29"/>
  <c r="I37" i="29"/>
  <c r="J37" i="29"/>
  <c r="K37" i="29"/>
  <c r="L37" i="29"/>
  <c r="F37" i="29"/>
  <c r="G36" i="29"/>
  <c r="H36" i="29"/>
  <c r="I36" i="29"/>
  <c r="J36" i="29"/>
  <c r="K36" i="29"/>
  <c r="L36" i="29"/>
  <c r="F36" i="29"/>
  <c r="G35" i="29"/>
  <c r="H35" i="29"/>
  <c r="I35" i="29"/>
  <c r="J35" i="29"/>
  <c r="K35" i="29"/>
  <c r="L35" i="29"/>
  <c r="F35" i="29"/>
  <c r="G34" i="29"/>
  <c r="H34" i="29"/>
  <c r="I34" i="29"/>
  <c r="J34" i="29"/>
  <c r="K34" i="29"/>
  <c r="L34" i="29"/>
  <c r="F34" i="29"/>
  <c r="G33" i="29"/>
  <c r="H33" i="29"/>
  <c r="I33" i="29"/>
  <c r="J33" i="29"/>
  <c r="K33" i="29"/>
  <c r="L33" i="29"/>
  <c r="F33" i="29"/>
  <c r="G32" i="29"/>
  <c r="H32" i="29"/>
  <c r="I32" i="29"/>
  <c r="J32" i="29"/>
  <c r="K32" i="29"/>
  <c r="L32" i="29"/>
  <c r="F32" i="29"/>
  <c r="G31" i="29"/>
  <c r="H31" i="29"/>
  <c r="I31" i="29"/>
  <c r="J31" i="29"/>
  <c r="K31" i="29"/>
  <c r="L31" i="29"/>
  <c r="F31" i="29"/>
  <c r="G30" i="29"/>
  <c r="H30" i="29"/>
  <c r="I30" i="29"/>
  <c r="J30" i="29"/>
  <c r="K30" i="29"/>
  <c r="L30" i="29"/>
  <c r="F30" i="29"/>
  <c r="G29" i="29"/>
  <c r="H29" i="29"/>
  <c r="I29" i="29"/>
  <c r="J29" i="29"/>
  <c r="K29" i="29"/>
  <c r="L29" i="29"/>
  <c r="F29" i="29"/>
  <c r="G28" i="29"/>
  <c r="H28" i="29"/>
  <c r="I28" i="29"/>
  <c r="J28" i="29"/>
  <c r="K28" i="29"/>
  <c r="L28" i="29"/>
  <c r="F28" i="29"/>
  <c r="G27" i="29"/>
  <c r="H27" i="29"/>
  <c r="I27" i="29"/>
  <c r="J27" i="29"/>
  <c r="K27" i="29"/>
  <c r="L27" i="29"/>
  <c r="F27" i="29"/>
  <c r="G26" i="29"/>
  <c r="H26" i="29"/>
  <c r="I26" i="29"/>
  <c r="J26" i="29"/>
  <c r="K26" i="29"/>
  <c r="L26" i="29"/>
  <c r="F26" i="29"/>
  <c r="G25" i="29"/>
  <c r="H25" i="29"/>
  <c r="I25" i="29"/>
  <c r="J25" i="29"/>
  <c r="K25" i="29"/>
  <c r="L25" i="29"/>
  <c r="F25" i="29"/>
  <c r="G24" i="29"/>
  <c r="H24" i="29"/>
  <c r="I24" i="29"/>
  <c r="J24" i="29"/>
  <c r="K24" i="29"/>
  <c r="L24" i="29"/>
  <c r="F24" i="29"/>
  <c r="G23" i="29"/>
  <c r="H23" i="29"/>
  <c r="I23" i="29"/>
  <c r="J23" i="29"/>
  <c r="K23" i="29"/>
  <c r="L23" i="29"/>
  <c r="F23" i="29"/>
  <c r="O19" i="29"/>
  <c r="K19" i="29"/>
  <c r="G19" i="29"/>
  <c r="P19" i="29"/>
  <c r="R19" i="29"/>
  <c r="Q19" i="29"/>
  <c r="O18" i="29"/>
  <c r="K18" i="29"/>
  <c r="G18" i="29"/>
  <c r="P18" i="29"/>
  <c r="R18" i="29"/>
  <c r="Q18" i="29"/>
  <c r="O17" i="29"/>
  <c r="K17" i="29"/>
  <c r="G17" i="29"/>
  <c r="P17" i="29"/>
  <c r="R17" i="29"/>
  <c r="Q17" i="29"/>
  <c r="O16" i="29"/>
  <c r="K16" i="29"/>
  <c r="G16" i="29"/>
  <c r="P16" i="29"/>
  <c r="R16" i="29"/>
  <c r="Q16" i="29"/>
  <c r="O15" i="29"/>
  <c r="K15" i="29"/>
  <c r="G15" i="29"/>
  <c r="P15" i="29"/>
  <c r="R15" i="29"/>
  <c r="Q15" i="29"/>
  <c r="O14" i="29"/>
  <c r="K14" i="29"/>
  <c r="G14" i="29"/>
  <c r="P14" i="29"/>
  <c r="R14" i="29"/>
  <c r="Q14" i="29"/>
  <c r="O13" i="29"/>
  <c r="K13" i="29"/>
  <c r="G13" i="29"/>
  <c r="P13" i="29"/>
  <c r="R13" i="29"/>
  <c r="Q13" i="29"/>
  <c r="O12" i="29"/>
  <c r="K12" i="29"/>
  <c r="G12" i="29"/>
  <c r="P12" i="29"/>
  <c r="R12" i="29"/>
  <c r="Q12" i="29"/>
  <c r="O11" i="29"/>
  <c r="K11" i="29"/>
  <c r="G11" i="29"/>
  <c r="P11" i="29"/>
  <c r="R11" i="29"/>
  <c r="Q11" i="29"/>
  <c r="O10" i="29"/>
  <c r="K10" i="29"/>
  <c r="G10" i="29"/>
  <c r="P10" i="29"/>
  <c r="R10" i="29"/>
  <c r="Q10" i="29"/>
  <c r="O9" i="29"/>
  <c r="K9" i="29"/>
  <c r="G9" i="29"/>
  <c r="P9" i="29"/>
  <c r="R9" i="29"/>
  <c r="Q9" i="29"/>
  <c r="O8" i="29"/>
  <c r="K8" i="29"/>
  <c r="G8" i="29"/>
  <c r="P8" i="29"/>
  <c r="R8" i="29"/>
  <c r="Q8" i="29"/>
  <c r="O7" i="29"/>
  <c r="K7" i="29"/>
  <c r="G7" i="29"/>
  <c r="P7" i="29"/>
  <c r="R7" i="29"/>
  <c r="Q7" i="29"/>
  <c r="O6" i="29"/>
  <c r="K6" i="29"/>
  <c r="G6" i="29"/>
  <c r="P6" i="29"/>
  <c r="R6" i="29"/>
  <c r="Q6" i="29"/>
  <c r="O5" i="29"/>
  <c r="K5" i="29"/>
  <c r="G5" i="29"/>
  <c r="P5" i="29"/>
  <c r="R5" i="29"/>
  <c r="Q5" i="29"/>
  <c r="O4" i="29"/>
  <c r="K4" i="29"/>
  <c r="G4" i="29"/>
  <c r="P4" i="29"/>
  <c r="R4" i="29"/>
  <c r="Q4" i="29"/>
  <c r="N4" i="28"/>
  <c r="D48" i="27"/>
  <c r="F40" i="27"/>
  <c r="I38" i="27"/>
  <c r="J38" i="27"/>
  <c r="K38" i="27"/>
  <c r="L38" i="27"/>
  <c r="F38" i="27"/>
  <c r="G37" i="27"/>
  <c r="H37" i="27"/>
  <c r="I37" i="27"/>
  <c r="J37" i="27"/>
  <c r="K37" i="27"/>
  <c r="L37" i="27"/>
  <c r="F37" i="27"/>
  <c r="G36" i="27"/>
  <c r="H36" i="27"/>
  <c r="I36" i="27"/>
  <c r="J36" i="27"/>
  <c r="K36" i="27"/>
  <c r="L36" i="27"/>
  <c r="F36" i="27"/>
  <c r="G35" i="27"/>
  <c r="H35" i="27"/>
  <c r="I35" i="27"/>
  <c r="J35" i="27"/>
  <c r="K35" i="27"/>
  <c r="L35" i="27"/>
  <c r="F35" i="27"/>
  <c r="G34" i="27"/>
  <c r="H34" i="27"/>
  <c r="I34" i="27"/>
  <c r="J34" i="27"/>
  <c r="K34" i="27"/>
  <c r="L34" i="27"/>
  <c r="F34" i="27"/>
  <c r="G33" i="27"/>
  <c r="H33" i="27"/>
  <c r="I33" i="27"/>
  <c r="J33" i="27"/>
  <c r="K33" i="27"/>
  <c r="L33" i="27"/>
  <c r="F33" i="27"/>
  <c r="G32" i="27"/>
  <c r="H32" i="27"/>
  <c r="I32" i="27"/>
  <c r="J32" i="27"/>
  <c r="K32" i="27"/>
  <c r="L32" i="27"/>
  <c r="F32" i="27"/>
  <c r="G31" i="27"/>
  <c r="H31" i="27"/>
  <c r="I31" i="27"/>
  <c r="J31" i="27"/>
  <c r="K31" i="27"/>
  <c r="L31" i="27"/>
  <c r="F31" i="27"/>
  <c r="G30" i="27"/>
  <c r="H30" i="27"/>
  <c r="I30" i="27"/>
  <c r="J30" i="27"/>
  <c r="K30" i="27"/>
  <c r="L30" i="27"/>
  <c r="F30" i="27"/>
  <c r="G29" i="27"/>
  <c r="H29" i="27"/>
  <c r="I29" i="27"/>
  <c r="J29" i="27"/>
  <c r="K29" i="27"/>
  <c r="L29" i="27"/>
  <c r="F29" i="27"/>
  <c r="G28" i="27"/>
  <c r="H28" i="27"/>
  <c r="I28" i="27"/>
  <c r="J28" i="27"/>
  <c r="K28" i="27"/>
  <c r="L28" i="27"/>
  <c r="F28" i="27"/>
  <c r="G27" i="27"/>
  <c r="H27" i="27"/>
  <c r="I27" i="27"/>
  <c r="J27" i="27"/>
  <c r="K27" i="27"/>
  <c r="L27" i="27"/>
  <c r="F27" i="27"/>
  <c r="G26" i="27"/>
  <c r="H26" i="27"/>
  <c r="I26" i="27"/>
  <c r="J26" i="27"/>
  <c r="K26" i="27"/>
  <c r="L26" i="27"/>
  <c r="F26" i="27"/>
  <c r="G25" i="27"/>
  <c r="H25" i="27"/>
  <c r="I25" i="27"/>
  <c r="J25" i="27"/>
  <c r="K25" i="27"/>
  <c r="L25" i="27"/>
  <c r="F25" i="27"/>
  <c r="G24" i="27"/>
  <c r="H24" i="27"/>
  <c r="I24" i="27"/>
  <c r="J24" i="27"/>
  <c r="K24" i="27"/>
  <c r="L24" i="27"/>
  <c r="F24" i="27"/>
  <c r="G23" i="27"/>
  <c r="H23" i="27"/>
  <c r="I23" i="27"/>
  <c r="J23" i="27"/>
  <c r="K23" i="27"/>
  <c r="L23" i="27"/>
  <c r="F23" i="27"/>
  <c r="O19" i="27"/>
  <c r="K19" i="27"/>
  <c r="G19" i="27"/>
  <c r="P19" i="27"/>
  <c r="R19" i="27"/>
  <c r="Q19" i="27"/>
  <c r="O18" i="27"/>
  <c r="K18" i="27"/>
  <c r="G18" i="27"/>
  <c r="P18" i="27"/>
  <c r="R18" i="27"/>
  <c r="Q18" i="27"/>
  <c r="O17" i="27"/>
  <c r="K17" i="27"/>
  <c r="G17" i="27"/>
  <c r="P17" i="27"/>
  <c r="R17" i="27"/>
  <c r="Q17" i="27"/>
  <c r="O16" i="27"/>
  <c r="K16" i="27"/>
  <c r="G16" i="27"/>
  <c r="P16" i="27"/>
  <c r="R16" i="27"/>
  <c r="Q16" i="27"/>
  <c r="O15" i="27"/>
  <c r="K15" i="27"/>
  <c r="G15" i="27"/>
  <c r="P15" i="27"/>
  <c r="R15" i="27"/>
  <c r="Q15" i="27"/>
  <c r="O14" i="27"/>
  <c r="K14" i="27"/>
  <c r="G14" i="27"/>
  <c r="P14" i="27"/>
  <c r="R14" i="27"/>
  <c r="Q14" i="27"/>
  <c r="O13" i="27"/>
  <c r="K13" i="27"/>
  <c r="G13" i="27"/>
  <c r="P13" i="27"/>
  <c r="R13" i="27"/>
  <c r="Q13" i="27"/>
  <c r="O12" i="27"/>
  <c r="K12" i="27"/>
  <c r="G12" i="27"/>
  <c r="P12" i="27"/>
  <c r="R12" i="27"/>
  <c r="Q12" i="27"/>
  <c r="O11" i="27"/>
  <c r="K11" i="27"/>
  <c r="G11" i="27"/>
  <c r="P11" i="27"/>
  <c r="R11" i="27"/>
  <c r="Q11" i="27"/>
  <c r="O10" i="27"/>
  <c r="K10" i="27"/>
  <c r="G10" i="27"/>
  <c r="P10" i="27"/>
  <c r="R10" i="27"/>
  <c r="Q10" i="27"/>
  <c r="O9" i="27"/>
  <c r="K9" i="27"/>
  <c r="G9" i="27"/>
  <c r="P9" i="27"/>
  <c r="R9" i="27"/>
  <c r="Q9" i="27"/>
  <c r="L8" i="27"/>
  <c r="O8" i="27"/>
  <c r="H8" i="27"/>
  <c r="K8" i="27"/>
  <c r="D8" i="27"/>
  <c r="G8" i="27"/>
  <c r="P8" i="27"/>
  <c r="R8" i="27"/>
  <c r="Q8" i="27"/>
  <c r="L7" i="27"/>
  <c r="O7" i="27"/>
  <c r="H7" i="27"/>
  <c r="K7" i="27"/>
  <c r="D7" i="27"/>
  <c r="G7" i="27"/>
  <c r="P7" i="27"/>
  <c r="R7" i="27"/>
  <c r="Q7" i="27"/>
  <c r="O6" i="27"/>
  <c r="K6" i="27"/>
  <c r="G6" i="27"/>
  <c r="P6" i="27"/>
  <c r="R6" i="27"/>
  <c r="Q6" i="27"/>
  <c r="O5" i="27"/>
  <c r="K5" i="27"/>
  <c r="G5" i="27"/>
  <c r="P5" i="27"/>
  <c r="R5" i="27"/>
  <c r="Q5" i="27"/>
  <c r="O4" i="27"/>
  <c r="K4" i="27"/>
  <c r="G4" i="27"/>
  <c r="P4" i="27"/>
  <c r="R4" i="27"/>
  <c r="Q4" i="27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N4" i="26"/>
  <c r="D48" i="25"/>
  <c r="F40" i="25"/>
  <c r="G38" i="25"/>
  <c r="H38" i="25"/>
  <c r="I38" i="25"/>
  <c r="J38" i="25"/>
  <c r="K38" i="25"/>
  <c r="L38" i="25"/>
  <c r="F38" i="25"/>
  <c r="G37" i="25"/>
  <c r="H37" i="25"/>
  <c r="I37" i="25"/>
  <c r="J37" i="25"/>
  <c r="K37" i="25"/>
  <c r="L37" i="25"/>
  <c r="F37" i="25"/>
  <c r="G36" i="25"/>
  <c r="H36" i="25"/>
  <c r="I36" i="25"/>
  <c r="J36" i="25"/>
  <c r="L36" i="25"/>
  <c r="F36" i="25"/>
  <c r="G35" i="25"/>
  <c r="H35" i="25"/>
  <c r="I35" i="25"/>
  <c r="J35" i="25"/>
  <c r="K35" i="25"/>
  <c r="L35" i="25"/>
  <c r="F35" i="25"/>
  <c r="G34" i="25"/>
  <c r="H34" i="25"/>
  <c r="I34" i="25"/>
  <c r="J34" i="25"/>
  <c r="K34" i="25"/>
  <c r="L34" i="25"/>
  <c r="F34" i="25"/>
  <c r="G33" i="25"/>
  <c r="H33" i="25"/>
  <c r="I33" i="25"/>
  <c r="J33" i="25"/>
  <c r="K33" i="25"/>
  <c r="L33" i="25"/>
  <c r="F33" i="25"/>
  <c r="G32" i="25"/>
  <c r="H32" i="25"/>
  <c r="I32" i="25"/>
  <c r="J32" i="25"/>
  <c r="K32" i="25"/>
  <c r="L32" i="25"/>
  <c r="F32" i="25"/>
  <c r="G31" i="25"/>
  <c r="H31" i="25"/>
  <c r="I31" i="25"/>
  <c r="J31" i="25"/>
  <c r="K31" i="25"/>
  <c r="L31" i="25"/>
  <c r="F31" i="25"/>
  <c r="G30" i="25"/>
  <c r="H30" i="25"/>
  <c r="I30" i="25"/>
  <c r="J30" i="25"/>
  <c r="K30" i="25"/>
  <c r="L30" i="25"/>
  <c r="F30" i="25"/>
  <c r="G29" i="25"/>
  <c r="H29" i="25"/>
  <c r="I29" i="25"/>
  <c r="J29" i="25"/>
  <c r="K29" i="25"/>
  <c r="L29" i="25"/>
  <c r="F29" i="25"/>
  <c r="G28" i="25"/>
  <c r="H28" i="25"/>
  <c r="I28" i="25"/>
  <c r="J28" i="25"/>
  <c r="K28" i="25"/>
  <c r="L28" i="25"/>
  <c r="F28" i="25"/>
  <c r="G27" i="25"/>
  <c r="H27" i="25"/>
  <c r="I27" i="25"/>
  <c r="J27" i="25"/>
  <c r="K27" i="25"/>
  <c r="L27" i="25"/>
  <c r="F27" i="25"/>
  <c r="G26" i="25"/>
  <c r="H26" i="25"/>
  <c r="I26" i="25"/>
  <c r="J26" i="25"/>
  <c r="K26" i="25"/>
  <c r="L26" i="25"/>
  <c r="F26" i="25"/>
  <c r="G25" i="25"/>
  <c r="H25" i="25"/>
  <c r="I25" i="25"/>
  <c r="J25" i="25"/>
  <c r="K25" i="25"/>
  <c r="L25" i="25"/>
  <c r="F25" i="25"/>
  <c r="G24" i="25"/>
  <c r="H24" i="25"/>
  <c r="I24" i="25"/>
  <c r="J24" i="25"/>
  <c r="K24" i="25"/>
  <c r="L24" i="25"/>
  <c r="F24" i="25"/>
  <c r="G23" i="25"/>
  <c r="H23" i="25"/>
  <c r="I23" i="25"/>
  <c r="J23" i="25"/>
  <c r="K23" i="25"/>
  <c r="L23" i="25"/>
  <c r="F23" i="25"/>
  <c r="O19" i="25"/>
  <c r="K19" i="25"/>
  <c r="G19" i="25"/>
  <c r="P19" i="25"/>
  <c r="R19" i="25"/>
  <c r="Q19" i="25"/>
  <c r="O18" i="25"/>
  <c r="K18" i="25"/>
  <c r="G18" i="25"/>
  <c r="P18" i="25"/>
  <c r="R18" i="25"/>
  <c r="Q18" i="25"/>
  <c r="O17" i="25"/>
  <c r="K17" i="25"/>
  <c r="G17" i="25"/>
  <c r="P17" i="25"/>
  <c r="R17" i="25"/>
  <c r="Q17" i="25"/>
  <c r="O16" i="25"/>
  <c r="K16" i="25"/>
  <c r="G16" i="25"/>
  <c r="P16" i="25"/>
  <c r="R16" i="25"/>
  <c r="Q16" i="25"/>
  <c r="O15" i="25"/>
  <c r="K15" i="25"/>
  <c r="G15" i="25"/>
  <c r="P15" i="25"/>
  <c r="R15" i="25"/>
  <c r="Q15" i="25"/>
  <c r="O14" i="25"/>
  <c r="K14" i="25"/>
  <c r="G14" i="25"/>
  <c r="P14" i="25"/>
  <c r="R14" i="25"/>
  <c r="Q14" i="25"/>
  <c r="O13" i="25"/>
  <c r="K13" i="25"/>
  <c r="G13" i="25"/>
  <c r="P13" i="25"/>
  <c r="R13" i="25"/>
  <c r="Q13" i="25"/>
  <c r="O12" i="25"/>
  <c r="K12" i="25"/>
  <c r="G12" i="25"/>
  <c r="P12" i="25"/>
  <c r="R12" i="25"/>
  <c r="Q12" i="25"/>
  <c r="O11" i="25"/>
  <c r="K11" i="25"/>
  <c r="G11" i="25"/>
  <c r="P11" i="25"/>
  <c r="R11" i="25"/>
  <c r="Q11" i="25"/>
  <c r="O10" i="25"/>
  <c r="K10" i="25"/>
  <c r="G10" i="25"/>
  <c r="P10" i="25"/>
  <c r="R10" i="25"/>
  <c r="Q10" i="25"/>
  <c r="O9" i="25"/>
  <c r="K9" i="25"/>
  <c r="G9" i="25"/>
  <c r="P9" i="25"/>
  <c r="R9" i="25"/>
  <c r="Q9" i="25"/>
  <c r="O8" i="25"/>
  <c r="K8" i="25"/>
  <c r="G8" i="25"/>
  <c r="P8" i="25"/>
  <c r="R8" i="25"/>
  <c r="Q8" i="25"/>
  <c r="O7" i="25"/>
  <c r="K7" i="25"/>
  <c r="G7" i="25"/>
  <c r="P7" i="25"/>
  <c r="R7" i="25"/>
  <c r="Q7" i="25"/>
  <c r="O6" i="25"/>
  <c r="K6" i="25"/>
  <c r="G6" i="25"/>
  <c r="P6" i="25"/>
  <c r="R6" i="25"/>
  <c r="Q6" i="25"/>
  <c r="O5" i="25"/>
  <c r="K5" i="25"/>
  <c r="G5" i="25"/>
  <c r="P5" i="25"/>
  <c r="R5" i="25"/>
  <c r="Q5" i="25"/>
  <c r="O4" i="25"/>
  <c r="K4" i="25"/>
  <c r="G4" i="25"/>
  <c r="P4" i="25"/>
  <c r="R4" i="25"/>
  <c r="Q4" i="25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J20" i="2"/>
  <c r="K20" i="2"/>
  <c r="C101" i="7"/>
  <c r="D101" i="7"/>
  <c r="E101" i="7"/>
  <c r="F101" i="7"/>
  <c r="G101" i="7"/>
  <c r="B8" i="23"/>
  <c r="P5" i="22"/>
  <c r="W5" i="22"/>
  <c r="P6" i="22"/>
  <c r="W6" i="22"/>
  <c r="P7" i="22"/>
  <c r="W7" i="22"/>
  <c r="P8" i="22"/>
  <c r="W8" i="22"/>
  <c r="P9" i="22"/>
  <c r="W9" i="22"/>
  <c r="P10" i="22"/>
  <c r="W10" i="22"/>
  <c r="P11" i="22"/>
  <c r="W11" i="22"/>
  <c r="P12" i="22"/>
  <c r="W12" i="22"/>
  <c r="P13" i="22"/>
  <c r="W13" i="22"/>
  <c r="P14" i="22"/>
  <c r="W14" i="22"/>
  <c r="P15" i="22"/>
  <c r="W15" i="22"/>
  <c r="P16" i="22"/>
  <c r="W16" i="22"/>
  <c r="P17" i="22"/>
  <c r="W17" i="22"/>
  <c r="P18" i="22"/>
  <c r="W18" i="22"/>
  <c r="P19" i="22"/>
  <c r="W19" i="22"/>
  <c r="P20" i="22"/>
  <c r="W20" i="22"/>
  <c r="P4" i="22"/>
  <c r="W4" i="22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I3" i="2"/>
  <c r="D101" i="17"/>
  <c r="E101" i="17"/>
  <c r="F101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D82" i="17"/>
  <c r="E82" i="17"/>
  <c r="F82" i="17"/>
  <c r="D83" i="17"/>
  <c r="E83" i="17"/>
  <c r="F83" i="17"/>
  <c r="D84" i="17"/>
  <c r="E84" i="17"/>
  <c r="F84" i="17"/>
  <c r="D85" i="17"/>
  <c r="E85" i="17"/>
  <c r="F85" i="17"/>
  <c r="D86" i="17"/>
  <c r="E86" i="17"/>
  <c r="F86" i="17"/>
  <c r="D87" i="17"/>
  <c r="E87" i="17"/>
  <c r="F87" i="17"/>
  <c r="D88" i="17"/>
  <c r="E88" i="17"/>
  <c r="F88" i="17"/>
  <c r="D89" i="17"/>
  <c r="E89" i="17"/>
  <c r="F89" i="17"/>
  <c r="D90" i="17"/>
  <c r="E90" i="17"/>
  <c r="F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65" i="17"/>
  <c r="E65" i="17"/>
  <c r="F65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29" i="17"/>
  <c r="E29" i="17"/>
  <c r="F29" i="17"/>
  <c r="D30" i="17"/>
  <c r="E30" i="17"/>
  <c r="F30" i="17"/>
  <c r="D28" i="17"/>
  <c r="E28" i="17"/>
  <c r="F28" i="17"/>
  <c r="D26" i="17"/>
  <c r="E26" i="17"/>
  <c r="F26" i="17"/>
  <c r="D27" i="17"/>
  <c r="E27" i="17"/>
  <c r="F27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0" i="17"/>
  <c r="E10" i="17"/>
  <c r="F10" i="17"/>
  <c r="D11" i="17"/>
  <c r="E11" i="17"/>
  <c r="F11" i="17"/>
  <c r="D9" i="17"/>
  <c r="E9" i="17"/>
  <c r="F9" i="17"/>
  <c r="D6" i="17"/>
  <c r="E6" i="17"/>
  <c r="F6" i="17"/>
  <c r="D7" i="17"/>
  <c r="E7" i="17"/>
  <c r="F7" i="17"/>
  <c r="D8" i="17"/>
  <c r="E8" i="17"/>
  <c r="F8" i="17"/>
  <c r="I18" i="4"/>
  <c r="I1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18" i="4"/>
  <c r="J19" i="4"/>
  <c r="I20" i="4"/>
  <c r="J20" i="4"/>
  <c r="D5" i="17"/>
  <c r="E5" i="17"/>
  <c r="F5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5" i="23"/>
  <c r="C15" i="23"/>
  <c r="C16" i="23"/>
  <c r="C17" i="23"/>
  <c r="C20" i="23"/>
  <c r="C21" i="23"/>
  <c r="C24" i="23"/>
  <c r="C18" i="23"/>
  <c r="C25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C3" i="5"/>
  <c r="D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5" i="22"/>
  <c r="U5" i="22"/>
  <c r="L5" i="22"/>
  <c r="V5" i="22"/>
  <c r="X5" i="22"/>
  <c r="H6" i="22"/>
  <c r="U6" i="22"/>
  <c r="L6" i="22"/>
  <c r="V6" i="22"/>
  <c r="X6" i="22"/>
  <c r="H7" i="22"/>
  <c r="U7" i="22"/>
  <c r="L7" i="22"/>
  <c r="V7" i="22"/>
  <c r="X7" i="22"/>
  <c r="H8" i="22"/>
  <c r="U8" i="22"/>
  <c r="L8" i="22"/>
  <c r="V8" i="22"/>
  <c r="X8" i="22"/>
  <c r="H9" i="22"/>
  <c r="U9" i="22"/>
  <c r="L9" i="22"/>
  <c r="V9" i="22"/>
  <c r="X9" i="22"/>
  <c r="H10" i="22"/>
  <c r="U10" i="22"/>
  <c r="L10" i="22"/>
  <c r="V10" i="22"/>
  <c r="X10" i="22"/>
  <c r="H11" i="22"/>
  <c r="U11" i="22"/>
  <c r="L11" i="22"/>
  <c r="V11" i="22"/>
  <c r="X11" i="22"/>
  <c r="H12" i="22"/>
  <c r="U12" i="22"/>
  <c r="L12" i="22"/>
  <c r="V12" i="22"/>
  <c r="X12" i="22"/>
  <c r="H13" i="22"/>
  <c r="U13" i="22"/>
  <c r="L13" i="22"/>
  <c r="V13" i="22"/>
  <c r="X13" i="22"/>
  <c r="H14" i="22"/>
  <c r="U14" i="22"/>
  <c r="L14" i="22"/>
  <c r="V14" i="22"/>
  <c r="X14" i="22"/>
  <c r="H15" i="22"/>
  <c r="U15" i="22"/>
  <c r="L15" i="22"/>
  <c r="V15" i="22"/>
  <c r="X15" i="22"/>
  <c r="H16" i="22"/>
  <c r="U16" i="22"/>
  <c r="L16" i="22"/>
  <c r="V16" i="22"/>
  <c r="X16" i="22"/>
  <c r="H17" i="22"/>
  <c r="U17" i="22"/>
  <c r="L17" i="22"/>
  <c r="V17" i="22"/>
  <c r="X17" i="22"/>
  <c r="H18" i="22"/>
  <c r="U18" i="22"/>
  <c r="L18" i="22"/>
  <c r="V18" i="22"/>
  <c r="X18" i="22"/>
  <c r="H19" i="22"/>
  <c r="U19" i="22"/>
  <c r="L19" i="22"/>
  <c r="V19" i="22"/>
  <c r="X19" i="22"/>
  <c r="H20" i="22"/>
  <c r="U20" i="22"/>
  <c r="L20" i="22"/>
  <c r="V20" i="22"/>
  <c r="X20" i="22"/>
  <c r="H4" i="22"/>
  <c r="U4" i="22"/>
  <c r="L4" i="22"/>
  <c r="V4" i="22"/>
  <c r="X4" i="22"/>
  <c r="R4" i="22"/>
  <c r="B10" i="23"/>
  <c r="B9" i="23"/>
  <c r="M41" i="8"/>
  <c r="M25" i="8"/>
  <c r="C6" i="23"/>
  <c r="M20" i="8"/>
  <c r="M4" i="8"/>
  <c r="C5" i="23"/>
  <c r="U4" i="8"/>
  <c r="U20" i="8"/>
  <c r="C4" i="23"/>
  <c r="Q4" i="8"/>
  <c r="Q20" i="8"/>
  <c r="C3" i="23"/>
  <c r="I4" i="8"/>
  <c r="I20" i="8"/>
  <c r="C2" i="23"/>
  <c r="C19" i="2"/>
  <c r="C4" i="2"/>
  <c r="C5" i="2"/>
  <c r="C6" i="2"/>
  <c r="C7" i="2"/>
  <c r="C8" i="2"/>
  <c r="C9" i="2"/>
  <c r="C10" i="2"/>
  <c r="C11" i="2"/>
  <c r="C12" i="2"/>
  <c r="C13" i="2"/>
  <c r="F20" i="2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Q20" i="22"/>
  <c r="R20" i="22"/>
  <c r="S20" i="22"/>
  <c r="T20" i="22"/>
  <c r="Q20" i="3"/>
  <c r="R20" i="3"/>
  <c r="S20" i="3"/>
  <c r="C14" i="2"/>
  <c r="C15" i="2"/>
  <c r="C16" i="2"/>
  <c r="C17" i="2"/>
  <c r="C18" i="2"/>
  <c r="C20" i="2"/>
  <c r="C3" i="2"/>
  <c r="H19" i="8"/>
  <c r="L40" i="8"/>
  <c r="D22" i="23"/>
  <c r="L19" i="8"/>
  <c r="T19" i="8"/>
  <c r="P19" i="8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3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4" i="4"/>
  <c r="J5" i="4"/>
  <c r="J6" i="4"/>
  <c r="J7" i="4"/>
  <c r="J8" i="4"/>
  <c r="J9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1" i="23"/>
  <c r="D15" i="23"/>
  <c r="D16" i="23"/>
  <c r="C19" i="23"/>
  <c r="C22" i="23"/>
  <c r="C23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<sst xmlns="http://schemas.openxmlformats.org/spreadsheetml/2006/main" count="925" uniqueCount="368">
  <si>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</si>
  <si>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</si>
  <si>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</si>
  <si>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</si>
  <si>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</si>
  <si>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</si>
  <si>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</si>
  <si>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</si>
  <si>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</si>
  <si>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</si>
  <si>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</si>
  <si>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</si>
  <si>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</si>
  <si>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</si>
  <si>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</si>
  <si>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</si>
  <si>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</si>
  <si>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</si>
  <si>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</si>
  <si>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</si>
  <si>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</si>
  <si>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</si>
  <si>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</si>
  <si>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</si>
  <si>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</si>
  <si>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</si>
  <si>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</si>
  <si>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</si>
  <si>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</si>
  <si>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</si>
  <si>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</si>
  <si>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</si>
  <si>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</si>
  <si>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</si>
  <si>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</si>
  <si>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</si>
  <si>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</si>
  <si>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</si>
  <si>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</si>
  <si>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</si>
  <si>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</si>
  <si>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</si>
  <si>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</si>
  <si>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</si>
  <si>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</si>
  <si>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</si>
  <si>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</si>
  <si>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</si>
  <si>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</si>
  <si>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</si>
  <si>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</si>
  <si>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</si>
  <si>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</si>
  <si>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</si>
  <si>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</si>
  <si>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</si>
  <si>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</si>
  <si>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</si>
  <si>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</si>
  <si>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</si>
  <si>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</si>
  <si>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</si>
  <si>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</si>
  <si>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</si>
  <si>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</si>
  <si>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</si>
  <si>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</si>
  <si>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</si>
  <si>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</si>
  <si>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</si>
  <si>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</si>
  <si>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</si>
  <si>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</si>
  <si>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</si>
  <si>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</si>
  <si>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</si>
  <si>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</si>
  <si>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</si>
  <si>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</si>
  <si>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</si>
  <si>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</si>
  <si>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</si>
  <si>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</si>
  <si>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</si>
  <si>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</si>
  <si>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</si>
  <si>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</si>
  <si>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</si>
  <si>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</si>
  <si>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</si>
  <si>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</si>
  <si>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</si>
  <si>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</si>
  <si>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</si>
  <si>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</si>
  <si>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</si>
  <si>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</si>
  <si>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</si>
  <si>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</si>
  <si>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</si>
  <si>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</si>
  <si>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</si>
  <si>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</si>
  <si>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</si>
  <si>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</si>
  <si>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</si>
  <si>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</si>
  <si>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</si>
  <si>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</si>
  <si>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</si>
  <si>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</si>
  <si>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</si>
  <si>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</si>
  <si>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</si>
  <si>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</si>
  <si>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</si>
  <si>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</si>
  <si>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</si>
  <si>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</si>
  <si>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</si>
  <si>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</si>
  <si>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</si>
  <si>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</si>
  <si>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</si>
  <si>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</si>
  <si>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</si>
  <si>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</si>
  <si>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</si>
  <si>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</si>
  <si>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x</t>
  </si>
  <si>
    <t>2x mol pyruvate produced</t>
  </si>
  <si>
    <t>2x</t>
  </si>
  <si>
    <t>z mol lactate produced</t>
  </si>
  <si>
    <t>z</t>
  </si>
  <si>
    <t>f mol formate produced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</si>
  <si>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</si>
  <si>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</si>
  <si>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</si>
  <si>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</si>
  <si>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</si>
  <si>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</si>
  <si>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</si>
  <si>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</si>
  <si>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</si>
  <si>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</si>
  <si>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</si>
  <si>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</si>
  <si>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</si>
  <si>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LOG</t>
  </si>
  <si>
    <t>STDEV LOG(Count/mL)</t>
  </si>
  <si>
    <t>0.40</t>
  </si>
  <si>
    <t>0.20</t>
  </si>
  <si>
    <t xml:space="preserve">2x-z-y </t>
  </si>
  <si>
    <t>2x-z-y</t>
  </si>
  <si>
    <t>2x-z-y-f mol H2</t>
  </si>
  <si>
    <t>2x-z-y-f</t>
  </si>
  <si>
    <t>2x-z</t>
  </si>
  <si>
    <t>x mol D-fructose consumed</t>
  </si>
  <si>
    <t>2x-z-f mol CO2produced</t>
  </si>
  <si>
    <t>y mol acetate consumed</t>
  </si>
  <si>
    <t>2x-z+y mol acetyl-CoA produced</t>
  </si>
  <si>
    <t>(2x-2+y)/2 mol butyrate produced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</si>
  <si>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</si>
  <si>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</si>
  <si>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</si>
  <si>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</si>
  <si>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</si>
  <si>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</si>
  <si>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</si>
  <si>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</si>
  <si>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</si>
  <si>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</si>
  <si>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</si>
  <si>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</si>
  <si>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</si>
  <si>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</si>
  <si>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</si>
  <si>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</si>
  <si>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</si>
  <si>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</si>
  <si>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r>
      <rPr>
        <i/>
        <sz val="11"/>
        <color theme="1"/>
        <rFont val="Calibri"/>
        <family val="2"/>
        <scheme val="minor"/>
      </rPr>
      <t>Roseburia intestinalis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Faecalibacterium prausnitzii</t>
    </r>
    <r>
      <rPr>
        <sz val="11"/>
        <color theme="1"/>
        <rFont val="Calibri"/>
        <family val="2"/>
        <scheme val="minor"/>
      </rPr>
      <t xml:space="preserve"> DSM 17677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Blautia hydrogenotrophica</t>
    </r>
    <r>
      <rPr>
        <sz val="11"/>
        <color theme="1"/>
        <rFont val="Calibri"/>
        <family val="2"/>
        <scheme val="minor"/>
      </rPr>
      <t xml:space="preserve"> DSM 10507</t>
    </r>
    <r>
      <rPr>
        <vertAlign val="superscript"/>
        <sz val="11"/>
        <color theme="1"/>
        <rFont val="Calibri"/>
        <family val="2"/>
        <scheme val="minor"/>
      </rPr>
      <t>T</t>
    </r>
  </si>
  <si>
    <t>Na-acetate trihydrate (0 mM)</t>
  </si>
  <si>
    <t>0.00</t>
  </si>
  <si>
    <t>Acetic acid produced</t>
  </si>
  <si>
    <t>Formic acid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</si>
  <si>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</si>
  <si>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</si>
  <si>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</si>
  <si>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</si>
  <si>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</si>
  <si>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</si>
  <si>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</si>
  <si>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</si>
  <si>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</si>
  <si>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</si>
  <si>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</si>
  <si>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</si>
  <si>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</si>
  <si>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</si>
  <si>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</si>
  <si>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</si>
  <si>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</si>
  <si>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</si>
  <si>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</si>
  <si>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</si>
  <si>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</si>
  <si>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</si>
  <si>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</si>
  <si>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</si>
  <si>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</si>
  <si>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</si>
  <si>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</si>
  <si>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</si>
  <si>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</si>
  <si>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</si>
  <si>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</si>
  <si>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</si>
  <si>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</si>
  <si>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</si>
  <si>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</si>
  <si>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</si>
  <si>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</si>
  <si>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</si>
  <si>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</si>
  <si>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</si>
  <si>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</si>
  <si>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</si>
  <si>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</si>
  <si>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</si>
  <si>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</si>
  <si>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</si>
  <si>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</si>
  <si>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</si>
  <si>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</si>
  <si>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</si>
  <si>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</si>
  <si>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</si>
  <si>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</si>
  <si>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</si>
  <si>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</si>
  <si>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</si>
  <si>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</si>
  <si>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</si>
  <si>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</si>
  <si>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</si>
  <si>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</si>
  <si>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</si>
  <si>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</si>
  <si>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</si>
  <si>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IPC value epp 7</t>
  </si>
  <si>
    <t>plate 20150807</t>
  </si>
  <si>
    <t>plate 20150831</t>
  </si>
  <si>
    <t>plate 20150902</t>
  </si>
  <si>
    <t>IPC value epp 6</t>
  </si>
  <si>
    <t>plate 20150903</t>
  </si>
  <si>
    <t>plate 20150908</t>
  </si>
  <si>
    <t>plate 20150910</t>
  </si>
  <si>
    <t>Total average</t>
  </si>
  <si>
    <t>Outliers</t>
  </si>
  <si>
    <t>CT1 normalized per mL</t>
  </si>
  <si>
    <t>CT2 normalized per mL</t>
  </si>
  <si>
    <t>CT3 normalized per mL</t>
  </si>
  <si>
    <t>Average CT normalized per mL</t>
  </si>
  <si>
    <t>IPC FP10 epp</t>
  </si>
  <si>
    <t>Ct Threshold</t>
  </si>
  <si>
    <t>baseline</t>
  </si>
  <si>
    <t>F. prausnitzii</t>
  </si>
  <si>
    <t>STDV  (cells/ml medium)</t>
  </si>
  <si>
    <t>IPC value epp 10 plate 20150707</t>
  </si>
  <si>
    <t>IPC value  epp 10 plate 20150702</t>
  </si>
  <si>
    <t>IPC value epp 10 plate 20150708</t>
  </si>
  <si>
    <t>IPC value epp 10 plate 20150709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</si>
  <si>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</si>
  <si>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</si>
  <si>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</si>
  <si>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</si>
  <si>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</si>
  <si>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</si>
  <si>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</si>
  <si>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</si>
  <si>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</si>
  <si>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</si>
  <si>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</si>
  <si>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</si>
  <si>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</si>
  <si>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Total Average</t>
  </si>
  <si>
    <t>IPC BH10 epp</t>
  </si>
  <si>
    <t>Taqman probe BH4O</t>
  </si>
  <si>
    <t>B. hydrogenotrophica</t>
  </si>
  <si>
    <t xml:space="preserve">Dilution per ml </t>
  </si>
  <si>
    <t>IPC value  epp 10 plate  20150724</t>
  </si>
  <si>
    <t>IPC value  epp 10 plate  20150821</t>
  </si>
  <si>
    <t>IPC value  epp 9 plate  20150901</t>
  </si>
  <si>
    <t>IPC value  epp 9 plate  20150902</t>
  </si>
  <si>
    <t>IPC value  epp 8 plate  20150902</t>
  </si>
  <si>
    <t>IPC value  epp 8 plate  20150903</t>
  </si>
  <si>
    <t>IPC value  epp 8 plate  20150907</t>
  </si>
  <si>
    <t>IPC value  epp 8 plate  20150908</t>
  </si>
  <si>
    <t>IPC value  epp 7 plate  20150910</t>
  </si>
  <si>
    <t xml:space="preserve">Total cell count </t>
  </si>
  <si>
    <t>plate 20150911</t>
  </si>
  <si>
    <t>IPC value epp 5 plate 20150911</t>
  </si>
  <si>
    <t>IPC value  epp 7 plate  20150914</t>
  </si>
  <si>
    <t>IPC value  epp 6 plate  20150910</t>
  </si>
  <si>
    <t>IPC value epp 5</t>
  </si>
  <si>
    <t>plate 20150922</t>
  </si>
  <si>
    <t>IPC value epp 5 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</si>
  <si>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</si>
  <si>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</si>
  <si>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</si>
  <si>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</si>
  <si>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</si>
  <si>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</si>
  <si>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</si>
  <si>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</si>
  <si>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</si>
  <si>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</si>
  <si>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</si>
  <si>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</si>
  <si>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</si>
  <si>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IPC value  epp 6 plate  20150929</t>
  </si>
  <si>
    <t>IPC value  epp 6 plate  20151002</t>
  </si>
  <si>
    <t>IPC value  epp 5 plate  20151009</t>
  </si>
  <si>
    <t>IPC value  epp 5 plate  20151111</t>
  </si>
  <si>
    <t>IPC value  epp 4 plate  20151112</t>
  </si>
  <si>
    <t>IPC value epp 2 plate 20151111</t>
  </si>
  <si>
    <t>IPC value epp 2 plate 20151112</t>
  </si>
  <si>
    <t>IPC value epp 3</t>
  </si>
  <si>
    <t>plate 20151204</t>
  </si>
  <si>
    <t>plate 20160126</t>
  </si>
  <si>
    <t>IPC value epp 2</t>
  </si>
  <si>
    <t>plate 20160208</t>
  </si>
  <si>
    <t>IPC value  epp 4 plate  20151125</t>
  </si>
  <si>
    <t>IPC value  epp 4 plate  20160126</t>
  </si>
  <si>
    <t>IPC value  epp 3 plate  20160126</t>
  </si>
  <si>
    <t>IPC value  epp 3 plate  20160209</t>
  </si>
  <si>
    <t xml:space="preserve">Total Average </t>
  </si>
  <si>
    <t>IPC value epp 2 plate 20151204</t>
  </si>
  <si>
    <t>IPC value epp 1 plate 20160119</t>
  </si>
  <si>
    <t>IPC value epp 1 plate 20160208</t>
  </si>
  <si>
    <t>plate 20160222</t>
  </si>
  <si>
    <t>plate 20160223</t>
  </si>
  <si>
    <t>IPC value epp 1</t>
  </si>
  <si>
    <t>IPC value epp 1 plate 20160222</t>
  </si>
  <si>
    <t>IPC value epp 1 plate 20160223</t>
  </si>
  <si>
    <t>IPC value epp 9 plate 20160223</t>
  </si>
  <si>
    <t>IPC value epp 9 plate 20160225</t>
  </si>
  <si>
    <t>IPC value  epp 3 plate  20160222</t>
  </si>
  <si>
    <t>IPC value  epp 2 plate  20160223</t>
  </si>
  <si>
    <t>IPC value  epp 2 plate  20160224</t>
  </si>
  <si>
    <t>plate 20160308</t>
  </si>
  <si>
    <t>plate 20160310</t>
  </si>
  <si>
    <t>plate 20160311</t>
  </si>
  <si>
    <t>plate 20160318</t>
  </si>
  <si>
    <t>plate 20160405</t>
  </si>
  <si>
    <t>plate 20160225</t>
  </si>
  <si>
    <t>IPC value epp 9 plate 20160308</t>
  </si>
  <si>
    <t>IPC value epp 9 plate 20160310</t>
  </si>
  <si>
    <t>IPC value epp 8 plate 20160325</t>
  </si>
  <si>
    <t>IPC value epp 8 plate 20160405</t>
  </si>
  <si>
    <t>IPC value  epp 2 plate  20160308</t>
  </si>
  <si>
    <t>IPC value  epp 1 plate  20160310</t>
  </si>
  <si>
    <t>IPC value  epp 2 plate  20160310</t>
  </si>
  <si>
    <t>IPC value  epp 2 plate  20160311</t>
  </si>
  <si>
    <t>IPC value  epp 1 plate  20160318</t>
  </si>
  <si>
    <t>IPC value  epp 1 plate  20160325</t>
  </si>
  <si>
    <t>IPC value  epp 1 plate  20160405</t>
  </si>
  <si>
    <t>IPC value  epp 9 plate  20160411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</si>
</sst>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62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" fontId="26" fillId="0" borderId="0" xfId="0" applyNumberFormat="1" applyFont="1"/>
    <xf numFmtId="0" fontId="18" fillId="11" borderId="0" xfId="0" applyFont="1" applyFill="1"/>
    <xf numFmtId="0" fontId="0" fillId="0" borderId="18" xfId="0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65" fontId="0" fillId="0" borderId="0" xfId="0" applyNumberFormat="1"/>
    <xf numFmtId="164" fontId="18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0" borderId="0" xfId="365"/>
    <xf numFmtId="0" fontId="28" fillId="2" borderId="16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28" fillId="0" borderId="3" xfId="365" applyFill="1" applyBorder="1" applyAlignment="1">
      <alignment horizontal="center" vertical="center"/>
    </xf>
    <xf numFmtId="0" fontId="28" fillId="0" borderId="16" xfId="365" applyFill="1" applyBorder="1" applyAlignment="1">
      <alignment horizontal="center" vertical="center"/>
    </xf>
    <xf numFmtId="11" fontId="28" fillId="0" borderId="16" xfId="365" applyNumberFormat="1" applyFill="1" applyBorder="1" applyAlignment="1">
      <alignment horizontal="center" vertical="center"/>
    </xf>
    <xf numFmtId="0" fontId="0" fillId="0" borderId="16" xfId="365" applyFont="1" applyBorder="1" applyAlignment="1">
      <alignment horizontal="center" vertical="center"/>
    </xf>
    <xf numFmtId="0" fontId="28" fillId="0" borderId="16" xfId="365" applyBorder="1" applyAlignment="1">
      <alignment horizontal="center" vertical="center"/>
    </xf>
    <xf numFmtId="11" fontId="28" fillId="0" borderId="16" xfId="365" applyNumberFormat="1" applyBorder="1" applyAlignment="1">
      <alignment horizontal="center" vertical="center"/>
    </xf>
    <xf numFmtId="2" fontId="28" fillId="0" borderId="16" xfId="365" applyNumberFormat="1" applyBorder="1" applyAlignment="1">
      <alignment horizontal="center" vertical="center"/>
    </xf>
    <xf numFmtId="0" fontId="28" fillId="2" borderId="21" xfId="365" applyFill="1" applyBorder="1" applyAlignment="1">
      <alignment wrapText="1"/>
    </xf>
    <xf numFmtId="0" fontId="0" fillId="2" borderId="21" xfId="365" applyFont="1" applyFill="1" applyBorder="1" applyAlignment="1">
      <alignment wrapText="1"/>
    </xf>
    <xf numFmtId="0" fontId="0" fillId="2" borderId="21" xfId="365" applyFont="1" applyFill="1" applyBorder="1" applyAlignment="1">
      <alignment horizontal="center" vertical="center" wrapText="1"/>
    </xf>
    <xf numFmtId="0" fontId="0" fillId="0" borderId="0" xfId="365" applyFont="1"/>
    <xf numFmtId="165" fontId="28" fillId="0" borderId="16" xfId="365" applyNumberFormat="1" applyBorder="1" applyAlignment="1">
      <alignment horizontal="center" vertical="center"/>
    </xf>
    <xf numFmtId="0" fontId="28" fillId="0" borderId="16" xfId="365" applyBorder="1"/>
    <xf numFmtId="0" fontId="28" fillId="0" borderId="0" xfId="365" applyFont="1"/>
    <xf numFmtId="0" fontId="28" fillId="2" borderId="16" xfId="365" applyFill="1" applyBorder="1"/>
    <xf numFmtId="0" fontId="29" fillId="12" borderId="0" xfId="365" applyFont="1" applyFill="1"/>
    <xf numFmtId="165" fontId="28" fillId="0" borderId="16" xfId="365" applyNumberFormat="1" applyBorder="1"/>
    <xf numFmtId="2" fontId="28" fillId="0" borderId="16" xfId="365" applyNumberFormat="1" applyBorder="1"/>
    <xf numFmtId="1" fontId="28" fillId="0" borderId="16" xfId="365" applyNumberFormat="1" applyBorder="1"/>
    <xf numFmtId="165" fontId="0" fillId="0" borderId="16" xfId="365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6" xfId="365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8" fillId="0" borderId="0" xfId="365" applyNumberFormat="1"/>
    <xf numFmtId="0" fontId="30" fillId="0" borderId="16" xfId="365" applyFont="1" applyBorder="1"/>
    <xf numFmtId="165" fontId="28" fillId="0" borderId="0" xfId="365" applyNumberFormat="1" applyBorder="1" applyAlignment="1">
      <alignment horizontal="center" vertical="center"/>
    </xf>
    <xf numFmtId="165" fontId="28" fillId="0" borderId="0" xfId="365" applyNumberFormat="1" applyBorder="1"/>
    <xf numFmtId="2" fontId="28" fillId="0" borderId="0" xfId="365" applyNumberFormat="1" applyBorder="1"/>
    <xf numFmtId="1" fontId="28" fillId="0" borderId="0" xfId="365" applyNumberFormat="1" applyBorder="1"/>
    <xf numFmtId="1" fontId="28" fillId="0" borderId="0" xfId="365" applyNumberFormat="1"/>
    <xf numFmtId="0" fontId="31" fillId="2" borderId="0" xfId="365" applyFont="1" applyFill="1"/>
    <xf numFmtId="0" fontId="25" fillId="0" borderId="0" xfId="0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64" fontId="0" fillId="0" borderId="16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/>
    <xf numFmtId="165" fontId="2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8" fillId="0" borderId="17" xfId="365" applyNumberFormat="1" applyFill="1" applyBorder="1" applyAlignment="1">
      <alignment horizontal="center" vertical="center"/>
    </xf>
    <xf numFmtId="0" fontId="28" fillId="0" borderId="5" xfId="365" applyNumberFormat="1" applyFill="1" applyBorder="1" applyAlignment="1">
      <alignment horizontal="center" vertical="center"/>
    </xf>
    <xf numFmtId="0" fontId="28" fillId="0" borderId="18" xfId="365" applyNumberFormat="1" applyFill="1" applyBorder="1" applyAlignment="1">
      <alignment horizontal="center" vertical="center"/>
    </xf>
    <xf numFmtId="0" fontId="28" fillId="2" borderId="4" xfId="365" applyFill="1" applyBorder="1" applyAlignment="1">
      <alignment horizontal="center" vertical="center"/>
    </xf>
    <xf numFmtId="0" fontId="28" fillId="2" borderId="3" xfId="365" applyFill="1" applyBorder="1" applyAlignment="1">
      <alignment horizontal="center" vertical="center"/>
    </xf>
    <xf numFmtId="0" fontId="0" fillId="2" borderId="4" xfId="365" applyFont="1" applyFill="1" applyBorder="1" applyAlignment="1">
      <alignment horizontal="center" vertical="center"/>
    </xf>
    <xf numFmtId="0" fontId="28" fillId="2" borderId="16" xfId="365" applyFill="1" applyBorder="1" applyAlignment="1">
      <alignment horizontal="center" vertical="center"/>
    </xf>
    <xf numFmtId="0" fontId="21" fillId="0" borderId="23" xfId="365" applyFont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0" fillId="0" borderId="24" xfId="365" applyFont="1" applyBorder="1" applyAlignment="1">
      <alignment horizontal="center"/>
    </xf>
    <xf numFmtId="0" fontId="28" fillId="0" borderId="24" xfId="365" applyBorder="1" applyAlignment="1">
      <alignment horizontal="center"/>
    </xf>
    <xf numFmtId="0" fontId="25" fillId="13" borderId="3" xfId="0" applyFont="1" applyFill="1" applyBorder="1" applyAlignment="1">
      <alignment horizontal="center" vertical="center"/>
    </xf>
    <xf numFmtId="0" fontId="0" fillId="2" borderId="3" xfId="365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365" applyFont="1" applyFill="1"/>
  </cellXfs>
  <cellStyles count="462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Input" xfId="10"/>
    <cellStyle name="Linked Cell" xfId="11"/>
    <cellStyle name="Neutral" xfId="12"/>
    <cellStyle name="Normal" xfId="0" builtinId="0"/>
    <cellStyle name="Normal 2" xfId="365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07B01"/>
      <color rgb="FFCC7B37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chartsheet" Target="chartsheets/sheet1.xml"/><Relationship Id="rId25" Type="http://schemas.openxmlformats.org/officeDocument/2006/relationships/chartsheet" Target="chartsheets/sheet2.xml"/><Relationship Id="rId26" Type="http://schemas.openxmlformats.org/officeDocument/2006/relationships/worksheet" Target="worksheets/sheet24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94904"/>
        <c:axId val="-2090554504"/>
      </c:scatterChart>
      <c:valAx>
        <c:axId val="2119094904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090554504"/>
        <c:crosses val="autoZero"/>
        <c:crossBetween val="midCat"/>
        <c:majorUnit val="2.0"/>
      </c:valAx>
      <c:valAx>
        <c:axId val="-209055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09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('[1]Calibration F. prausnitzii'!$R$4:$R$5,'[1]Calibration F. prausnitzii'!$R$7:$R$9,'[1]Calibration F. prausnitzii'!$R$12:$R$18)</c:f>
              <c:numCache>
                <c:formatCode>General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('[1]Calibration F. prausnitzii'!$L$23:$L$24,'[1]Calibration F. prausnitzii'!$L$26:$L$28,'[1]Calibration F. prausnitzii'!$L$31:$L$37)</c:f>
              <c:numCache>
                <c:formatCode>General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05320"/>
        <c:axId val="2114028760"/>
      </c:scatterChart>
      <c:valAx>
        <c:axId val="2120805320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4028760"/>
        <c:crosses val="autoZero"/>
        <c:crossBetween val="midCat"/>
        <c:majorUnit val="2.0"/>
      </c:valAx>
      <c:valAx>
        <c:axId val="21140287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2120805320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B. hydrogenotrophica</a:t>
            </a:r>
            <a:endParaRPr lang="nl-BE" i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518545148449"/>
          <c:y val="0.13013698630137"/>
          <c:w val="0.833789874261263"/>
          <c:h val="0.7318875166289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'CalibrationB. hydrogenotrophica'!$R$4:$R$19</c:f>
              <c:numCache>
                <c:formatCode>0.00</c:formatCode>
                <c:ptCount val="16"/>
                <c:pt idx="0">
                  <c:v>8.313473506507658</c:v>
                </c:pt>
                <c:pt idx="1">
                  <c:v>7.276996109489027</c:v>
                </c:pt>
                <c:pt idx="2">
                  <c:v>6.34002746828266</c:v>
                </c:pt>
                <c:pt idx="3">
                  <c:v>5.410412073674764</c:v>
                </c:pt>
                <c:pt idx="4">
                  <c:v>4.624207964119256</c:v>
                </c:pt>
                <c:pt idx="5">
                  <c:v>8.368066736978313</c:v>
                </c:pt>
                <c:pt idx="6">
                  <c:v>8.001570749713231</c:v>
                </c:pt>
                <c:pt idx="7">
                  <c:v>7.678536588070615</c:v>
                </c:pt>
                <c:pt idx="8">
                  <c:v>7.377558180514065</c:v>
                </c:pt>
                <c:pt idx="9">
                  <c:v>6.962198804905538</c:v>
                </c:pt>
                <c:pt idx="10">
                  <c:v>6.642461222625335</c:v>
                </c:pt>
                <c:pt idx="11">
                  <c:v>6.437813958847346</c:v>
                </c:pt>
                <c:pt idx="12">
                  <c:v>6.193364379200031</c:v>
                </c:pt>
                <c:pt idx="13">
                  <c:v>5.945938002689035</c:v>
                </c:pt>
                <c:pt idx="14">
                  <c:v>5.659438986853353</c:v>
                </c:pt>
                <c:pt idx="15">
                  <c:v>5.359831154750319</c:v>
                </c:pt>
              </c:numCache>
            </c:numRef>
          </c:xVal>
          <c:yVal>
            <c:numRef>
              <c:f>'CalibrationB. hydrogenotrophica'!$L$23:$L$38</c:f>
              <c:numCache>
                <c:formatCode>0.0</c:formatCode>
                <c:ptCount val="16"/>
                <c:pt idx="0">
                  <c:v>6.229484611738722</c:v>
                </c:pt>
                <c:pt idx="1">
                  <c:v>11.71994119285444</c:v>
                </c:pt>
                <c:pt idx="2">
                  <c:v>14.18909618654748</c:v>
                </c:pt>
                <c:pt idx="3">
                  <c:v>18.70661581952274</c:v>
                </c:pt>
                <c:pt idx="4">
                  <c:v>22.13009172080854</c:v>
                </c:pt>
                <c:pt idx="5">
                  <c:v>7.11976641205226</c:v>
                </c:pt>
                <c:pt idx="6">
                  <c:v>8.800463853153336</c:v>
                </c:pt>
                <c:pt idx="7">
                  <c:v>9.622375982873388</c:v>
                </c:pt>
                <c:pt idx="8">
                  <c:v>11.85799075948472</c:v>
                </c:pt>
                <c:pt idx="9">
                  <c:v>12.0575165926146</c:v>
                </c:pt>
                <c:pt idx="10">
                  <c:v>12.55526337809637</c:v>
                </c:pt>
                <c:pt idx="11">
                  <c:v>13.7043245810993</c:v>
                </c:pt>
                <c:pt idx="12">
                  <c:v>14.74827688721095</c:v>
                </c:pt>
                <c:pt idx="13">
                  <c:v>15.88358419922267</c:v>
                </c:pt>
                <c:pt idx="14">
                  <c:v>18.41934571452215</c:v>
                </c:pt>
                <c:pt idx="15">
                  <c:v>19.18493511068101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89096"/>
        <c:axId val="-2090367672"/>
      </c:scatterChart>
      <c:valAx>
        <c:axId val="-2088789096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090367672"/>
        <c:crosses val="autoZero"/>
        <c:crossBetween val="midCat"/>
        <c:majorUnit val="2.0"/>
      </c:valAx>
      <c:valAx>
        <c:axId val="-2090367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-208878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1428725097887"/>
          <c:y val="0.0429069614206174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0.0169574293034186</c:v>
                  </c:pt>
                  <c:pt idx="1">
                    <c:v>0.0339148586068372</c:v>
                  </c:pt>
                  <c:pt idx="2">
                    <c:v>0.0231090808111249</c:v>
                  </c:pt>
                  <c:pt idx="3">
                    <c:v>0.02793751641234</c:v>
                  </c:pt>
                  <c:pt idx="4">
                    <c:v>0.00641413720808858</c:v>
                  </c:pt>
                  <c:pt idx="5">
                    <c:v>0.0320706860404429</c:v>
                  </c:pt>
                  <c:pt idx="6">
                    <c:v>0.0170116161532365</c:v>
                  </c:pt>
                  <c:pt idx="7">
                    <c:v>0.0111744813437908</c:v>
                  </c:pt>
                  <c:pt idx="8">
                    <c:v>0.0112433018342066</c:v>
                  </c:pt>
                  <c:pt idx="9">
                    <c:v>0.0196165581236124</c:v>
                  </c:pt>
                  <c:pt idx="10">
                    <c:v>0.0174814871561211</c:v>
                  </c:pt>
                  <c:pt idx="11">
                    <c:v>0.0231142322130875</c:v>
                  </c:pt>
                  <c:pt idx="12">
                    <c:v>0.0242799934336317</c:v>
                  </c:pt>
                  <c:pt idx="13">
                    <c:v>0.044440456143124</c:v>
                  </c:pt>
                  <c:pt idx="14">
                    <c:v>0.062391238543079</c:v>
                  </c:pt>
                  <c:pt idx="15">
                    <c:v>0.0472200571695588</c:v>
                  </c:pt>
                  <c:pt idx="16">
                    <c:v>0.0853995763136122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0.0169574293034186</c:v>
                  </c:pt>
                  <c:pt idx="1">
                    <c:v>0.0339148586068372</c:v>
                  </c:pt>
                  <c:pt idx="2">
                    <c:v>0.0231090808111249</c:v>
                  </c:pt>
                  <c:pt idx="3">
                    <c:v>0.02793751641234</c:v>
                  </c:pt>
                  <c:pt idx="4">
                    <c:v>0.00641413720808858</c:v>
                  </c:pt>
                  <c:pt idx="5">
                    <c:v>0.0320706860404429</c:v>
                  </c:pt>
                  <c:pt idx="6">
                    <c:v>0.0170116161532365</c:v>
                  </c:pt>
                  <c:pt idx="7">
                    <c:v>0.0111744813437908</c:v>
                  </c:pt>
                  <c:pt idx="8">
                    <c:v>0.0112433018342066</c:v>
                  </c:pt>
                  <c:pt idx="9">
                    <c:v>0.0196165581236124</c:v>
                  </c:pt>
                  <c:pt idx="10">
                    <c:v>0.0174814871561211</c:v>
                  </c:pt>
                  <c:pt idx="11">
                    <c:v>0.0231142322130875</c:v>
                  </c:pt>
                  <c:pt idx="12">
                    <c:v>0.0242799934336317</c:v>
                  </c:pt>
                  <c:pt idx="13">
                    <c:v>0.044440456143124</c:v>
                  </c:pt>
                  <c:pt idx="14">
                    <c:v>0.062391238543079</c:v>
                  </c:pt>
                  <c:pt idx="15">
                    <c:v>0.0472200571695588</c:v>
                  </c:pt>
                  <c:pt idx="16">
                    <c:v>0.0853995763136122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2.068531675547661</c:v>
                </c:pt>
                <c:pt idx="1">
                  <c:v>2.057430432208407</c:v>
                </c:pt>
                <c:pt idx="2">
                  <c:v>2.050029603315572</c:v>
                </c:pt>
                <c:pt idx="3">
                  <c:v>2.024126702190645</c:v>
                </c:pt>
                <c:pt idx="4">
                  <c:v>2.081200560164532</c:v>
                </c:pt>
                <c:pt idx="5">
                  <c:v>2.084903764008242</c:v>
                </c:pt>
                <c:pt idx="6">
                  <c:v>2.123400700257288</c:v>
                </c:pt>
                <c:pt idx="7">
                  <c:v>2.167849380695415</c:v>
                </c:pt>
                <c:pt idx="8">
                  <c:v>2.192443857670276</c:v>
                </c:pt>
                <c:pt idx="9">
                  <c:v>2.219822522195345</c:v>
                </c:pt>
                <c:pt idx="10">
                  <c:v>2.418566237581279</c:v>
                </c:pt>
                <c:pt idx="11">
                  <c:v>2.392323034054552</c:v>
                </c:pt>
                <c:pt idx="12">
                  <c:v>2.772080202847002</c:v>
                </c:pt>
                <c:pt idx="13">
                  <c:v>4.124053244272944</c:v>
                </c:pt>
                <c:pt idx="14">
                  <c:v>6.355260495210345</c:v>
                </c:pt>
                <c:pt idx="15">
                  <c:v>6.5281729036915</c:v>
                </c:pt>
                <c:pt idx="16">
                  <c:v>7.075138565905555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0.20799327221976</c:v>
                  </c:pt>
                  <c:pt idx="1">
                    <c:v>0.18568669090955</c:v>
                  </c:pt>
                  <c:pt idx="2">
                    <c:v>0.067301446866401</c:v>
                  </c:pt>
                  <c:pt idx="3">
                    <c:v>0.18568669090955</c:v>
                  </c:pt>
                  <c:pt idx="4">
                    <c:v>0.319262030308967</c:v>
                  </c:pt>
                  <c:pt idx="5">
                    <c:v>0.167760767165869</c:v>
                  </c:pt>
                  <c:pt idx="6">
                    <c:v>0.102075362736622</c:v>
                  </c:pt>
                  <c:pt idx="7">
                    <c:v>0.237848590708261</c:v>
                  </c:pt>
                  <c:pt idx="8">
                    <c:v>0.151167047034001</c:v>
                  </c:pt>
                  <c:pt idx="9">
                    <c:v>0.18006606371446</c:v>
                  </c:pt>
                  <c:pt idx="10">
                    <c:v>0.211886272651572</c:v>
                  </c:pt>
                  <c:pt idx="11">
                    <c:v>0.1401303641049</c:v>
                  </c:pt>
                  <c:pt idx="12">
                    <c:v>1.241023600640941</c:v>
                  </c:pt>
                  <c:pt idx="13">
                    <c:v>0.499284745819662</c:v>
                  </c:pt>
                  <c:pt idx="14">
                    <c:v>0.25508893732697</c:v>
                  </c:pt>
                  <c:pt idx="15">
                    <c:v>1.295305778598681</c:v>
                  </c:pt>
                  <c:pt idx="16">
                    <c:v>0.958933634238677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0.20799327221976</c:v>
                  </c:pt>
                  <c:pt idx="1">
                    <c:v>0.18568669090955</c:v>
                  </c:pt>
                  <c:pt idx="2">
                    <c:v>0.067301446866401</c:v>
                  </c:pt>
                  <c:pt idx="3">
                    <c:v>0.18568669090955</c:v>
                  </c:pt>
                  <c:pt idx="4">
                    <c:v>0.319262030308967</c:v>
                  </c:pt>
                  <c:pt idx="5">
                    <c:v>0.167760767165869</c:v>
                  </c:pt>
                  <c:pt idx="6">
                    <c:v>0.102075362736622</c:v>
                  </c:pt>
                  <c:pt idx="7">
                    <c:v>0.237848590708261</c:v>
                  </c:pt>
                  <c:pt idx="8">
                    <c:v>0.151167047034001</c:v>
                  </c:pt>
                  <c:pt idx="9">
                    <c:v>0.18006606371446</c:v>
                  </c:pt>
                  <c:pt idx="10">
                    <c:v>0.211886272651572</c:v>
                  </c:pt>
                  <c:pt idx="11">
                    <c:v>0.1401303641049</c:v>
                  </c:pt>
                  <c:pt idx="12">
                    <c:v>1.241023600640941</c:v>
                  </c:pt>
                  <c:pt idx="13">
                    <c:v>0.499284745819662</c:v>
                  </c:pt>
                  <c:pt idx="14">
                    <c:v>0.25508893732697</c:v>
                  </c:pt>
                  <c:pt idx="15">
                    <c:v>1.295305778598681</c:v>
                  </c:pt>
                  <c:pt idx="16">
                    <c:v>0.958933634238677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1.648626144879268</c:v>
                </c:pt>
                <c:pt idx="1">
                  <c:v>1.693033583125174</c:v>
                </c:pt>
                <c:pt idx="2">
                  <c:v>1.876214265889537</c:v>
                </c:pt>
                <c:pt idx="3">
                  <c:v>1.99278379128504</c:v>
                </c:pt>
                <c:pt idx="4">
                  <c:v>2.03317176386882</c:v>
                </c:pt>
                <c:pt idx="5">
                  <c:v>2.338703039860036</c:v>
                </c:pt>
                <c:pt idx="6">
                  <c:v>3.101747839478212</c:v>
                </c:pt>
                <c:pt idx="7">
                  <c:v>4.095674747909403</c:v>
                </c:pt>
                <c:pt idx="8">
                  <c:v>6.735111639255842</c:v>
                </c:pt>
                <c:pt idx="9">
                  <c:v>11.42819007485547</c:v>
                </c:pt>
                <c:pt idx="10">
                  <c:v>21.49934797189843</c:v>
                </c:pt>
                <c:pt idx="11">
                  <c:v>31.6162460076524</c:v>
                </c:pt>
                <c:pt idx="12">
                  <c:v>43.39148993330915</c:v>
                </c:pt>
                <c:pt idx="13">
                  <c:v>53.38871526979251</c:v>
                </c:pt>
                <c:pt idx="14">
                  <c:v>65.23052433506168</c:v>
                </c:pt>
                <c:pt idx="15">
                  <c:v>65.70445404995925</c:v>
                </c:pt>
                <c:pt idx="16">
                  <c:v>65.91695610240724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0.624128073761032</c:v>
                  </c:pt>
                  <c:pt idx="1">
                    <c:v>0.717910564495255</c:v>
                  </c:pt>
                  <c:pt idx="2">
                    <c:v>0.782500842015503</c:v>
                  </c:pt>
                  <c:pt idx="3">
                    <c:v>0.56484901151423</c:v>
                  </c:pt>
                  <c:pt idx="4">
                    <c:v>0.584999586328132</c:v>
                  </c:pt>
                  <c:pt idx="5">
                    <c:v>0.855404940111266</c:v>
                  </c:pt>
                  <c:pt idx="6">
                    <c:v>0.745270189144335</c:v>
                  </c:pt>
                  <c:pt idx="7">
                    <c:v>0.918815130422661</c:v>
                  </c:pt>
                  <c:pt idx="8">
                    <c:v>0.691607580285978</c:v>
                  </c:pt>
                  <c:pt idx="9">
                    <c:v>0.488280797014176</c:v>
                  </c:pt>
                  <c:pt idx="10">
                    <c:v>0.181027600001954</c:v>
                  </c:pt>
                  <c:pt idx="11">
                    <c:v>0.188324975279668</c:v>
                  </c:pt>
                  <c:pt idx="12">
                    <c:v>0.776522688792249</c:v>
                  </c:pt>
                  <c:pt idx="13">
                    <c:v>0.491256984956735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0.624128073761032</c:v>
                  </c:pt>
                  <c:pt idx="1">
                    <c:v>0.717910564495255</c:v>
                  </c:pt>
                  <c:pt idx="2">
                    <c:v>0.782500842015503</c:v>
                  </c:pt>
                  <c:pt idx="3">
                    <c:v>0.56484901151423</c:v>
                  </c:pt>
                  <c:pt idx="4">
                    <c:v>0.584999586328132</c:v>
                  </c:pt>
                  <c:pt idx="5">
                    <c:v>0.855404940111266</c:v>
                  </c:pt>
                  <c:pt idx="6">
                    <c:v>0.745270189144335</c:v>
                  </c:pt>
                  <c:pt idx="7">
                    <c:v>0.918815130422661</c:v>
                  </c:pt>
                  <c:pt idx="8">
                    <c:v>0.691607580285978</c:v>
                  </c:pt>
                  <c:pt idx="9">
                    <c:v>0.488280797014176</c:v>
                  </c:pt>
                  <c:pt idx="10">
                    <c:v>0.181027600001954</c:v>
                  </c:pt>
                  <c:pt idx="11">
                    <c:v>0.188324975279668</c:v>
                  </c:pt>
                  <c:pt idx="12">
                    <c:v>0.776522688792249</c:v>
                  </c:pt>
                  <c:pt idx="13">
                    <c:v>0.491256984956735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6.41610543848215</c:v>
                </c:pt>
                <c:pt idx="1">
                  <c:v>6.039539430805995</c:v>
                </c:pt>
                <c:pt idx="2">
                  <c:v>6.633355058295316</c:v>
                </c:pt>
                <c:pt idx="3">
                  <c:v>6.865087986096025</c:v>
                </c:pt>
                <c:pt idx="4">
                  <c:v>6.000609399431064</c:v>
                </c:pt>
                <c:pt idx="5">
                  <c:v>6.609366874735664</c:v>
                </c:pt>
                <c:pt idx="6">
                  <c:v>6.552844581498887</c:v>
                </c:pt>
                <c:pt idx="7">
                  <c:v>7.551848660357936</c:v>
                </c:pt>
                <c:pt idx="8">
                  <c:v>10.82546038624506</c:v>
                </c:pt>
                <c:pt idx="9">
                  <c:v>10.69785954935736</c:v>
                </c:pt>
                <c:pt idx="10">
                  <c:v>12.91523265099659</c:v>
                </c:pt>
                <c:pt idx="11">
                  <c:v>15.16853369528168</c:v>
                </c:pt>
                <c:pt idx="12">
                  <c:v>13.5432740436972</c:v>
                </c:pt>
                <c:pt idx="13">
                  <c:v>7.412187772191624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0.00614702575633687</c:v>
                </c:pt>
                <c:pt idx="2">
                  <c:v>0.019833644215045</c:v>
                </c:pt>
                <c:pt idx="3">
                  <c:v>0.0342873760731807</c:v>
                </c:pt>
                <c:pt idx="4">
                  <c:v>0.0480464861039276</c:v>
                </c:pt>
                <c:pt idx="5">
                  <c:v>0.0619219744539206</c:v>
                </c:pt>
                <c:pt idx="6">
                  <c:v>0.0758085694665913</c:v>
                </c:pt>
                <c:pt idx="7">
                  <c:v>0.0903059335189487</c:v>
                </c:pt>
                <c:pt idx="8">
                  <c:v>0.107153139619051</c:v>
                </c:pt>
                <c:pt idx="9">
                  <c:v>0.127818104703871</c:v>
                </c:pt>
                <c:pt idx="10">
                  <c:v>0.15452062035254</c:v>
                </c:pt>
                <c:pt idx="11">
                  <c:v>0.189852126882391</c:v>
                </c:pt>
                <c:pt idx="12">
                  <c:v>0.238053005780192</c:v>
                </c:pt>
                <c:pt idx="13">
                  <c:v>0.304066782390053</c:v>
                </c:pt>
                <c:pt idx="14">
                  <c:v>0.400389956074935</c:v>
                </c:pt>
                <c:pt idx="15">
                  <c:v>0.547647669138995</c:v>
                </c:pt>
                <c:pt idx="16">
                  <c:v>0.757222034839465</c:v>
                </c:pt>
                <c:pt idx="17">
                  <c:v>1.03956364609182</c:v>
                </c:pt>
                <c:pt idx="18">
                  <c:v>1.424862584940469</c:v>
                </c:pt>
                <c:pt idx="19">
                  <c:v>1.937251413189038</c:v>
                </c:pt>
                <c:pt idx="20">
                  <c:v>2.612860907720846</c:v>
                </c:pt>
                <c:pt idx="21">
                  <c:v>3.471482256929962</c:v>
                </c:pt>
                <c:pt idx="22">
                  <c:v>4.500781429336438</c:v>
                </c:pt>
                <c:pt idx="23">
                  <c:v>5.753676836517108</c:v>
                </c:pt>
                <c:pt idx="24">
                  <c:v>7.224120748909037</c:v>
                </c:pt>
                <c:pt idx="25">
                  <c:v>8.857113749343753</c:v>
                </c:pt>
                <c:pt idx="26">
                  <c:v>10.71255097475447</c:v>
                </c:pt>
                <c:pt idx="27">
                  <c:v>12.79318588318188</c:v>
                </c:pt>
                <c:pt idx="28">
                  <c:v>15.05040311644933</c:v>
                </c:pt>
                <c:pt idx="29">
                  <c:v>17.44849223266104</c:v>
                </c:pt>
                <c:pt idx="30">
                  <c:v>19.90301473025121</c:v>
                </c:pt>
                <c:pt idx="31">
                  <c:v>22.41514958630997</c:v>
                </c:pt>
                <c:pt idx="32">
                  <c:v>24.95894270983049</c:v>
                </c:pt>
                <c:pt idx="33">
                  <c:v>27.44366415710748</c:v>
                </c:pt>
                <c:pt idx="34">
                  <c:v>29.93409881215637</c:v>
                </c:pt>
                <c:pt idx="35">
                  <c:v>32.45048579208905</c:v>
                </c:pt>
                <c:pt idx="36">
                  <c:v>34.96367498535106</c:v>
                </c:pt>
                <c:pt idx="37">
                  <c:v>37.44004316819922</c:v>
                </c:pt>
                <c:pt idx="38">
                  <c:v>39.80151036256071</c:v>
                </c:pt>
                <c:pt idx="39">
                  <c:v>42.02498940232514</c:v>
                </c:pt>
                <c:pt idx="40">
                  <c:v>44.01078880159658</c:v>
                </c:pt>
                <c:pt idx="41">
                  <c:v>45.63661038763679</c:v>
                </c:pt>
                <c:pt idx="42">
                  <c:v>46.91332781812147</c:v>
                </c:pt>
                <c:pt idx="43">
                  <c:v>47.93146009243939</c:v>
                </c:pt>
                <c:pt idx="44">
                  <c:v>48.75134277691893</c:v>
                </c:pt>
                <c:pt idx="45">
                  <c:v>49.41359696168034</c:v>
                </c:pt>
                <c:pt idx="46">
                  <c:v>49.95406365452556</c:v>
                </c:pt>
                <c:pt idx="47">
                  <c:v>50.39632203233548</c:v>
                </c:pt>
                <c:pt idx="48">
                  <c:v>50.77726742913833</c:v>
                </c:pt>
                <c:pt idx="49">
                  <c:v>51.12208194423414</c:v>
                </c:pt>
                <c:pt idx="50">
                  <c:v>51.42424457836805</c:v>
                </c:pt>
                <c:pt idx="51">
                  <c:v>51.68233759302166</c:v>
                </c:pt>
                <c:pt idx="52">
                  <c:v>51.90416151354641</c:v>
                </c:pt>
                <c:pt idx="53">
                  <c:v>52.09804733183801</c:v>
                </c:pt>
                <c:pt idx="54">
                  <c:v>52.26795132072686</c:v>
                </c:pt>
                <c:pt idx="55">
                  <c:v>52.41604513319433</c:v>
                </c:pt>
                <c:pt idx="56">
                  <c:v>52.54496984066097</c:v>
                </c:pt>
                <c:pt idx="57">
                  <c:v>52.65918076939884</c:v>
                </c:pt>
                <c:pt idx="58">
                  <c:v>52.76128817042592</c:v>
                </c:pt>
                <c:pt idx="59">
                  <c:v>52.85041544036904</c:v>
                </c:pt>
                <c:pt idx="60">
                  <c:v>52.91788301804304</c:v>
                </c:pt>
                <c:pt idx="61">
                  <c:v>52.9830649884246</c:v>
                </c:pt>
                <c:pt idx="62">
                  <c:v>53.05650102621324</c:v>
                </c:pt>
                <c:pt idx="63">
                  <c:v>53.11917502264642</c:v>
                </c:pt>
                <c:pt idx="64">
                  <c:v>53.1728318481512</c:v>
                </c:pt>
                <c:pt idx="65">
                  <c:v>53.21868144012141</c:v>
                </c:pt>
                <c:pt idx="66">
                  <c:v>53.25820690672975</c:v>
                </c:pt>
                <c:pt idx="67">
                  <c:v>53.29342565537517</c:v>
                </c:pt>
                <c:pt idx="68">
                  <c:v>53.32423944598641</c:v>
                </c:pt>
                <c:pt idx="69">
                  <c:v>53.35174920116854</c:v>
                </c:pt>
                <c:pt idx="70">
                  <c:v>53.37727450691111</c:v>
                </c:pt>
                <c:pt idx="71">
                  <c:v>53.40059733363658</c:v>
                </c:pt>
                <c:pt idx="72">
                  <c:v>53.42371290550201</c:v>
                </c:pt>
                <c:pt idx="73">
                  <c:v>53.44625044546427</c:v>
                </c:pt>
                <c:pt idx="74">
                  <c:v>53.45656501914029</c:v>
                </c:pt>
                <c:pt idx="75">
                  <c:v>53.45656501914029</c:v>
                </c:pt>
                <c:pt idx="76">
                  <c:v>53.45656501914029</c:v>
                </c:pt>
                <c:pt idx="77">
                  <c:v>53.45656501914029</c:v>
                </c:pt>
                <c:pt idx="78">
                  <c:v>53.45656501914029</c:v>
                </c:pt>
                <c:pt idx="79">
                  <c:v>53.45656501914029</c:v>
                </c:pt>
                <c:pt idx="80">
                  <c:v>53.45656501914029</c:v>
                </c:pt>
                <c:pt idx="81">
                  <c:v>53.45656501914029</c:v>
                </c:pt>
                <c:pt idx="82">
                  <c:v>53.45656501914029</c:v>
                </c:pt>
                <c:pt idx="83">
                  <c:v>53.45656501914029</c:v>
                </c:pt>
                <c:pt idx="84">
                  <c:v>53.45656501914029</c:v>
                </c:pt>
                <c:pt idx="85">
                  <c:v>53.45656501914029</c:v>
                </c:pt>
                <c:pt idx="86">
                  <c:v>53.45656501914029</c:v>
                </c:pt>
                <c:pt idx="87">
                  <c:v>53.45656501914029</c:v>
                </c:pt>
                <c:pt idx="88">
                  <c:v>53.45656501914029</c:v>
                </c:pt>
                <c:pt idx="89">
                  <c:v>53.45656501914029</c:v>
                </c:pt>
                <c:pt idx="90">
                  <c:v>53.45656501914029</c:v>
                </c:pt>
                <c:pt idx="91">
                  <c:v>53.45656501914029</c:v>
                </c:pt>
                <c:pt idx="92">
                  <c:v>53.45656501914029</c:v>
                </c:pt>
                <c:pt idx="93">
                  <c:v>53.45656501914029</c:v>
                </c:pt>
                <c:pt idx="94">
                  <c:v>53.45656501914029</c:v>
                </c:pt>
                <c:pt idx="95">
                  <c:v>53.45656501914029</c:v>
                </c:pt>
                <c:pt idx="96">
                  <c:v>53.45656501914029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0.567467936018296</c:v>
                  </c:pt>
                  <c:pt idx="1">
                    <c:v>0.367013216137137</c:v>
                  </c:pt>
                  <c:pt idx="2">
                    <c:v>0.258148666834669</c:v>
                  </c:pt>
                  <c:pt idx="3">
                    <c:v>0.338193385525016</c:v>
                  </c:pt>
                  <c:pt idx="4">
                    <c:v>0.833905676127753</c:v>
                  </c:pt>
                  <c:pt idx="5">
                    <c:v>0.272147692094874</c:v>
                  </c:pt>
                  <c:pt idx="6">
                    <c:v>0.0973003261404117</c:v>
                  </c:pt>
                  <c:pt idx="7">
                    <c:v>0.280644156817304</c:v>
                  </c:pt>
                  <c:pt idx="8">
                    <c:v>0.300499897303066</c:v>
                  </c:pt>
                  <c:pt idx="9">
                    <c:v>0.291859256939471</c:v>
                  </c:pt>
                  <c:pt idx="10">
                    <c:v>0.231823992970167</c:v>
                  </c:pt>
                  <c:pt idx="11">
                    <c:v>0.121257961283949</c:v>
                  </c:pt>
                  <c:pt idx="12">
                    <c:v>0.450880297754212</c:v>
                  </c:pt>
                  <c:pt idx="13">
                    <c:v>0.0532552908784111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0.567467936018296</c:v>
                  </c:pt>
                  <c:pt idx="1">
                    <c:v>0.367013216137137</c:v>
                  </c:pt>
                  <c:pt idx="2">
                    <c:v>0.258148666834669</c:v>
                  </c:pt>
                  <c:pt idx="3">
                    <c:v>0.338193385525016</c:v>
                  </c:pt>
                  <c:pt idx="4">
                    <c:v>0.833905676127753</c:v>
                  </c:pt>
                  <c:pt idx="5">
                    <c:v>0.272147692094874</c:v>
                  </c:pt>
                  <c:pt idx="6">
                    <c:v>0.0973003261404117</c:v>
                  </c:pt>
                  <c:pt idx="7">
                    <c:v>0.280644156817304</c:v>
                  </c:pt>
                  <c:pt idx="8">
                    <c:v>0.300499897303066</c:v>
                  </c:pt>
                  <c:pt idx="9">
                    <c:v>0.291859256939471</c:v>
                  </c:pt>
                  <c:pt idx="10">
                    <c:v>0.231823992970167</c:v>
                  </c:pt>
                  <c:pt idx="11">
                    <c:v>0.121257961283949</c:v>
                  </c:pt>
                  <c:pt idx="12">
                    <c:v>0.450880297754212</c:v>
                  </c:pt>
                  <c:pt idx="13">
                    <c:v>0.0532552908784111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51.5208703374778</c:v>
                </c:pt>
                <c:pt idx="1">
                  <c:v>51.90386323268206</c:v>
                </c:pt>
                <c:pt idx="2">
                  <c:v>51.20448490230905</c:v>
                </c:pt>
                <c:pt idx="3">
                  <c:v>51.39135583185317</c:v>
                </c:pt>
                <c:pt idx="4">
                  <c:v>50.8209179491423</c:v>
                </c:pt>
                <c:pt idx="5">
                  <c:v>51.17457391621651</c:v>
                </c:pt>
                <c:pt idx="6">
                  <c:v>49.49528240652172</c:v>
                </c:pt>
                <c:pt idx="7">
                  <c:v>47.6200522465645</c:v>
                </c:pt>
                <c:pt idx="8">
                  <c:v>44.49724089251144</c:v>
                </c:pt>
                <c:pt idx="9">
                  <c:v>37.67846714756912</c:v>
                </c:pt>
                <c:pt idx="10">
                  <c:v>28.05193506002199</c:v>
                </c:pt>
                <c:pt idx="11">
                  <c:v>19.40825031492244</c:v>
                </c:pt>
                <c:pt idx="12">
                  <c:v>11.66178761351975</c:v>
                </c:pt>
                <c:pt idx="13">
                  <c:v>5.560037628189615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0.0300504562046621</c:v>
                  </c:pt>
                  <c:pt idx="5">
                    <c:v>0.011358004843082</c:v>
                  </c:pt>
                  <c:pt idx="6">
                    <c:v>0.0602475476868358</c:v>
                  </c:pt>
                  <c:pt idx="7">
                    <c:v>0.0228486500839559</c:v>
                  </c:pt>
                  <c:pt idx="8">
                    <c:v>0.0459787369980854</c:v>
                  </c:pt>
                  <c:pt idx="9">
                    <c:v>0.098476951948937</c:v>
                  </c:pt>
                  <c:pt idx="10">
                    <c:v>0.138603302913428</c:v>
                  </c:pt>
                  <c:pt idx="11">
                    <c:v>0.136263165308437</c:v>
                  </c:pt>
                  <c:pt idx="12">
                    <c:v>0.608539785700266</c:v>
                  </c:pt>
                  <c:pt idx="13">
                    <c:v>0.197313992155956</c:v>
                  </c:pt>
                  <c:pt idx="14">
                    <c:v>0.170049087495097</c:v>
                  </c:pt>
                  <c:pt idx="15">
                    <c:v>0.283127857635999</c:v>
                  </c:pt>
                  <c:pt idx="16">
                    <c:v>0.230997836487671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0.0300504562046621</c:v>
                  </c:pt>
                  <c:pt idx="5">
                    <c:v>0.011358004843082</c:v>
                  </c:pt>
                  <c:pt idx="6">
                    <c:v>0.0602475476868358</c:v>
                  </c:pt>
                  <c:pt idx="7">
                    <c:v>0.0228486500839559</c:v>
                  </c:pt>
                  <c:pt idx="8">
                    <c:v>0.0459787369980854</c:v>
                  </c:pt>
                  <c:pt idx="9">
                    <c:v>0.098476951948937</c:v>
                  </c:pt>
                  <c:pt idx="10">
                    <c:v>0.138603302913428</c:v>
                  </c:pt>
                  <c:pt idx="11">
                    <c:v>0.136263165308437</c:v>
                  </c:pt>
                  <c:pt idx="12">
                    <c:v>0.608539785700266</c:v>
                  </c:pt>
                  <c:pt idx="13">
                    <c:v>0.197313992155956</c:v>
                  </c:pt>
                  <c:pt idx="14">
                    <c:v>0.170049087495097</c:v>
                  </c:pt>
                  <c:pt idx="15">
                    <c:v>0.283127857635999</c:v>
                  </c:pt>
                  <c:pt idx="16">
                    <c:v>0.230997836487671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0.0681480290584921</c:v>
                </c:pt>
                <c:pt idx="5">
                  <c:v>0.442962188880198</c:v>
                </c:pt>
                <c:pt idx="6">
                  <c:v>1.719243162172264</c:v>
                </c:pt>
                <c:pt idx="7">
                  <c:v>3.97566511460832</c:v>
                </c:pt>
                <c:pt idx="8">
                  <c:v>7.195672340200361</c:v>
                </c:pt>
                <c:pt idx="9">
                  <c:v>11.00376535536064</c:v>
                </c:pt>
                <c:pt idx="10">
                  <c:v>15.47546002740846</c:v>
                </c:pt>
                <c:pt idx="11">
                  <c:v>19.11750312726965</c:v>
                </c:pt>
                <c:pt idx="12">
                  <c:v>21.06664162408279</c:v>
                </c:pt>
                <c:pt idx="13">
                  <c:v>21.66933904094704</c:v>
                </c:pt>
                <c:pt idx="14">
                  <c:v>22.96374669130453</c:v>
                </c:pt>
                <c:pt idx="15">
                  <c:v>23.85227946484028</c:v>
                </c:pt>
                <c:pt idx="16">
                  <c:v>24.761474128199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0.0133542869736304</c:v>
                </c:pt>
                <c:pt idx="2">
                  <c:v>0.0413197759096484</c:v>
                </c:pt>
                <c:pt idx="3">
                  <c:v>0.0706990175286181</c:v>
                </c:pt>
                <c:pt idx="4">
                  <c:v>0.103515384036531</c:v>
                </c:pt>
                <c:pt idx="5">
                  <c:v>0.14052115074602</c:v>
                </c:pt>
                <c:pt idx="6">
                  <c:v>0.184311455018862</c:v>
                </c:pt>
                <c:pt idx="7">
                  <c:v>0.245830909993651</c:v>
                </c:pt>
                <c:pt idx="8">
                  <c:v>0.332624102676088</c:v>
                </c:pt>
                <c:pt idx="9">
                  <c:v>0.461397374511785</c:v>
                </c:pt>
                <c:pt idx="10">
                  <c:v>0.64188004235948</c:v>
                </c:pt>
                <c:pt idx="11">
                  <c:v>0.876831884710226</c:v>
                </c:pt>
                <c:pt idx="12">
                  <c:v>1.187392076898812</c:v>
                </c:pt>
                <c:pt idx="13">
                  <c:v>1.588874084478998</c:v>
                </c:pt>
                <c:pt idx="14">
                  <c:v>2.115037301665041</c:v>
                </c:pt>
                <c:pt idx="15">
                  <c:v>2.836785991846252</c:v>
                </c:pt>
                <c:pt idx="16">
                  <c:v>3.805744741058774</c:v>
                </c:pt>
                <c:pt idx="17">
                  <c:v>5.044181983307497</c:v>
                </c:pt>
                <c:pt idx="18">
                  <c:v>6.572806748592297</c:v>
                </c:pt>
                <c:pt idx="19">
                  <c:v>8.423667002896344</c:v>
                </c:pt>
                <c:pt idx="20">
                  <c:v>10.69734322748542</c:v>
                </c:pt>
                <c:pt idx="21">
                  <c:v>13.38611682135145</c:v>
                </c:pt>
                <c:pt idx="22">
                  <c:v>16.50509703424311</c:v>
                </c:pt>
                <c:pt idx="23">
                  <c:v>19.80316850049417</c:v>
                </c:pt>
                <c:pt idx="24">
                  <c:v>22.73038259313024</c:v>
                </c:pt>
                <c:pt idx="25">
                  <c:v>25.28412360099439</c:v>
                </c:pt>
                <c:pt idx="26">
                  <c:v>28.05730724295692</c:v>
                </c:pt>
                <c:pt idx="27">
                  <c:v>31.45060235775358</c:v>
                </c:pt>
                <c:pt idx="28">
                  <c:v>35.58314463782305</c:v>
                </c:pt>
                <c:pt idx="29">
                  <c:v>40.02803445441047</c:v>
                </c:pt>
                <c:pt idx="30">
                  <c:v>44.23011936942031</c:v>
                </c:pt>
                <c:pt idx="31">
                  <c:v>48.79621351929411</c:v>
                </c:pt>
                <c:pt idx="32">
                  <c:v>54.11990819852871</c:v>
                </c:pt>
                <c:pt idx="33">
                  <c:v>59.81458754370836</c:v>
                </c:pt>
                <c:pt idx="34">
                  <c:v>65.2205932432165</c:v>
                </c:pt>
                <c:pt idx="35">
                  <c:v>69.69288174911382</c:v>
                </c:pt>
                <c:pt idx="36">
                  <c:v>73.71661137751242</c:v>
                </c:pt>
                <c:pt idx="37">
                  <c:v>77.54838082490301</c:v>
                </c:pt>
                <c:pt idx="38">
                  <c:v>80.61818373510804</c:v>
                </c:pt>
                <c:pt idx="39">
                  <c:v>82.92738412012969</c:v>
                </c:pt>
                <c:pt idx="40">
                  <c:v>84.52089004339765</c:v>
                </c:pt>
                <c:pt idx="41">
                  <c:v>85.35368416676867</c:v>
                </c:pt>
                <c:pt idx="42">
                  <c:v>85.69772599275583</c:v>
                </c:pt>
                <c:pt idx="43">
                  <c:v>85.8192998773174</c:v>
                </c:pt>
                <c:pt idx="44">
                  <c:v>85.86622705191135</c:v>
                </c:pt>
                <c:pt idx="45">
                  <c:v>85.90022192108558</c:v>
                </c:pt>
                <c:pt idx="46">
                  <c:v>85.93454406528127</c:v>
                </c:pt>
                <c:pt idx="47">
                  <c:v>85.97437771852105</c:v>
                </c:pt>
                <c:pt idx="48">
                  <c:v>86.03200755682643</c:v>
                </c:pt>
                <c:pt idx="49">
                  <c:v>86.12500575079281</c:v>
                </c:pt>
                <c:pt idx="50">
                  <c:v>86.23720446286263</c:v>
                </c:pt>
                <c:pt idx="51">
                  <c:v>86.3346200502979</c:v>
                </c:pt>
                <c:pt idx="52">
                  <c:v>86.41330631616908</c:v>
                </c:pt>
                <c:pt idx="53">
                  <c:v>86.48374693895165</c:v>
                </c:pt>
                <c:pt idx="54">
                  <c:v>86.55630824251132</c:v>
                </c:pt>
                <c:pt idx="55">
                  <c:v>86.62333313490863</c:v>
                </c:pt>
                <c:pt idx="56">
                  <c:v>86.68317213190585</c:v>
                </c:pt>
                <c:pt idx="57">
                  <c:v>86.75496766700156</c:v>
                </c:pt>
                <c:pt idx="58">
                  <c:v>86.82517298786449</c:v>
                </c:pt>
                <c:pt idx="59">
                  <c:v>86.88412886178795</c:v>
                </c:pt>
                <c:pt idx="60">
                  <c:v>86.91428425490626</c:v>
                </c:pt>
                <c:pt idx="61">
                  <c:v>86.94420057493096</c:v>
                </c:pt>
                <c:pt idx="62">
                  <c:v>87.00447434459069</c:v>
                </c:pt>
                <c:pt idx="63">
                  <c:v>87.06462198667504</c:v>
                </c:pt>
                <c:pt idx="64">
                  <c:v>87.12596625620812</c:v>
                </c:pt>
                <c:pt idx="65">
                  <c:v>87.18825553184607</c:v>
                </c:pt>
                <c:pt idx="66">
                  <c:v>87.24701767202212</c:v>
                </c:pt>
                <c:pt idx="67">
                  <c:v>87.30899194562512</c:v>
                </c:pt>
                <c:pt idx="68">
                  <c:v>87.37354834858513</c:v>
                </c:pt>
                <c:pt idx="69">
                  <c:v>87.43123998888783</c:v>
                </c:pt>
                <c:pt idx="70">
                  <c:v>87.48653837429312</c:v>
                </c:pt>
                <c:pt idx="71">
                  <c:v>87.54479663797461</c:v>
                </c:pt>
                <c:pt idx="72">
                  <c:v>87.60702316672834</c:v>
                </c:pt>
                <c:pt idx="73">
                  <c:v>87.6659748151709</c:v>
                </c:pt>
                <c:pt idx="74">
                  <c:v>87.72121045369195</c:v>
                </c:pt>
                <c:pt idx="75">
                  <c:v>87.78003597455914</c:v>
                </c:pt>
                <c:pt idx="76">
                  <c:v>87.83816874447218</c:v>
                </c:pt>
                <c:pt idx="77">
                  <c:v>87.8937193850282</c:v>
                </c:pt>
                <c:pt idx="78">
                  <c:v>87.9515998997905</c:v>
                </c:pt>
                <c:pt idx="79">
                  <c:v>88.01231416525365</c:v>
                </c:pt>
                <c:pt idx="80">
                  <c:v>88.06868305053228</c:v>
                </c:pt>
                <c:pt idx="81">
                  <c:v>88.12284755537308</c:v>
                </c:pt>
                <c:pt idx="82">
                  <c:v>88.18286906988207</c:v>
                </c:pt>
                <c:pt idx="83">
                  <c:v>88.24175733763349</c:v>
                </c:pt>
                <c:pt idx="84">
                  <c:v>88.28319943634187</c:v>
                </c:pt>
                <c:pt idx="85">
                  <c:v>88.3225626483809</c:v>
                </c:pt>
                <c:pt idx="86">
                  <c:v>88.37383002182972</c:v>
                </c:pt>
                <c:pt idx="87">
                  <c:v>88.42667240545335</c:v>
                </c:pt>
                <c:pt idx="88">
                  <c:v>88.47938866150162</c:v>
                </c:pt>
                <c:pt idx="89">
                  <c:v>88.5329231622725</c:v>
                </c:pt>
                <c:pt idx="90">
                  <c:v>88.58507216113506</c:v>
                </c:pt>
                <c:pt idx="91">
                  <c:v>88.63445015618102</c:v>
                </c:pt>
                <c:pt idx="92">
                  <c:v>88.68288314512209</c:v>
                </c:pt>
                <c:pt idx="93">
                  <c:v>88.73245001462764</c:v>
                </c:pt>
                <c:pt idx="94">
                  <c:v>88.78315076469768</c:v>
                </c:pt>
                <c:pt idx="95">
                  <c:v>88.83372538719234</c:v>
                </c:pt>
                <c:pt idx="96">
                  <c:v>88.88910630426697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56504"/>
        <c:axId val="207315872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4888.0</c:v>
                </c:pt>
                <c:pt idx="1">
                  <c:v>5890.0</c:v>
                </c:pt>
                <c:pt idx="2">
                  <c:v>9242.0</c:v>
                </c:pt>
                <c:pt idx="3">
                  <c:v>18317.0</c:v>
                </c:pt>
                <c:pt idx="4">
                  <c:v>3750.0</c:v>
                </c:pt>
                <c:pt idx="5">
                  <c:v>9891.0</c:v>
                </c:pt>
                <c:pt idx="6">
                  <c:v>31792.0</c:v>
                </c:pt>
                <c:pt idx="7">
                  <c:v>6481.0</c:v>
                </c:pt>
                <c:pt idx="8">
                  <c:v>11045.0</c:v>
                </c:pt>
                <c:pt idx="9">
                  <c:v>15411.0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0.0554955091281364</c:v>
                  </c:pt>
                  <c:pt idx="1">
                    <c:v>0.0528814934279121</c:v>
                  </c:pt>
                  <c:pt idx="2">
                    <c:v>0.022417255242316</c:v>
                  </c:pt>
                  <c:pt idx="3">
                    <c:v>0.0120924186134092</c:v>
                  </c:pt>
                  <c:pt idx="4">
                    <c:v>0.0576866963984575</c:v>
                  </c:pt>
                  <c:pt idx="5">
                    <c:v>0.0173712557498439</c:v>
                  </c:pt>
                  <c:pt idx="6">
                    <c:v>0.0394398726660979</c:v>
                  </c:pt>
                  <c:pt idx="7">
                    <c:v>0.0267896989092149</c:v>
                  </c:pt>
                  <c:pt idx="8">
                    <c:v>0.00720909196510613</c:v>
                  </c:pt>
                  <c:pt idx="9">
                    <c:v>0.0333729697032523</c:v>
                  </c:pt>
                  <c:pt idx="10">
                    <c:v>0.0169545398352264</c:v>
                  </c:pt>
                  <c:pt idx="11">
                    <c:v>0.0228662041753439</c:v>
                  </c:pt>
                  <c:pt idx="12">
                    <c:v>0.0137572954023445</c:v>
                  </c:pt>
                  <c:pt idx="13">
                    <c:v>0.0150232480275792</c:v>
                  </c:pt>
                  <c:pt idx="14">
                    <c:v>0.0165018742488259</c:v>
                  </c:pt>
                  <c:pt idx="15">
                    <c:v>0.0293749582798787</c:v>
                  </c:pt>
                  <c:pt idx="16">
                    <c:v>0.0337249484373848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0.0554955091281364</c:v>
                  </c:pt>
                  <c:pt idx="1">
                    <c:v>0.0528814934279121</c:v>
                  </c:pt>
                  <c:pt idx="2">
                    <c:v>0.022417255242316</c:v>
                  </c:pt>
                  <c:pt idx="3">
                    <c:v>0.0120924186134092</c:v>
                  </c:pt>
                  <c:pt idx="4">
                    <c:v>0.0576866963984575</c:v>
                  </c:pt>
                  <c:pt idx="5">
                    <c:v>0.0173712557498439</c:v>
                  </c:pt>
                  <c:pt idx="6">
                    <c:v>0.0394398726660979</c:v>
                  </c:pt>
                  <c:pt idx="7">
                    <c:v>0.0267896989092149</c:v>
                  </c:pt>
                  <c:pt idx="8">
                    <c:v>0.00720909196510613</c:v>
                  </c:pt>
                  <c:pt idx="9">
                    <c:v>0.0333729697032523</c:v>
                  </c:pt>
                  <c:pt idx="10">
                    <c:v>0.0169545398352264</c:v>
                  </c:pt>
                  <c:pt idx="11">
                    <c:v>0.0228662041753439</c:v>
                  </c:pt>
                  <c:pt idx="12">
                    <c:v>0.0137572954023445</c:v>
                  </c:pt>
                  <c:pt idx="13">
                    <c:v>0.0150232480275792</c:v>
                  </c:pt>
                  <c:pt idx="14">
                    <c:v>0.0165018742488259</c:v>
                  </c:pt>
                  <c:pt idx="15">
                    <c:v>0.0293749582798787</c:v>
                  </c:pt>
                  <c:pt idx="16">
                    <c:v>0.0337249484373848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6.807579479612688</c:v>
                </c:pt>
                <c:pt idx="1">
                  <c:v>6.892342700087632</c:v>
                </c:pt>
                <c:pt idx="2">
                  <c:v>7.122209322834945</c:v>
                </c:pt>
                <c:pt idx="3">
                  <c:v>7.435328255138935</c:v>
                </c:pt>
                <c:pt idx="4">
                  <c:v>7.683701109692913</c:v>
                </c:pt>
                <c:pt idx="5">
                  <c:v>8.14371146820609</c:v>
                </c:pt>
                <c:pt idx="6">
                  <c:v>8.640045363173751</c:v>
                </c:pt>
                <c:pt idx="7">
                  <c:v>8.95954272046692</c:v>
                </c:pt>
                <c:pt idx="8">
                  <c:v>9.220421324372554</c:v>
                </c:pt>
                <c:pt idx="9">
                  <c:v>9.329044592377497</c:v>
                </c:pt>
                <c:pt idx="10">
                  <c:v>9.50247553976352</c:v>
                </c:pt>
                <c:pt idx="11">
                  <c:v>9.54074592469964</c:v>
                </c:pt>
                <c:pt idx="12">
                  <c:v>9.594732129678771</c:v>
                </c:pt>
                <c:pt idx="13">
                  <c:v>9.56387420885711</c:v>
                </c:pt>
                <c:pt idx="14">
                  <c:v>9.610373303489972</c:v>
                </c:pt>
                <c:pt idx="15">
                  <c:v>9.46228628829086</c:v>
                </c:pt>
                <c:pt idx="16">
                  <c:v>9.464978149078398</c:v>
                </c:pt>
              </c:numCache>
            </c:numRef>
          </c:yVal>
          <c:smooth val="0"/>
        </c:ser>
        <c:ser>
          <c:idx val="5"/>
          <c:order val="9"/>
          <c:tx>
            <c:v>qPCR RI</c:v>
          </c:tx>
          <c:spPr>
            <a:ln>
              <a:solidFill>
                <a:srgbClr val="CC7B37"/>
              </a:solidFill>
            </a:ln>
          </c:spPr>
          <c:marker>
            <c:symbol val="circle"/>
            <c:size val="8"/>
            <c:spPr>
              <a:solidFill>
                <a:srgbClr val="CC7B37"/>
              </a:solidFill>
              <a:ln>
                <a:solidFill>
                  <a:srgbClr val="CC7B37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0.220588559588275</c:v>
                  </c:pt>
                  <c:pt idx="1">
                    <c:v>0.274655370057453</c:v>
                  </c:pt>
                  <c:pt idx="2">
                    <c:v>0.126729060495822</c:v>
                  </c:pt>
                  <c:pt idx="3">
                    <c:v>0.251299553716741</c:v>
                  </c:pt>
                  <c:pt idx="4">
                    <c:v>0.194916504813324</c:v>
                  </c:pt>
                  <c:pt idx="5">
                    <c:v>0.143768965622046</c:v>
                  </c:pt>
                  <c:pt idx="6">
                    <c:v>0.0632789861157851</c:v>
                  </c:pt>
                  <c:pt idx="7">
                    <c:v>0.141382427755782</c:v>
                  </c:pt>
                  <c:pt idx="8">
                    <c:v>0.0527914133195169</c:v>
                  </c:pt>
                  <c:pt idx="9">
                    <c:v>0.138522131722308</c:v>
                  </c:pt>
                  <c:pt idx="10">
                    <c:v>0.0740876427685645</c:v>
                  </c:pt>
                  <c:pt idx="11">
                    <c:v>0.0160012459169758</c:v>
                  </c:pt>
                  <c:pt idx="12">
                    <c:v>0.0404547350360075</c:v>
                  </c:pt>
                  <c:pt idx="13">
                    <c:v>0.0179859191900579</c:v>
                  </c:pt>
                  <c:pt idx="14">
                    <c:v>0.0289669577645645</c:v>
                  </c:pt>
                  <c:pt idx="15">
                    <c:v>0.0218957766223411</c:v>
                  </c:pt>
                  <c:pt idx="16">
                    <c:v>0.0637621298654894</c:v>
                  </c:pt>
                </c:numCache>
              </c:numRef>
            </c:plus>
            <c:minus>
              <c:numRef>
                <c:f>'Determination cell counts RI'!$S$4:$S$20</c:f>
                <c:numCache>
                  <c:formatCode>General</c:formatCode>
                  <c:ptCount val="17"/>
                  <c:pt idx="0">
                    <c:v>0.220588559588275</c:v>
                  </c:pt>
                  <c:pt idx="1">
                    <c:v>0.274655370057453</c:v>
                  </c:pt>
                  <c:pt idx="2">
                    <c:v>0.126729060495822</c:v>
                  </c:pt>
                  <c:pt idx="3">
                    <c:v>0.251299553716741</c:v>
                  </c:pt>
                  <c:pt idx="4">
                    <c:v>0.194916504813324</c:v>
                  </c:pt>
                  <c:pt idx="5">
                    <c:v>0.143768965622046</c:v>
                  </c:pt>
                  <c:pt idx="6">
                    <c:v>0.0632789861157851</c:v>
                  </c:pt>
                  <c:pt idx="7">
                    <c:v>0.141382427755782</c:v>
                  </c:pt>
                  <c:pt idx="8">
                    <c:v>0.0527914133195169</c:v>
                  </c:pt>
                  <c:pt idx="9">
                    <c:v>0.138522131722308</c:v>
                  </c:pt>
                  <c:pt idx="10">
                    <c:v>0.0740876427685645</c:v>
                  </c:pt>
                  <c:pt idx="11">
                    <c:v>0.0160012459169758</c:v>
                  </c:pt>
                  <c:pt idx="12">
                    <c:v>0.0404547350360075</c:v>
                  </c:pt>
                  <c:pt idx="13">
                    <c:v>0.0179859191900579</c:v>
                  </c:pt>
                  <c:pt idx="14">
                    <c:v>0.0289669577645645</c:v>
                  </c:pt>
                  <c:pt idx="15">
                    <c:v>0.0218957766223411</c:v>
                  </c:pt>
                  <c:pt idx="16">
                    <c:v>0.0637621298654894</c:v>
                  </c:pt>
                </c:numCache>
              </c:numRef>
            </c:minus>
          </c:errBars>
          <c:xVal>
            <c:numRef>
              <c:f>'Determination cell counts RI'!$D$4:$D$20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RI'!$R$4:$R$20</c:f>
              <c:numCache>
                <c:formatCode>0.00</c:formatCode>
                <c:ptCount val="17"/>
                <c:pt idx="0">
                  <c:v>5.746656323960235</c:v>
                </c:pt>
                <c:pt idx="1">
                  <c:v>6.329556121942886</c:v>
                </c:pt>
                <c:pt idx="2">
                  <c:v>6.137944823946164</c:v>
                </c:pt>
                <c:pt idx="3">
                  <c:v>5.946934122726986</c:v>
                </c:pt>
                <c:pt idx="4">
                  <c:v>5.699407180011605</c:v>
                </c:pt>
                <c:pt idx="5">
                  <c:v>5.254465163185531</c:v>
                </c:pt>
                <c:pt idx="6">
                  <c:v>5.545948353404204</c:v>
                </c:pt>
                <c:pt idx="7">
                  <c:v>5.562110383524181</c:v>
                </c:pt>
                <c:pt idx="8">
                  <c:v>5.830591696460801</c:v>
                </c:pt>
                <c:pt idx="9">
                  <c:v>5.861922278843134</c:v>
                </c:pt>
                <c:pt idx="10">
                  <c:v>6.011302421595851</c:v>
                </c:pt>
                <c:pt idx="11">
                  <c:v>6.332879322004167</c:v>
                </c:pt>
                <c:pt idx="12">
                  <c:v>6.573749677262232</c:v>
                </c:pt>
                <c:pt idx="13">
                  <c:v>6.88449992517871</c:v>
                </c:pt>
                <c:pt idx="14">
                  <c:v>7.848664950537967</c:v>
                </c:pt>
                <c:pt idx="15">
                  <c:v>8.217476917923136</c:v>
                </c:pt>
                <c:pt idx="16">
                  <c:v>7.919784572521164</c:v>
                </c:pt>
              </c:numCache>
            </c:numRef>
          </c:yVal>
          <c:smooth val="0"/>
        </c:ser>
        <c:ser>
          <c:idx val="7"/>
          <c:order val="10"/>
          <c:tx>
            <c:v>qPCR FP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0.164730088315851</c:v>
                  </c:pt>
                  <c:pt idx="1">
                    <c:v>0.338379258809322</c:v>
                  </c:pt>
                  <c:pt idx="2">
                    <c:v>0.212374949827961</c:v>
                  </c:pt>
                  <c:pt idx="3">
                    <c:v>0.397671979551466</c:v>
                  </c:pt>
                  <c:pt idx="4">
                    <c:v>0.217368267109243</c:v>
                  </c:pt>
                  <c:pt idx="5">
                    <c:v>0.126054471928125</c:v>
                  </c:pt>
                  <c:pt idx="6">
                    <c:v>0.0818722135419033</c:v>
                  </c:pt>
                  <c:pt idx="7">
                    <c:v>0.0536830937150534</c:v>
                  </c:pt>
                  <c:pt idx="8">
                    <c:v>0.0995124870488262</c:v>
                  </c:pt>
                  <c:pt idx="9">
                    <c:v>0.0490357626237061</c:v>
                  </c:pt>
                  <c:pt idx="10">
                    <c:v>0.0476030472448096</c:v>
                  </c:pt>
                  <c:pt idx="11">
                    <c:v>0.0124080921345895</c:v>
                  </c:pt>
                  <c:pt idx="12">
                    <c:v>0.00880178386922414</c:v>
                  </c:pt>
                  <c:pt idx="13">
                    <c:v>0.0734969660060281</c:v>
                  </c:pt>
                  <c:pt idx="14">
                    <c:v>0.0321106234577772</c:v>
                  </c:pt>
                  <c:pt idx="15">
                    <c:v>0.0217400072709614</c:v>
                  </c:pt>
                  <c:pt idx="16">
                    <c:v>0.00957723714709054</c:v>
                  </c:pt>
                </c:numCache>
              </c:numRef>
            </c:plus>
            <c:minus>
              <c:numRef>
                <c:f>'Determination cell counts FP'!$S$4:$S$20</c:f>
                <c:numCache>
                  <c:formatCode>General</c:formatCode>
                  <c:ptCount val="17"/>
                  <c:pt idx="0">
                    <c:v>0.164730088315851</c:v>
                  </c:pt>
                  <c:pt idx="1">
                    <c:v>0.338379258809322</c:v>
                  </c:pt>
                  <c:pt idx="2">
                    <c:v>0.212374949827961</c:v>
                  </c:pt>
                  <c:pt idx="3">
                    <c:v>0.397671979551466</c:v>
                  </c:pt>
                  <c:pt idx="4">
                    <c:v>0.217368267109243</c:v>
                  </c:pt>
                  <c:pt idx="5">
                    <c:v>0.126054471928125</c:v>
                  </c:pt>
                  <c:pt idx="6">
                    <c:v>0.0818722135419033</c:v>
                  </c:pt>
                  <c:pt idx="7">
                    <c:v>0.0536830937150534</c:v>
                  </c:pt>
                  <c:pt idx="8">
                    <c:v>0.0995124870488262</c:v>
                  </c:pt>
                  <c:pt idx="9">
                    <c:v>0.0490357626237061</c:v>
                  </c:pt>
                  <c:pt idx="10">
                    <c:v>0.0476030472448096</c:v>
                  </c:pt>
                  <c:pt idx="11">
                    <c:v>0.0124080921345895</c:v>
                  </c:pt>
                  <c:pt idx="12">
                    <c:v>0.00880178386922414</c:v>
                  </c:pt>
                  <c:pt idx="13">
                    <c:v>0.0734969660060281</c:v>
                  </c:pt>
                  <c:pt idx="14">
                    <c:v>0.0321106234577772</c:v>
                  </c:pt>
                  <c:pt idx="15">
                    <c:v>0.0217400072709614</c:v>
                  </c:pt>
                  <c:pt idx="16">
                    <c:v>0.00957723714709054</c:v>
                  </c:pt>
                </c:numCache>
              </c:numRef>
            </c:minus>
          </c:errBars>
          <c:xVal>
            <c:numRef>
              <c:f>'Determination cell counts FP'!$D$4:$D$20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FP'!$R$4:$R$20</c:f>
              <c:numCache>
                <c:formatCode>0.00</c:formatCode>
                <c:ptCount val="17"/>
                <c:pt idx="0">
                  <c:v>5.136113392281011</c:v>
                </c:pt>
                <c:pt idx="1">
                  <c:v>5.44779739473734</c:v>
                </c:pt>
                <c:pt idx="2">
                  <c:v>6.055346959584007</c:v>
                </c:pt>
                <c:pt idx="3">
                  <c:v>6.738406290527751</c:v>
                </c:pt>
                <c:pt idx="4">
                  <c:v>7.141022391830575</c:v>
                </c:pt>
                <c:pt idx="5">
                  <c:v>7.104352621179319</c:v>
                </c:pt>
                <c:pt idx="6">
                  <c:v>8.196981036178305</c:v>
                </c:pt>
                <c:pt idx="7">
                  <c:v>8.467229443334437</c:v>
                </c:pt>
                <c:pt idx="8">
                  <c:v>9.017263748127991</c:v>
                </c:pt>
                <c:pt idx="9">
                  <c:v>9.140943270615573</c:v>
                </c:pt>
                <c:pt idx="10">
                  <c:v>9.281809281876129</c:v>
                </c:pt>
                <c:pt idx="11">
                  <c:v>9.451316188684817</c:v>
                </c:pt>
                <c:pt idx="12">
                  <c:v>9.553865260686697</c:v>
                </c:pt>
                <c:pt idx="13">
                  <c:v>9.56320635613534</c:v>
                </c:pt>
                <c:pt idx="14">
                  <c:v>9.40753576172303</c:v>
                </c:pt>
                <c:pt idx="15">
                  <c:v>9.400640671852897</c:v>
                </c:pt>
                <c:pt idx="16">
                  <c:v>9.229371841548328</c:v>
                </c:pt>
              </c:numCache>
            </c:numRef>
          </c:yVal>
          <c:smooth val="0"/>
        </c:ser>
        <c:ser>
          <c:idx val="11"/>
          <c:order val="11"/>
          <c:tx>
            <c:v>qPCR BH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0.202786563239864</c:v>
                  </c:pt>
                  <c:pt idx="1">
                    <c:v>0.24879460950742</c:v>
                  </c:pt>
                  <c:pt idx="2">
                    <c:v>0.0969018493840678</c:v>
                  </c:pt>
                  <c:pt idx="3">
                    <c:v>0.20697762573739</c:v>
                  </c:pt>
                  <c:pt idx="4">
                    <c:v>0.124858817156958</c:v>
                  </c:pt>
                  <c:pt idx="5">
                    <c:v>0.10003193931319</c:v>
                  </c:pt>
                  <c:pt idx="6">
                    <c:v>0.142598734204408</c:v>
                  </c:pt>
                  <c:pt idx="7">
                    <c:v>0.0477492871979511</c:v>
                  </c:pt>
                  <c:pt idx="8">
                    <c:v>0.102279936421048</c:v>
                  </c:pt>
                  <c:pt idx="9">
                    <c:v>0.07813606749664</c:v>
                  </c:pt>
                  <c:pt idx="10">
                    <c:v>0.0472259507936184</c:v>
                  </c:pt>
                  <c:pt idx="11">
                    <c:v>0.0401892852244035</c:v>
                  </c:pt>
                  <c:pt idx="12">
                    <c:v>0.0288397606789401</c:v>
                  </c:pt>
                  <c:pt idx="13">
                    <c:v>0.0394244008737931</c:v>
                  </c:pt>
                  <c:pt idx="14">
                    <c:v>0.0751022942594491</c:v>
                  </c:pt>
                  <c:pt idx="15">
                    <c:v>0.0305058929803535</c:v>
                  </c:pt>
                  <c:pt idx="16">
                    <c:v>0.0175994662571867</c:v>
                  </c:pt>
                </c:numCache>
              </c:numRef>
            </c:plus>
            <c:minus>
              <c:numRef>
                <c:f>'Determination cell counts BH'!$S$4:$S$20</c:f>
                <c:numCache>
                  <c:formatCode>General</c:formatCode>
                  <c:ptCount val="17"/>
                  <c:pt idx="0">
                    <c:v>0.202786563239864</c:v>
                  </c:pt>
                  <c:pt idx="1">
                    <c:v>0.24879460950742</c:v>
                  </c:pt>
                  <c:pt idx="2">
                    <c:v>0.0969018493840678</c:v>
                  </c:pt>
                  <c:pt idx="3">
                    <c:v>0.20697762573739</c:v>
                  </c:pt>
                  <c:pt idx="4">
                    <c:v>0.124858817156958</c:v>
                  </c:pt>
                  <c:pt idx="5">
                    <c:v>0.10003193931319</c:v>
                  </c:pt>
                  <c:pt idx="6">
                    <c:v>0.142598734204408</c:v>
                  </c:pt>
                  <c:pt idx="7">
                    <c:v>0.0477492871979511</c:v>
                  </c:pt>
                  <c:pt idx="8">
                    <c:v>0.102279936421048</c:v>
                  </c:pt>
                  <c:pt idx="9">
                    <c:v>0.07813606749664</c:v>
                  </c:pt>
                  <c:pt idx="10">
                    <c:v>0.0472259507936184</c:v>
                  </c:pt>
                  <c:pt idx="11">
                    <c:v>0.0401892852244035</c:v>
                  </c:pt>
                  <c:pt idx="12">
                    <c:v>0.0288397606789401</c:v>
                  </c:pt>
                  <c:pt idx="13">
                    <c:v>0.0394244008737931</c:v>
                  </c:pt>
                  <c:pt idx="14">
                    <c:v>0.0751022942594491</c:v>
                  </c:pt>
                  <c:pt idx="15">
                    <c:v>0.0305058929803535</c:v>
                  </c:pt>
                  <c:pt idx="16">
                    <c:v>0.0175994662571867</c:v>
                  </c:pt>
                </c:numCache>
              </c:numRef>
            </c:minus>
          </c:errBars>
          <c:xVal>
            <c:numRef>
              <c:f>'Determination cell counts BH'!$D$4:$D$20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'Determination cell counts BH'!$R$4:$R$20</c:f>
              <c:numCache>
                <c:formatCode>0.00</c:formatCode>
                <c:ptCount val="17"/>
                <c:pt idx="0">
                  <c:v>6.478256500627181</c:v>
                </c:pt>
                <c:pt idx="1">
                  <c:v>6.925219194125388</c:v>
                </c:pt>
                <c:pt idx="2">
                  <c:v>7.209790075499952</c:v>
                </c:pt>
                <c:pt idx="3">
                  <c:v>7.45621698628654</c:v>
                </c:pt>
                <c:pt idx="4">
                  <c:v>7.52401454795272</c:v>
                </c:pt>
                <c:pt idx="5">
                  <c:v>7.495434147781538</c:v>
                </c:pt>
                <c:pt idx="6">
                  <c:v>8.070803170912088</c:v>
                </c:pt>
                <c:pt idx="7">
                  <c:v>8.315772930462484</c:v>
                </c:pt>
                <c:pt idx="8">
                  <c:v>8.44741937094821</c:v>
                </c:pt>
                <c:pt idx="9">
                  <c:v>8.8093159311089</c:v>
                </c:pt>
                <c:pt idx="10">
                  <c:v>9.198208020817951</c:v>
                </c:pt>
                <c:pt idx="11">
                  <c:v>9.3258925264703</c:v>
                </c:pt>
                <c:pt idx="12">
                  <c:v>9.378650521965075</c:v>
                </c:pt>
                <c:pt idx="13">
                  <c:v>9.561458551120296</c:v>
                </c:pt>
                <c:pt idx="14">
                  <c:v>9.853985322257415</c:v>
                </c:pt>
                <c:pt idx="15">
                  <c:v>10.0408172241769</c:v>
                </c:pt>
                <c:pt idx="16">
                  <c:v>9.99509615629493</c:v>
                </c:pt>
              </c:numCache>
            </c:numRef>
          </c:yVal>
          <c:smooth val="0"/>
        </c:ser>
        <c:ser>
          <c:idx val="12"/>
          <c:order val="12"/>
          <c:tx>
            <c:v>qPCR Total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'Total cell count'!$K$5:$K$21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'Total cell count'!$P$5:$P$21</c:f>
              <c:numCache>
                <c:formatCode>0.00</c:formatCode>
                <c:ptCount val="17"/>
                <c:pt idx="0">
                  <c:v>6.568517269334458</c:v>
                </c:pt>
                <c:pt idx="1">
                  <c:v>7.034804452652379</c:v>
                </c:pt>
                <c:pt idx="2">
                  <c:v>7.27230697886326</c:v>
                </c:pt>
                <c:pt idx="3">
                  <c:v>7.543452736788638</c:v>
                </c:pt>
                <c:pt idx="4">
                  <c:v>7.67904162289056</c:v>
                </c:pt>
                <c:pt idx="5">
                  <c:v>7.645302249636794</c:v>
                </c:pt>
                <c:pt idx="6">
                  <c:v>8.440043046001631</c:v>
                </c:pt>
                <c:pt idx="7">
                  <c:v>8.699417081307492</c:v>
                </c:pt>
                <c:pt idx="8">
                  <c:v>9.121033464730306</c:v>
                </c:pt>
                <c:pt idx="9">
                  <c:v>9.30722882296425</c:v>
                </c:pt>
                <c:pt idx="10">
                  <c:v>9.543174830514507</c:v>
                </c:pt>
                <c:pt idx="11">
                  <c:v>9.694335461374596</c:v>
                </c:pt>
                <c:pt idx="12">
                  <c:v>9.776337309672243</c:v>
                </c:pt>
                <c:pt idx="13">
                  <c:v>9.863819043232222</c:v>
                </c:pt>
                <c:pt idx="14">
                  <c:v>9.989945743721428</c:v>
                </c:pt>
                <c:pt idx="15">
                  <c:v>10.13564224775688</c:v>
                </c:pt>
                <c:pt idx="16">
                  <c:v>10.06694595188182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55800"/>
        <c:axId val="-2075661720"/>
      </c:scatterChart>
      <c:valAx>
        <c:axId val="-20758565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3158728"/>
        <c:crosses val="autoZero"/>
        <c:crossBetween val="midCat"/>
        <c:majorUnit val="6.0"/>
      </c:valAx>
      <c:valAx>
        <c:axId val="207315872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5856504"/>
        <c:crosses val="autoZero"/>
        <c:crossBetween val="midCat"/>
      </c:valAx>
      <c:valAx>
        <c:axId val="-2075661720"/>
        <c:scaling>
          <c:orientation val="minMax"/>
          <c:max val="12.0"/>
          <c:min val="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5655800"/>
        <c:crosses val="max"/>
        <c:crossBetween val="midCat"/>
        <c:majorUnit val="1.0"/>
        <c:minorUnit val="0.2"/>
      </c:valAx>
      <c:valAx>
        <c:axId val="-2075655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566172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0.0169574293034186</c:v>
                  </c:pt>
                  <c:pt idx="1">
                    <c:v>0.0339148586068372</c:v>
                  </c:pt>
                  <c:pt idx="2">
                    <c:v>0.0231090808111249</c:v>
                  </c:pt>
                  <c:pt idx="3">
                    <c:v>0.02793751641234</c:v>
                  </c:pt>
                  <c:pt idx="4">
                    <c:v>0.00641413720808858</c:v>
                  </c:pt>
                  <c:pt idx="5">
                    <c:v>0.0320706860404429</c:v>
                  </c:pt>
                  <c:pt idx="6">
                    <c:v>0.0170116161532365</c:v>
                  </c:pt>
                  <c:pt idx="7">
                    <c:v>0.0111744813437908</c:v>
                  </c:pt>
                  <c:pt idx="8">
                    <c:v>0.0112433018342066</c:v>
                  </c:pt>
                  <c:pt idx="9">
                    <c:v>0.0196165581236124</c:v>
                  </c:pt>
                  <c:pt idx="10">
                    <c:v>0.0174814871561211</c:v>
                  </c:pt>
                  <c:pt idx="11">
                    <c:v>0.0231142322130875</c:v>
                  </c:pt>
                  <c:pt idx="12">
                    <c:v>0.0242799934336317</c:v>
                  </c:pt>
                  <c:pt idx="13">
                    <c:v>0.044440456143124</c:v>
                  </c:pt>
                  <c:pt idx="14">
                    <c:v>0.062391238543079</c:v>
                  </c:pt>
                  <c:pt idx="15">
                    <c:v>0.0472200571695588</c:v>
                  </c:pt>
                  <c:pt idx="16">
                    <c:v>0.0853995763136122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0.0169574293034186</c:v>
                  </c:pt>
                  <c:pt idx="1">
                    <c:v>0.0339148586068372</c:v>
                  </c:pt>
                  <c:pt idx="2">
                    <c:v>0.0231090808111249</c:v>
                  </c:pt>
                  <c:pt idx="3">
                    <c:v>0.02793751641234</c:v>
                  </c:pt>
                  <c:pt idx="4">
                    <c:v>0.00641413720808858</c:v>
                  </c:pt>
                  <c:pt idx="5">
                    <c:v>0.0320706860404429</c:v>
                  </c:pt>
                  <c:pt idx="6">
                    <c:v>0.0170116161532365</c:v>
                  </c:pt>
                  <c:pt idx="7">
                    <c:v>0.0111744813437908</c:v>
                  </c:pt>
                  <c:pt idx="8">
                    <c:v>0.0112433018342066</c:v>
                  </c:pt>
                  <c:pt idx="9">
                    <c:v>0.0196165581236124</c:v>
                  </c:pt>
                  <c:pt idx="10">
                    <c:v>0.0174814871561211</c:v>
                  </c:pt>
                  <c:pt idx="11">
                    <c:v>0.0231142322130875</c:v>
                  </c:pt>
                  <c:pt idx="12">
                    <c:v>0.0242799934336317</c:v>
                  </c:pt>
                  <c:pt idx="13">
                    <c:v>0.044440456143124</c:v>
                  </c:pt>
                  <c:pt idx="14">
                    <c:v>0.062391238543079</c:v>
                  </c:pt>
                  <c:pt idx="15">
                    <c:v>0.0472200571695588</c:v>
                  </c:pt>
                  <c:pt idx="16">
                    <c:v>0.0853995763136122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2.068531675547661</c:v>
                </c:pt>
                <c:pt idx="1">
                  <c:v>2.057430432208407</c:v>
                </c:pt>
                <c:pt idx="2">
                  <c:v>2.050029603315572</c:v>
                </c:pt>
                <c:pt idx="3">
                  <c:v>2.024126702190645</c:v>
                </c:pt>
                <c:pt idx="4">
                  <c:v>2.081200560164532</c:v>
                </c:pt>
                <c:pt idx="5">
                  <c:v>2.084903764008242</c:v>
                </c:pt>
                <c:pt idx="6">
                  <c:v>2.123400700257288</c:v>
                </c:pt>
                <c:pt idx="7">
                  <c:v>2.167849380695415</c:v>
                </c:pt>
                <c:pt idx="8">
                  <c:v>2.192443857670276</c:v>
                </c:pt>
                <c:pt idx="9">
                  <c:v>2.219822522195345</c:v>
                </c:pt>
                <c:pt idx="10">
                  <c:v>2.418566237581279</c:v>
                </c:pt>
                <c:pt idx="11">
                  <c:v>2.392323034054552</c:v>
                </c:pt>
                <c:pt idx="12">
                  <c:v>2.772080202847002</c:v>
                </c:pt>
                <c:pt idx="13">
                  <c:v>4.124053244272944</c:v>
                </c:pt>
                <c:pt idx="14">
                  <c:v>6.355260495210345</c:v>
                </c:pt>
                <c:pt idx="15">
                  <c:v>6.5281729036915</c:v>
                </c:pt>
                <c:pt idx="16">
                  <c:v>7.075138565905555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0.20799327221976</c:v>
                  </c:pt>
                  <c:pt idx="1">
                    <c:v>0.18568669090955</c:v>
                  </c:pt>
                  <c:pt idx="2">
                    <c:v>0.067301446866401</c:v>
                  </c:pt>
                  <c:pt idx="3">
                    <c:v>0.18568669090955</c:v>
                  </c:pt>
                  <c:pt idx="4">
                    <c:v>0.319262030308967</c:v>
                  </c:pt>
                  <c:pt idx="5">
                    <c:v>0.167760767165869</c:v>
                  </c:pt>
                  <c:pt idx="6">
                    <c:v>0.102075362736622</c:v>
                  </c:pt>
                  <c:pt idx="7">
                    <c:v>0.237848590708261</c:v>
                  </c:pt>
                  <c:pt idx="8">
                    <c:v>0.151167047034001</c:v>
                  </c:pt>
                  <c:pt idx="9">
                    <c:v>0.18006606371446</c:v>
                  </c:pt>
                  <c:pt idx="10">
                    <c:v>0.211886272651572</c:v>
                  </c:pt>
                  <c:pt idx="11">
                    <c:v>0.1401303641049</c:v>
                  </c:pt>
                  <c:pt idx="12">
                    <c:v>1.241023600640941</c:v>
                  </c:pt>
                  <c:pt idx="13">
                    <c:v>0.499284745819662</c:v>
                  </c:pt>
                  <c:pt idx="14">
                    <c:v>0.25508893732697</c:v>
                  </c:pt>
                  <c:pt idx="15">
                    <c:v>1.295305778598681</c:v>
                  </c:pt>
                  <c:pt idx="16">
                    <c:v>0.958933634238677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0.20799327221976</c:v>
                  </c:pt>
                  <c:pt idx="1">
                    <c:v>0.18568669090955</c:v>
                  </c:pt>
                  <c:pt idx="2">
                    <c:v>0.067301446866401</c:v>
                  </c:pt>
                  <c:pt idx="3">
                    <c:v>0.18568669090955</c:v>
                  </c:pt>
                  <c:pt idx="4">
                    <c:v>0.319262030308967</c:v>
                  </c:pt>
                  <c:pt idx="5">
                    <c:v>0.167760767165869</c:v>
                  </c:pt>
                  <c:pt idx="6">
                    <c:v>0.102075362736622</c:v>
                  </c:pt>
                  <c:pt idx="7">
                    <c:v>0.237848590708261</c:v>
                  </c:pt>
                  <c:pt idx="8">
                    <c:v>0.151167047034001</c:v>
                  </c:pt>
                  <c:pt idx="9">
                    <c:v>0.18006606371446</c:v>
                  </c:pt>
                  <c:pt idx="10">
                    <c:v>0.211886272651572</c:v>
                  </c:pt>
                  <c:pt idx="11">
                    <c:v>0.1401303641049</c:v>
                  </c:pt>
                  <c:pt idx="12">
                    <c:v>1.241023600640941</c:v>
                  </c:pt>
                  <c:pt idx="13">
                    <c:v>0.499284745819662</c:v>
                  </c:pt>
                  <c:pt idx="14">
                    <c:v>0.25508893732697</c:v>
                  </c:pt>
                  <c:pt idx="15">
                    <c:v>1.295305778598681</c:v>
                  </c:pt>
                  <c:pt idx="16">
                    <c:v>0.958933634238677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1.648626144879268</c:v>
                </c:pt>
                <c:pt idx="1">
                  <c:v>1.693033583125174</c:v>
                </c:pt>
                <c:pt idx="2">
                  <c:v>1.876214265889537</c:v>
                </c:pt>
                <c:pt idx="3">
                  <c:v>1.99278379128504</c:v>
                </c:pt>
                <c:pt idx="4">
                  <c:v>2.03317176386882</c:v>
                </c:pt>
                <c:pt idx="5">
                  <c:v>2.338703039860036</c:v>
                </c:pt>
                <c:pt idx="6">
                  <c:v>3.101747839478212</c:v>
                </c:pt>
                <c:pt idx="7">
                  <c:v>4.095674747909403</c:v>
                </c:pt>
                <c:pt idx="8">
                  <c:v>6.735111639255842</c:v>
                </c:pt>
                <c:pt idx="9">
                  <c:v>11.42819007485547</c:v>
                </c:pt>
                <c:pt idx="10">
                  <c:v>21.49934797189843</c:v>
                </c:pt>
                <c:pt idx="11">
                  <c:v>31.6162460076524</c:v>
                </c:pt>
                <c:pt idx="12">
                  <c:v>43.39148993330915</c:v>
                </c:pt>
                <c:pt idx="13">
                  <c:v>53.38871526979251</c:v>
                </c:pt>
                <c:pt idx="14">
                  <c:v>65.23052433506168</c:v>
                </c:pt>
                <c:pt idx="15">
                  <c:v>65.70445404995925</c:v>
                </c:pt>
                <c:pt idx="16">
                  <c:v>65.91695610240724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0.624128073761032</c:v>
                  </c:pt>
                  <c:pt idx="1">
                    <c:v>0.717910564495255</c:v>
                  </c:pt>
                  <c:pt idx="2">
                    <c:v>0.782500842015503</c:v>
                  </c:pt>
                  <c:pt idx="3">
                    <c:v>0.56484901151423</c:v>
                  </c:pt>
                  <c:pt idx="4">
                    <c:v>0.584999586328132</c:v>
                  </c:pt>
                  <c:pt idx="5">
                    <c:v>0.855404940111266</c:v>
                  </c:pt>
                  <c:pt idx="6">
                    <c:v>0.745270189144335</c:v>
                  </c:pt>
                  <c:pt idx="7">
                    <c:v>0.918815130422661</c:v>
                  </c:pt>
                  <c:pt idx="8">
                    <c:v>0.691607580285978</c:v>
                  </c:pt>
                  <c:pt idx="9">
                    <c:v>0.488280797014176</c:v>
                  </c:pt>
                  <c:pt idx="10">
                    <c:v>0.181027600001954</c:v>
                  </c:pt>
                  <c:pt idx="11">
                    <c:v>0.188324975279668</c:v>
                  </c:pt>
                  <c:pt idx="12">
                    <c:v>0.776522688792249</c:v>
                  </c:pt>
                  <c:pt idx="13">
                    <c:v>0.491256984956735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0.624128073761032</c:v>
                  </c:pt>
                  <c:pt idx="1">
                    <c:v>0.717910564495255</c:v>
                  </c:pt>
                  <c:pt idx="2">
                    <c:v>0.782500842015503</c:v>
                  </c:pt>
                  <c:pt idx="3">
                    <c:v>0.56484901151423</c:v>
                  </c:pt>
                  <c:pt idx="4">
                    <c:v>0.584999586328132</c:v>
                  </c:pt>
                  <c:pt idx="5">
                    <c:v>0.855404940111266</c:v>
                  </c:pt>
                  <c:pt idx="6">
                    <c:v>0.745270189144335</c:v>
                  </c:pt>
                  <c:pt idx="7">
                    <c:v>0.918815130422661</c:v>
                  </c:pt>
                  <c:pt idx="8">
                    <c:v>0.691607580285978</c:v>
                  </c:pt>
                  <c:pt idx="9">
                    <c:v>0.488280797014176</c:v>
                  </c:pt>
                  <c:pt idx="10">
                    <c:v>0.181027600001954</c:v>
                  </c:pt>
                  <c:pt idx="11">
                    <c:v>0.188324975279668</c:v>
                  </c:pt>
                  <c:pt idx="12">
                    <c:v>0.776522688792249</c:v>
                  </c:pt>
                  <c:pt idx="13">
                    <c:v>0.491256984956735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6.41610543848215</c:v>
                </c:pt>
                <c:pt idx="1">
                  <c:v>6.039539430805995</c:v>
                </c:pt>
                <c:pt idx="2">
                  <c:v>6.633355058295316</c:v>
                </c:pt>
                <c:pt idx="3">
                  <c:v>6.865087986096025</c:v>
                </c:pt>
                <c:pt idx="4">
                  <c:v>6.000609399431064</c:v>
                </c:pt>
                <c:pt idx="5">
                  <c:v>6.609366874735664</c:v>
                </c:pt>
                <c:pt idx="6">
                  <c:v>6.552844581498887</c:v>
                </c:pt>
                <c:pt idx="7">
                  <c:v>7.551848660357936</c:v>
                </c:pt>
                <c:pt idx="8">
                  <c:v>10.82546038624506</c:v>
                </c:pt>
                <c:pt idx="9">
                  <c:v>10.69785954935736</c:v>
                </c:pt>
                <c:pt idx="10">
                  <c:v>12.91523265099659</c:v>
                </c:pt>
                <c:pt idx="11">
                  <c:v>15.16853369528168</c:v>
                </c:pt>
                <c:pt idx="12">
                  <c:v>13.5432740436972</c:v>
                </c:pt>
                <c:pt idx="13">
                  <c:v>7.412187772191624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0.00614702575633687</c:v>
                </c:pt>
                <c:pt idx="2">
                  <c:v>0.019833644215045</c:v>
                </c:pt>
                <c:pt idx="3">
                  <c:v>0.0342873760731807</c:v>
                </c:pt>
                <c:pt idx="4">
                  <c:v>0.0480464861039276</c:v>
                </c:pt>
                <c:pt idx="5">
                  <c:v>0.0619219744539206</c:v>
                </c:pt>
                <c:pt idx="6">
                  <c:v>0.0758085694665913</c:v>
                </c:pt>
                <c:pt idx="7">
                  <c:v>0.0903059335189487</c:v>
                </c:pt>
                <c:pt idx="8">
                  <c:v>0.107153139619051</c:v>
                </c:pt>
                <c:pt idx="9">
                  <c:v>0.127818104703871</c:v>
                </c:pt>
                <c:pt idx="10">
                  <c:v>0.15452062035254</c:v>
                </c:pt>
                <c:pt idx="11">
                  <c:v>0.189852126882391</c:v>
                </c:pt>
                <c:pt idx="12">
                  <c:v>0.238053005780192</c:v>
                </c:pt>
                <c:pt idx="13">
                  <c:v>0.304066782390053</c:v>
                </c:pt>
                <c:pt idx="14">
                  <c:v>0.400389956074935</c:v>
                </c:pt>
                <c:pt idx="15">
                  <c:v>0.547647669138995</c:v>
                </c:pt>
                <c:pt idx="16">
                  <c:v>0.757222034839465</c:v>
                </c:pt>
                <c:pt idx="17">
                  <c:v>1.03956364609182</c:v>
                </c:pt>
                <c:pt idx="18">
                  <c:v>1.424862584940469</c:v>
                </c:pt>
                <c:pt idx="19">
                  <c:v>1.937251413189038</c:v>
                </c:pt>
                <c:pt idx="20">
                  <c:v>2.612860907720846</c:v>
                </c:pt>
                <c:pt idx="21">
                  <c:v>3.471482256929962</c:v>
                </c:pt>
                <c:pt idx="22">
                  <c:v>4.500781429336438</c:v>
                </c:pt>
                <c:pt idx="23">
                  <c:v>5.753676836517108</c:v>
                </c:pt>
                <c:pt idx="24">
                  <c:v>7.224120748909037</c:v>
                </c:pt>
                <c:pt idx="25">
                  <c:v>8.857113749343753</c:v>
                </c:pt>
                <c:pt idx="26">
                  <c:v>10.71255097475447</c:v>
                </c:pt>
                <c:pt idx="27">
                  <c:v>12.79318588318188</c:v>
                </c:pt>
                <c:pt idx="28">
                  <c:v>15.05040311644933</c:v>
                </c:pt>
                <c:pt idx="29">
                  <c:v>17.44849223266104</c:v>
                </c:pt>
                <c:pt idx="30">
                  <c:v>19.90301473025121</c:v>
                </c:pt>
                <c:pt idx="31">
                  <c:v>22.41514958630997</c:v>
                </c:pt>
                <c:pt idx="32">
                  <c:v>24.95894270983049</c:v>
                </c:pt>
                <c:pt idx="33">
                  <c:v>27.44366415710748</c:v>
                </c:pt>
                <c:pt idx="34">
                  <c:v>29.93409881215637</c:v>
                </c:pt>
                <c:pt idx="35">
                  <c:v>32.45048579208905</c:v>
                </c:pt>
                <c:pt idx="36">
                  <c:v>34.96367498535106</c:v>
                </c:pt>
                <c:pt idx="37">
                  <c:v>37.44004316819922</c:v>
                </c:pt>
                <c:pt idx="38">
                  <c:v>39.80151036256071</c:v>
                </c:pt>
                <c:pt idx="39">
                  <c:v>42.02498940232514</c:v>
                </c:pt>
                <c:pt idx="40">
                  <c:v>44.01078880159658</c:v>
                </c:pt>
                <c:pt idx="41">
                  <c:v>45.63661038763679</c:v>
                </c:pt>
                <c:pt idx="42">
                  <c:v>46.91332781812147</c:v>
                </c:pt>
                <c:pt idx="43">
                  <c:v>47.93146009243939</c:v>
                </c:pt>
                <c:pt idx="44">
                  <c:v>48.75134277691893</c:v>
                </c:pt>
                <c:pt idx="45">
                  <c:v>49.41359696168034</c:v>
                </c:pt>
                <c:pt idx="46">
                  <c:v>49.95406365452556</c:v>
                </c:pt>
                <c:pt idx="47">
                  <c:v>50.39632203233548</c:v>
                </c:pt>
                <c:pt idx="48">
                  <c:v>50.77726742913833</c:v>
                </c:pt>
                <c:pt idx="49">
                  <c:v>51.12208194423414</c:v>
                </c:pt>
                <c:pt idx="50">
                  <c:v>51.42424457836805</c:v>
                </c:pt>
                <c:pt idx="51">
                  <c:v>51.68233759302166</c:v>
                </c:pt>
                <c:pt idx="52">
                  <c:v>51.90416151354641</c:v>
                </c:pt>
                <c:pt idx="53">
                  <c:v>52.09804733183801</c:v>
                </c:pt>
                <c:pt idx="54">
                  <c:v>52.26795132072686</c:v>
                </c:pt>
                <c:pt idx="55">
                  <c:v>52.41604513319433</c:v>
                </c:pt>
                <c:pt idx="56">
                  <c:v>52.54496984066097</c:v>
                </c:pt>
                <c:pt idx="57">
                  <c:v>52.65918076939884</c:v>
                </c:pt>
                <c:pt idx="58">
                  <c:v>52.76128817042592</c:v>
                </c:pt>
                <c:pt idx="59">
                  <c:v>52.85041544036904</c:v>
                </c:pt>
                <c:pt idx="60">
                  <c:v>52.91788301804304</c:v>
                </c:pt>
                <c:pt idx="61">
                  <c:v>52.9830649884246</c:v>
                </c:pt>
                <c:pt idx="62">
                  <c:v>53.05650102621324</c:v>
                </c:pt>
                <c:pt idx="63">
                  <c:v>53.11917502264642</c:v>
                </c:pt>
                <c:pt idx="64">
                  <c:v>53.1728318481512</c:v>
                </c:pt>
                <c:pt idx="65">
                  <c:v>53.21868144012141</c:v>
                </c:pt>
                <c:pt idx="66">
                  <c:v>53.25820690672975</c:v>
                </c:pt>
                <c:pt idx="67">
                  <c:v>53.29342565537517</c:v>
                </c:pt>
                <c:pt idx="68">
                  <c:v>53.32423944598641</c:v>
                </c:pt>
                <c:pt idx="69">
                  <c:v>53.35174920116854</c:v>
                </c:pt>
                <c:pt idx="70">
                  <c:v>53.37727450691111</c:v>
                </c:pt>
                <c:pt idx="71">
                  <c:v>53.40059733363658</c:v>
                </c:pt>
                <c:pt idx="72">
                  <c:v>53.42371290550201</c:v>
                </c:pt>
                <c:pt idx="73">
                  <c:v>53.44625044546427</c:v>
                </c:pt>
                <c:pt idx="74">
                  <c:v>53.45656501914029</c:v>
                </c:pt>
                <c:pt idx="75">
                  <c:v>53.45656501914029</c:v>
                </c:pt>
                <c:pt idx="76">
                  <c:v>53.45656501914029</c:v>
                </c:pt>
                <c:pt idx="77">
                  <c:v>53.45656501914029</c:v>
                </c:pt>
                <c:pt idx="78">
                  <c:v>53.45656501914029</c:v>
                </c:pt>
                <c:pt idx="79">
                  <c:v>53.45656501914029</c:v>
                </c:pt>
                <c:pt idx="80">
                  <c:v>53.45656501914029</c:v>
                </c:pt>
                <c:pt idx="81">
                  <c:v>53.45656501914029</c:v>
                </c:pt>
                <c:pt idx="82">
                  <c:v>53.45656501914029</c:v>
                </c:pt>
                <c:pt idx="83">
                  <c:v>53.45656501914029</c:v>
                </c:pt>
                <c:pt idx="84">
                  <c:v>53.45656501914029</c:v>
                </c:pt>
                <c:pt idx="85">
                  <c:v>53.45656501914029</c:v>
                </c:pt>
                <c:pt idx="86">
                  <c:v>53.45656501914029</c:v>
                </c:pt>
                <c:pt idx="87">
                  <c:v>53.45656501914029</c:v>
                </c:pt>
                <c:pt idx="88">
                  <c:v>53.45656501914029</c:v>
                </c:pt>
                <c:pt idx="89">
                  <c:v>53.45656501914029</c:v>
                </c:pt>
                <c:pt idx="90">
                  <c:v>53.45656501914029</c:v>
                </c:pt>
                <c:pt idx="91">
                  <c:v>53.45656501914029</c:v>
                </c:pt>
                <c:pt idx="92">
                  <c:v>53.45656501914029</c:v>
                </c:pt>
                <c:pt idx="93">
                  <c:v>53.45656501914029</c:v>
                </c:pt>
                <c:pt idx="94">
                  <c:v>53.45656501914029</c:v>
                </c:pt>
                <c:pt idx="95">
                  <c:v>53.45656501914029</c:v>
                </c:pt>
                <c:pt idx="96">
                  <c:v>53.45656501914029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0.567467936018296</c:v>
                  </c:pt>
                  <c:pt idx="1">
                    <c:v>0.367013216137137</c:v>
                  </c:pt>
                  <c:pt idx="2">
                    <c:v>0.258148666834669</c:v>
                  </c:pt>
                  <c:pt idx="3">
                    <c:v>0.338193385525016</c:v>
                  </c:pt>
                  <c:pt idx="4">
                    <c:v>0.833905676127753</c:v>
                  </c:pt>
                  <c:pt idx="5">
                    <c:v>0.272147692094874</c:v>
                  </c:pt>
                  <c:pt idx="6">
                    <c:v>0.0973003261404117</c:v>
                  </c:pt>
                  <c:pt idx="7">
                    <c:v>0.280644156817304</c:v>
                  </c:pt>
                  <c:pt idx="8">
                    <c:v>0.300499897303066</c:v>
                  </c:pt>
                  <c:pt idx="9">
                    <c:v>0.291859256939471</c:v>
                  </c:pt>
                  <c:pt idx="10">
                    <c:v>0.231823992970167</c:v>
                  </c:pt>
                  <c:pt idx="11">
                    <c:v>0.121257961283949</c:v>
                  </c:pt>
                  <c:pt idx="12">
                    <c:v>0.450880297754212</c:v>
                  </c:pt>
                  <c:pt idx="13">
                    <c:v>0.0532552908784111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0.567467936018296</c:v>
                  </c:pt>
                  <c:pt idx="1">
                    <c:v>0.367013216137137</c:v>
                  </c:pt>
                  <c:pt idx="2">
                    <c:v>0.258148666834669</c:v>
                  </c:pt>
                  <c:pt idx="3">
                    <c:v>0.338193385525016</c:v>
                  </c:pt>
                  <c:pt idx="4">
                    <c:v>0.833905676127753</c:v>
                  </c:pt>
                  <c:pt idx="5">
                    <c:v>0.272147692094874</c:v>
                  </c:pt>
                  <c:pt idx="6">
                    <c:v>0.0973003261404117</c:v>
                  </c:pt>
                  <c:pt idx="7">
                    <c:v>0.280644156817304</c:v>
                  </c:pt>
                  <c:pt idx="8">
                    <c:v>0.300499897303066</c:v>
                  </c:pt>
                  <c:pt idx="9">
                    <c:v>0.291859256939471</c:v>
                  </c:pt>
                  <c:pt idx="10">
                    <c:v>0.231823992970167</c:v>
                  </c:pt>
                  <c:pt idx="11">
                    <c:v>0.121257961283949</c:v>
                  </c:pt>
                  <c:pt idx="12">
                    <c:v>0.450880297754212</c:v>
                  </c:pt>
                  <c:pt idx="13">
                    <c:v>0.0532552908784111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51.5208703374778</c:v>
                </c:pt>
                <c:pt idx="1">
                  <c:v>51.90386323268206</c:v>
                </c:pt>
                <c:pt idx="2">
                  <c:v>51.20448490230905</c:v>
                </c:pt>
                <c:pt idx="3">
                  <c:v>51.39135583185317</c:v>
                </c:pt>
                <c:pt idx="4">
                  <c:v>50.8209179491423</c:v>
                </c:pt>
                <c:pt idx="5">
                  <c:v>51.17457391621651</c:v>
                </c:pt>
                <c:pt idx="6">
                  <c:v>49.49528240652172</c:v>
                </c:pt>
                <c:pt idx="7">
                  <c:v>47.6200522465645</c:v>
                </c:pt>
                <c:pt idx="8">
                  <c:v>44.49724089251144</c:v>
                </c:pt>
                <c:pt idx="9">
                  <c:v>37.67846714756912</c:v>
                </c:pt>
                <c:pt idx="10">
                  <c:v>28.05193506002199</c:v>
                </c:pt>
                <c:pt idx="11">
                  <c:v>19.40825031492244</c:v>
                </c:pt>
                <c:pt idx="12">
                  <c:v>11.66178761351975</c:v>
                </c:pt>
                <c:pt idx="13">
                  <c:v>5.560037628189615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0.0300504562046621</c:v>
                  </c:pt>
                  <c:pt idx="5">
                    <c:v>0.011358004843082</c:v>
                  </c:pt>
                  <c:pt idx="6">
                    <c:v>0.0602475476868358</c:v>
                  </c:pt>
                  <c:pt idx="7">
                    <c:v>0.0228486500839559</c:v>
                  </c:pt>
                  <c:pt idx="8">
                    <c:v>0.0459787369980854</c:v>
                  </c:pt>
                  <c:pt idx="9">
                    <c:v>0.098476951948937</c:v>
                  </c:pt>
                  <c:pt idx="10">
                    <c:v>0.138603302913428</c:v>
                  </c:pt>
                  <c:pt idx="11">
                    <c:v>0.136263165308437</c:v>
                  </c:pt>
                  <c:pt idx="12">
                    <c:v>0.608539785700266</c:v>
                  </c:pt>
                  <c:pt idx="13">
                    <c:v>0.197313992155956</c:v>
                  </c:pt>
                  <c:pt idx="14">
                    <c:v>0.170049087495097</c:v>
                  </c:pt>
                  <c:pt idx="15">
                    <c:v>0.283127857635999</c:v>
                  </c:pt>
                  <c:pt idx="16">
                    <c:v>0.230997836487671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0.0300504562046621</c:v>
                  </c:pt>
                  <c:pt idx="5">
                    <c:v>0.011358004843082</c:v>
                  </c:pt>
                  <c:pt idx="6">
                    <c:v>0.0602475476868358</c:v>
                  </c:pt>
                  <c:pt idx="7">
                    <c:v>0.0228486500839559</c:v>
                  </c:pt>
                  <c:pt idx="8">
                    <c:v>0.0459787369980854</c:v>
                  </c:pt>
                  <c:pt idx="9">
                    <c:v>0.098476951948937</c:v>
                  </c:pt>
                  <c:pt idx="10">
                    <c:v>0.138603302913428</c:v>
                  </c:pt>
                  <c:pt idx="11">
                    <c:v>0.136263165308437</c:v>
                  </c:pt>
                  <c:pt idx="12">
                    <c:v>0.608539785700266</c:v>
                  </c:pt>
                  <c:pt idx="13">
                    <c:v>0.197313992155956</c:v>
                  </c:pt>
                  <c:pt idx="14">
                    <c:v>0.170049087495097</c:v>
                  </c:pt>
                  <c:pt idx="15">
                    <c:v>0.283127857635999</c:v>
                  </c:pt>
                  <c:pt idx="16">
                    <c:v>0.230997836487671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0.0681480290584921</c:v>
                </c:pt>
                <c:pt idx="5">
                  <c:v>0.442962188880198</c:v>
                </c:pt>
                <c:pt idx="6">
                  <c:v>1.719243162172264</c:v>
                </c:pt>
                <c:pt idx="7">
                  <c:v>3.97566511460832</c:v>
                </c:pt>
                <c:pt idx="8">
                  <c:v>7.195672340200361</c:v>
                </c:pt>
                <c:pt idx="9">
                  <c:v>11.00376535536064</c:v>
                </c:pt>
                <c:pt idx="10">
                  <c:v>15.47546002740846</c:v>
                </c:pt>
                <c:pt idx="11">
                  <c:v>19.11750312726965</c:v>
                </c:pt>
                <c:pt idx="12">
                  <c:v>21.06664162408279</c:v>
                </c:pt>
                <c:pt idx="13">
                  <c:v>21.66933904094704</c:v>
                </c:pt>
                <c:pt idx="14">
                  <c:v>22.96374669130453</c:v>
                </c:pt>
                <c:pt idx="15">
                  <c:v>23.85227946484028</c:v>
                </c:pt>
                <c:pt idx="16">
                  <c:v>24.761474128199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0.0133542869736304</c:v>
                </c:pt>
                <c:pt idx="2">
                  <c:v>0.0413197759096484</c:v>
                </c:pt>
                <c:pt idx="3">
                  <c:v>0.0706990175286181</c:v>
                </c:pt>
                <c:pt idx="4">
                  <c:v>0.103515384036531</c:v>
                </c:pt>
                <c:pt idx="5">
                  <c:v>0.14052115074602</c:v>
                </c:pt>
                <c:pt idx="6">
                  <c:v>0.184311455018862</c:v>
                </c:pt>
                <c:pt idx="7">
                  <c:v>0.245830909993651</c:v>
                </c:pt>
                <c:pt idx="8">
                  <c:v>0.332624102676088</c:v>
                </c:pt>
                <c:pt idx="9">
                  <c:v>0.461397374511785</c:v>
                </c:pt>
                <c:pt idx="10">
                  <c:v>0.64188004235948</c:v>
                </c:pt>
                <c:pt idx="11">
                  <c:v>0.876831884710226</c:v>
                </c:pt>
                <c:pt idx="12">
                  <c:v>1.187392076898812</c:v>
                </c:pt>
                <c:pt idx="13">
                  <c:v>1.588874084478998</c:v>
                </c:pt>
                <c:pt idx="14">
                  <c:v>2.115037301665041</c:v>
                </c:pt>
                <c:pt idx="15">
                  <c:v>2.836785991846252</c:v>
                </c:pt>
                <c:pt idx="16">
                  <c:v>3.805744741058774</c:v>
                </c:pt>
                <c:pt idx="17">
                  <c:v>5.044181983307497</c:v>
                </c:pt>
                <c:pt idx="18">
                  <c:v>6.572806748592297</c:v>
                </c:pt>
                <c:pt idx="19">
                  <c:v>8.423667002896344</c:v>
                </c:pt>
                <c:pt idx="20">
                  <c:v>10.69734322748542</c:v>
                </c:pt>
                <c:pt idx="21">
                  <c:v>13.38611682135145</c:v>
                </c:pt>
                <c:pt idx="22">
                  <c:v>16.50509703424311</c:v>
                </c:pt>
                <c:pt idx="23">
                  <c:v>19.80316850049417</c:v>
                </c:pt>
                <c:pt idx="24">
                  <c:v>22.73038259313024</c:v>
                </c:pt>
                <c:pt idx="25">
                  <c:v>25.28412360099439</c:v>
                </c:pt>
                <c:pt idx="26">
                  <c:v>28.05730724295692</c:v>
                </c:pt>
                <c:pt idx="27">
                  <c:v>31.45060235775358</c:v>
                </c:pt>
                <c:pt idx="28">
                  <c:v>35.58314463782305</c:v>
                </c:pt>
                <c:pt idx="29">
                  <c:v>40.02803445441047</c:v>
                </c:pt>
                <c:pt idx="30">
                  <c:v>44.23011936942031</c:v>
                </c:pt>
                <c:pt idx="31">
                  <c:v>48.79621351929411</c:v>
                </c:pt>
                <c:pt idx="32">
                  <c:v>54.11990819852871</c:v>
                </c:pt>
                <c:pt idx="33">
                  <c:v>59.81458754370836</c:v>
                </c:pt>
                <c:pt idx="34">
                  <c:v>65.2205932432165</c:v>
                </c:pt>
                <c:pt idx="35">
                  <c:v>69.69288174911382</c:v>
                </c:pt>
                <c:pt idx="36">
                  <c:v>73.71661137751242</c:v>
                </c:pt>
                <c:pt idx="37">
                  <c:v>77.54838082490301</c:v>
                </c:pt>
                <c:pt idx="38">
                  <c:v>80.61818373510804</c:v>
                </c:pt>
                <c:pt idx="39">
                  <c:v>82.92738412012969</c:v>
                </c:pt>
                <c:pt idx="40">
                  <c:v>84.52089004339765</c:v>
                </c:pt>
                <c:pt idx="41">
                  <c:v>85.35368416676867</c:v>
                </c:pt>
                <c:pt idx="42">
                  <c:v>85.69772599275583</c:v>
                </c:pt>
                <c:pt idx="43">
                  <c:v>85.8192998773174</c:v>
                </c:pt>
                <c:pt idx="44">
                  <c:v>85.86622705191135</c:v>
                </c:pt>
                <c:pt idx="45">
                  <c:v>85.90022192108558</c:v>
                </c:pt>
                <c:pt idx="46">
                  <c:v>85.93454406528127</c:v>
                </c:pt>
                <c:pt idx="47">
                  <c:v>85.97437771852105</c:v>
                </c:pt>
                <c:pt idx="48">
                  <c:v>86.03200755682643</c:v>
                </c:pt>
                <c:pt idx="49">
                  <c:v>86.12500575079281</c:v>
                </c:pt>
                <c:pt idx="50">
                  <c:v>86.23720446286263</c:v>
                </c:pt>
                <c:pt idx="51">
                  <c:v>86.3346200502979</c:v>
                </c:pt>
                <c:pt idx="52">
                  <c:v>86.41330631616908</c:v>
                </c:pt>
                <c:pt idx="53">
                  <c:v>86.48374693895165</c:v>
                </c:pt>
                <c:pt idx="54">
                  <c:v>86.55630824251132</c:v>
                </c:pt>
                <c:pt idx="55">
                  <c:v>86.62333313490863</c:v>
                </c:pt>
                <c:pt idx="56">
                  <c:v>86.68317213190585</c:v>
                </c:pt>
                <c:pt idx="57">
                  <c:v>86.75496766700156</c:v>
                </c:pt>
                <c:pt idx="58">
                  <c:v>86.82517298786449</c:v>
                </c:pt>
                <c:pt idx="59">
                  <c:v>86.88412886178795</c:v>
                </c:pt>
                <c:pt idx="60">
                  <c:v>86.91428425490626</c:v>
                </c:pt>
                <c:pt idx="61">
                  <c:v>86.94420057493096</c:v>
                </c:pt>
                <c:pt idx="62">
                  <c:v>87.00447434459069</c:v>
                </c:pt>
                <c:pt idx="63">
                  <c:v>87.06462198667504</c:v>
                </c:pt>
                <c:pt idx="64">
                  <c:v>87.12596625620812</c:v>
                </c:pt>
                <c:pt idx="65">
                  <c:v>87.18825553184607</c:v>
                </c:pt>
                <c:pt idx="66">
                  <c:v>87.24701767202212</c:v>
                </c:pt>
                <c:pt idx="67">
                  <c:v>87.30899194562512</c:v>
                </c:pt>
                <c:pt idx="68">
                  <c:v>87.37354834858513</c:v>
                </c:pt>
                <c:pt idx="69">
                  <c:v>87.43123998888783</c:v>
                </c:pt>
                <c:pt idx="70">
                  <c:v>87.48653837429312</c:v>
                </c:pt>
                <c:pt idx="71">
                  <c:v>87.54479663797461</c:v>
                </c:pt>
                <c:pt idx="72">
                  <c:v>87.60702316672834</c:v>
                </c:pt>
                <c:pt idx="73">
                  <c:v>87.6659748151709</c:v>
                </c:pt>
                <c:pt idx="74">
                  <c:v>87.72121045369195</c:v>
                </c:pt>
                <c:pt idx="75">
                  <c:v>87.78003597455914</c:v>
                </c:pt>
                <c:pt idx="76">
                  <c:v>87.83816874447218</c:v>
                </c:pt>
                <c:pt idx="77">
                  <c:v>87.8937193850282</c:v>
                </c:pt>
                <c:pt idx="78">
                  <c:v>87.9515998997905</c:v>
                </c:pt>
                <c:pt idx="79">
                  <c:v>88.01231416525365</c:v>
                </c:pt>
                <c:pt idx="80">
                  <c:v>88.06868305053228</c:v>
                </c:pt>
                <c:pt idx="81">
                  <c:v>88.12284755537308</c:v>
                </c:pt>
                <c:pt idx="82">
                  <c:v>88.18286906988207</c:v>
                </c:pt>
                <c:pt idx="83">
                  <c:v>88.24175733763349</c:v>
                </c:pt>
                <c:pt idx="84">
                  <c:v>88.28319943634187</c:v>
                </c:pt>
                <c:pt idx="85">
                  <c:v>88.3225626483809</c:v>
                </c:pt>
                <c:pt idx="86">
                  <c:v>88.37383002182972</c:v>
                </c:pt>
                <c:pt idx="87">
                  <c:v>88.42667240545335</c:v>
                </c:pt>
                <c:pt idx="88">
                  <c:v>88.47938866150162</c:v>
                </c:pt>
                <c:pt idx="89">
                  <c:v>88.5329231622725</c:v>
                </c:pt>
                <c:pt idx="90">
                  <c:v>88.58507216113506</c:v>
                </c:pt>
                <c:pt idx="91">
                  <c:v>88.63445015618102</c:v>
                </c:pt>
                <c:pt idx="92">
                  <c:v>88.68288314512209</c:v>
                </c:pt>
                <c:pt idx="93">
                  <c:v>88.73245001462764</c:v>
                </c:pt>
                <c:pt idx="94">
                  <c:v>88.78315076469768</c:v>
                </c:pt>
                <c:pt idx="95">
                  <c:v>88.83372538719234</c:v>
                </c:pt>
                <c:pt idx="96">
                  <c:v>88.88910630426697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26424"/>
        <c:axId val="-2075620632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4888.0</c:v>
                </c:pt>
                <c:pt idx="1">
                  <c:v>5890.0</c:v>
                </c:pt>
                <c:pt idx="2">
                  <c:v>9242.0</c:v>
                </c:pt>
                <c:pt idx="3">
                  <c:v>18317.0</c:v>
                </c:pt>
                <c:pt idx="4">
                  <c:v>3750.0</c:v>
                </c:pt>
                <c:pt idx="5">
                  <c:v>9891.0</c:v>
                </c:pt>
                <c:pt idx="6">
                  <c:v>31792.0</c:v>
                </c:pt>
                <c:pt idx="7">
                  <c:v>6481.0</c:v>
                </c:pt>
                <c:pt idx="8">
                  <c:v>11045.0</c:v>
                </c:pt>
                <c:pt idx="9">
                  <c:v>15411.0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0.0201416999675632</c:v>
                  </c:pt>
                  <c:pt idx="7">
                    <c:v>0.0606015239274832</c:v>
                  </c:pt>
                  <c:pt idx="8">
                    <c:v>0.0910196549341588</c:v>
                  </c:pt>
                  <c:pt idx="9">
                    <c:v>0.0978043855322109</c:v>
                  </c:pt>
                  <c:pt idx="10">
                    <c:v>0.0369665830356734</c:v>
                  </c:pt>
                  <c:pt idx="11">
                    <c:v>0.273527735902595</c:v>
                  </c:pt>
                  <c:pt idx="12">
                    <c:v>0.337288419243828</c:v>
                  </c:pt>
                  <c:pt idx="13">
                    <c:v>0.164283088482453</c:v>
                  </c:pt>
                  <c:pt idx="14">
                    <c:v>0.592907577306952</c:v>
                  </c:pt>
                  <c:pt idx="15">
                    <c:v>0.345296381100835</c:v>
                  </c:pt>
                  <c:pt idx="16">
                    <c:v>0.26927941968706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0.0201416999675632</c:v>
                  </c:pt>
                  <c:pt idx="7">
                    <c:v>0.0606015239274832</c:v>
                  </c:pt>
                  <c:pt idx="8">
                    <c:v>0.0910196549341588</c:v>
                  </c:pt>
                  <c:pt idx="9">
                    <c:v>0.0978043855322109</c:v>
                  </c:pt>
                  <c:pt idx="10">
                    <c:v>0.0369665830356734</c:v>
                  </c:pt>
                  <c:pt idx="11">
                    <c:v>0.273527735902595</c:v>
                  </c:pt>
                  <c:pt idx="12">
                    <c:v>0.337288419243828</c:v>
                  </c:pt>
                  <c:pt idx="13">
                    <c:v>0.164283088482453</c:v>
                  </c:pt>
                  <c:pt idx="14">
                    <c:v>0.592907577306952</c:v>
                  </c:pt>
                  <c:pt idx="15">
                    <c:v>0.345296381100835</c:v>
                  </c:pt>
                  <c:pt idx="16">
                    <c:v>0.26927941968706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0.1514714</c:v>
                </c:pt>
                <c:pt idx="1">
                  <c:v>0.1562735</c:v>
                </c:pt>
                <c:pt idx="2">
                  <c:v>0.1690791</c:v>
                </c:pt>
                <c:pt idx="3">
                  <c:v>0.1914889</c:v>
                </c:pt>
                <c:pt idx="4">
                  <c:v>0.2619197</c:v>
                </c:pt>
                <c:pt idx="5">
                  <c:v>0.3963785</c:v>
                </c:pt>
                <c:pt idx="6">
                  <c:v>0.920094833333333</c:v>
                </c:pt>
                <c:pt idx="7">
                  <c:v>1.749483333333333</c:v>
                </c:pt>
                <c:pt idx="8">
                  <c:v>3.024707666666666</c:v>
                </c:pt>
                <c:pt idx="9">
                  <c:v>4.843554666666666</c:v>
                </c:pt>
                <c:pt idx="10">
                  <c:v>7.041849333333334</c:v>
                </c:pt>
                <c:pt idx="11">
                  <c:v>8.56785</c:v>
                </c:pt>
                <c:pt idx="12">
                  <c:v>10.00848</c:v>
                </c:pt>
                <c:pt idx="13">
                  <c:v>10.49936133333333</c:v>
                </c:pt>
                <c:pt idx="14">
                  <c:v>8.920004000000002</c:v>
                </c:pt>
                <c:pt idx="15">
                  <c:v>7.020506666666667</c:v>
                </c:pt>
                <c:pt idx="16">
                  <c:v>4.427988000000001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09240"/>
        <c:axId val="-2075614888"/>
      </c:scatterChart>
      <c:valAx>
        <c:axId val="-207562642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5620632"/>
        <c:crosses val="autoZero"/>
        <c:crossBetween val="midCat"/>
        <c:majorUnit val="6.0"/>
      </c:valAx>
      <c:valAx>
        <c:axId val="-207562063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5626424"/>
        <c:crosses val="autoZero"/>
        <c:crossBetween val="midCat"/>
      </c:valAx>
      <c:valAx>
        <c:axId val="-2075614888"/>
        <c:scaling>
          <c:orientation val="minMax"/>
          <c:max val="11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5609240"/>
        <c:crosses val="max"/>
        <c:crossBetween val="midCat"/>
        <c:majorUnit val="1.0"/>
        <c:minorUnit val="0.2"/>
      </c:valAx>
      <c:valAx>
        <c:axId val="-207560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756148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/Desktop/PhD/ELN/BATCH/Monocultures/Faecalibacterium%20prausnitzii/2014_10_29_Batch4_FP_Fructose%20%20%20/Batch_4_FP_Calcul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rmentation"/>
      <sheetName val="Calculation"/>
      <sheetName val="Plate Count"/>
      <sheetName val="Flow cytometer"/>
      <sheetName val="Calibration F. prausnitzii"/>
      <sheetName val="Determination cell count"/>
      <sheetName val="OD600nm"/>
      <sheetName val="CDM"/>
      <sheetName val="H2"/>
      <sheetName val="CO2"/>
      <sheetName val="Metabolites"/>
      <sheetName val="D-Fructose"/>
      <sheetName val="Formic acid"/>
      <sheetName val="Acetic acid"/>
      <sheetName val="Propionic acid"/>
      <sheetName val="Butyric acid"/>
      <sheetName val="Lactic acid"/>
      <sheetName val="Ethanol"/>
      <sheetName val="Graph"/>
      <sheetName val="Graph (2)"/>
      <sheetName val="Carbon recovery"/>
    </sheetNames>
    <sheetDataSet>
      <sheetData sheetId="0"/>
      <sheetData sheetId="1"/>
      <sheetData sheetId="2"/>
      <sheetData sheetId="3"/>
      <sheetData sheetId="4">
        <row r="4">
          <cell r="R4">
            <v>8.6158560019212569</v>
          </cell>
        </row>
        <row r="5">
          <cell r="R5">
            <v>7.5787871690098934</v>
          </cell>
        </row>
        <row r="7">
          <cell r="R7">
            <v>5.1662524519541604</v>
          </cell>
        </row>
        <row r="8">
          <cell r="R8">
            <v>4.3271429450900092</v>
          </cell>
        </row>
        <row r="9">
          <cell r="R9">
            <v>8.5970052819172</v>
          </cell>
        </row>
        <row r="12">
          <cell r="R12">
            <v>7.6386549561082937</v>
          </cell>
        </row>
        <row r="13">
          <cell r="R13">
            <v>7.3179159600467427</v>
          </cell>
        </row>
        <row r="14">
          <cell r="R14">
            <v>6.9795002471622967</v>
          </cell>
        </row>
        <row r="15">
          <cell r="R15">
            <v>6.7271414012566968</v>
          </cell>
        </row>
        <row r="16">
          <cell r="R16">
            <v>6.2583457855668376</v>
          </cell>
        </row>
        <row r="17">
          <cell r="R17">
            <v>5.8987549482286576</v>
          </cell>
        </row>
        <row r="18">
          <cell r="R18">
            <v>5.5136855181177333</v>
          </cell>
        </row>
        <row r="23">
          <cell r="L23">
            <v>7.6159380716908052</v>
          </cell>
        </row>
        <row r="24">
          <cell r="L24">
            <v>10.997216745498585</v>
          </cell>
        </row>
        <row r="26">
          <cell r="L26">
            <v>18.925162836196829</v>
          </cell>
        </row>
        <row r="27">
          <cell r="L27">
            <v>22.150716984552947</v>
          </cell>
        </row>
        <row r="28">
          <cell r="L28">
            <v>7.9267727615103674</v>
          </cell>
        </row>
        <row r="31">
          <cell r="L31">
            <v>11.083116857376252</v>
          </cell>
        </row>
        <row r="32">
          <cell r="L32">
            <v>13.441737818883412</v>
          </cell>
        </row>
        <row r="33">
          <cell r="L33">
            <v>14.034818339513295</v>
          </cell>
        </row>
        <row r="34">
          <cell r="L34">
            <v>13.999122309850209</v>
          </cell>
        </row>
        <row r="35">
          <cell r="L35">
            <v>15.792017944819285</v>
          </cell>
        </row>
        <row r="36">
          <cell r="L36">
            <v>16.969425527420196</v>
          </cell>
        </row>
        <row r="37">
          <cell r="L37">
            <v>17.467782664464469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</sheetDataSet>
  </externalBook>
</externalLink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98.33203125" style="2" customWidth="1"/>
    <col min="4" max="16384" width="8.83203125" style="2"/>
  </cols>
  <sheetData>
    <row r="1" spans="1:3">
      <c r="A1" s="127" t="s">
        <v>0</v>
      </c>
      <c r="B1" s="128"/>
      <c r="C1" s="34">
        <v>42306</v>
      </c>
    </row>
    <row r="2" spans="1:3" ht="16">
      <c r="A2" s="127" t="s">
        <v>1</v>
      </c>
      <c r="B2" s="129"/>
      <c r="C2" s="32" t="s">
        <v>180</v>
      </c>
    </row>
    <row r="3" spans="1:3">
      <c r="A3" s="11"/>
      <c r="B3" s="11"/>
      <c r="C3" s="10"/>
    </row>
    <row r="4" spans="1:3">
      <c r="A4" s="130" t="s">
        <v>49</v>
      </c>
      <c r="B4" s="130"/>
      <c r="C4" s="7" t="s">
        <v>107</v>
      </c>
    </row>
    <row r="6" spans="1:3">
      <c r="A6" s="41" t="s">
        <v>83</v>
      </c>
      <c r="B6" s="41" t="s">
        <v>84</v>
      </c>
      <c r="C6" s="41" t="s">
        <v>69</v>
      </c>
    </row>
    <row r="7" spans="1:3">
      <c r="A7" s="32" t="s">
        <v>85</v>
      </c>
      <c r="B7" s="37" t="s">
        <v>86</v>
      </c>
      <c r="C7" s="37" t="s">
        <v>101</v>
      </c>
    </row>
    <row r="8" spans="1:3">
      <c r="A8" s="32" t="s">
        <v>87</v>
      </c>
      <c r="B8" s="37" t="s">
        <v>88</v>
      </c>
      <c r="C8" s="37" t="s">
        <v>101</v>
      </c>
    </row>
    <row r="9" spans="1:3">
      <c r="A9" s="32" t="s">
        <v>89</v>
      </c>
      <c r="B9" s="37" t="s">
        <v>90</v>
      </c>
      <c r="C9" s="37" t="s">
        <v>101</v>
      </c>
    </row>
    <row r="10" spans="1:3">
      <c r="A10" s="32" t="s">
        <v>91</v>
      </c>
      <c r="B10" s="37" t="s">
        <v>92</v>
      </c>
      <c r="C10" s="37" t="s">
        <v>101</v>
      </c>
    </row>
    <row r="11" spans="1:3">
      <c r="A11" s="32" t="s">
        <v>181</v>
      </c>
      <c r="B11" s="40" t="s">
        <v>182</v>
      </c>
      <c r="C11" s="32" t="s">
        <v>101</v>
      </c>
    </row>
    <row r="12" spans="1:3">
      <c r="A12" s="32" t="s">
        <v>73</v>
      </c>
      <c r="B12" s="37" t="s">
        <v>93</v>
      </c>
      <c r="C12" s="37" t="s">
        <v>101</v>
      </c>
    </row>
    <row r="13" spans="1:3" ht="16">
      <c r="A13" s="69" t="s">
        <v>77</v>
      </c>
      <c r="B13" s="37" t="s">
        <v>94</v>
      </c>
      <c r="C13" s="37" t="s">
        <v>101</v>
      </c>
    </row>
    <row r="14" spans="1:3" ht="16">
      <c r="A14" s="69" t="s">
        <v>76</v>
      </c>
      <c r="B14" s="37" t="s">
        <v>94</v>
      </c>
      <c r="C14" s="37" t="s">
        <v>101</v>
      </c>
    </row>
    <row r="15" spans="1:3" ht="16">
      <c r="A15" s="32" t="s">
        <v>109</v>
      </c>
      <c r="B15" s="37" t="s">
        <v>95</v>
      </c>
      <c r="C15" s="37" t="s">
        <v>101</v>
      </c>
    </row>
    <row r="16" spans="1:3" ht="16">
      <c r="A16" s="32" t="s">
        <v>108</v>
      </c>
      <c r="B16" s="37" t="s">
        <v>94</v>
      </c>
      <c r="C16" s="37" t="s">
        <v>101</v>
      </c>
    </row>
    <row r="17" spans="1:3" ht="16">
      <c r="A17" s="32" t="s">
        <v>110</v>
      </c>
      <c r="B17" s="37" t="s">
        <v>94</v>
      </c>
      <c r="C17" s="37" t="s">
        <v>101</v>
      </c>
    </row>
    <row r="18" spans="1:3" ht="16">
      <c r="A18" s="32" t="s">
        <v>111</v>
      </c>
      <c r="B18" s="37" t="s">
        <v>150</v>
      </c>
      <c r="C18" s="37" t="s">
        <v>101</v>
      </c>
    </row>
    <row r="19" spans="1:3" ht="16">
      <c r="A19" s="32" t="s">
        <v>75</v>
      </c>
      <c r="B19" s="37" t="s">
        <v>151</v>
      </c>
      <c r="C19" s="37" t="s">
        <v>101</v>
      </c>
    </row>
    <row r="20" spans="1:3" ht="16">
      <c r="A20" s="32" t="s">
        <v>112</v>
      </c>
      <c r="B20" s="37" t="s">
        <v>96</v>
      </c>
      <c r="C20" s="37" t="s">
        <v>101</v>
      </c>
    </row>
    <row r="21" spans="1:3" ht="16">
      <c r="A21" s="32" t="s">
        <v>113</v>
      </c>
      <c r="B21" s="37" t="s">
        <v>97</v>
      </c>
      <c r="C21" s="37" t="s">
        <v>101</v>
      </c>
    </row>
    <row r="22" spans="1:3" ht="16">
      <c r="A22" s="32" t="s">
        <v>114</v>
      </c>
      <c r="B22" s="37" t="s">
        <v>98</v>
      </c>
      <c r="C22" s="37" t="s">
        <v>101</v>
      </c>
    </row>
    <row r="23" spans="1:3" ht="16">
      <c r="A23" s="32" t="s">
        <v>115</v>
      </c>
      <c r="B23" s="37" t="s">
        <v>98</v>
      </c>
      <c r="C23" s="37" t="s">
        <v>101</v>
      </c>
    </row>
    <row r="24" spans="1:3">
      <c r="A24" s="32" t="s">
        <v>99</v>
      </c>
      <c r="B24" s="37" t="s">
        <v>98</v>
      </c>
      <c r="C24" s="37" t="s">
        <v>101</v>
      </c>
    </row>
    <row r="25" spans="1:3">
      <c r="A25" s="32" t="s">
        <v>100</v>
      </c>
      <c r="B25" s="37" t="s">
        <v>98</v>
      </c>
      <c r="C25" s="37" t="s">
        <v>101</v>
      </c>
    </row>
    <row r="26" spans="1:3">
      <c r="A26" s="32" t="s">
        <v>74</v>
      </c>
      <c r="B26" s="37" t="s">
        <v>102</v>
      </c>
      <c r="C26" s="37" t="s">
        <v>103</v>
      </c>
    </row>
    <row r="27" spans="1:3">
      <c r="A27" s="32" t="s">
        <v>104</v>
      </c>
      <c r="B27" s="37" t="s">
        <v>101</v>
      </c>
      <c r="C27" s="37" t="s">
        <v>106</v>
      </c>
    </row>
    <row r="28" spans="1:3">
      <c r="A28" s="32" t="s">
        <v>105</v>
      </c>
      <c r="B28" s="37" t="s">
        <v>101</v>
      </c>
      <c r="C28" s="37" t="s">
        <v>106</v>
      </c>
    </row>
    <row r="29" spans="1:3" ht="16">
      <c r="A29" s="29" t="s">
        <v>145</v>
      </c>
      <c r="B29" s="29" t="s">
        <v>146</v>
      </c>
      <c r="C29" s="29" t="s">
        <v>147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33" workbookViewId="0">
      <selection activeCell="I9" sqref="I9"/>
    </sheetView>
  </sheetViews>
  <sheetFormatPr baseColWidth="10" defaultRowHeight="14" x14ac:dyDescent="0"/>
  <cols>
    <col min="14" max="14" width="18.83203125" customWidth="1"/>
    <col min="15" max="15" width="20.1640625" customWidth="1"/>
    <col min="16" max="16" width="18.5" customWidth="1"/>
    <col min="17" max="18" width="19.1640625" customWidth="1"/>
    <col min="19" max="19" width="26" customWidth="1"/>
  </cols>
  <sheetData>
    <row r="1" spans="1:29">
      <c r="A1" s="101" t="s">
        <v>288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spans="1:29">
      <c r="A2" s="131" t="s">
        <v>4</v>
      </c>
      <c r="B2" s="131" t="s">
        <v>117</v>
      </c>
      <c r="C2" s="131" t="s">
        <v>117</v>
      </c>
      <c r="D2" s="131" t="s">
        <v>5</v>
      </c>
      <c r="E2" s="143" t="s">
        <v>221</v>
      </c>
      <c r="F2" s="143" t="s">
        <v>222</v>
      </c>
      <c r="G2" s="143" t="s">
        <v>223</v>
      </c>
      <c r="H2" s="145" t="s">
        <v>224</v>
      </c>
      <c r="I2" s="145" t="s">
        <v>225</v>
      </c>
      <c r="J2" s="145" t="s">
        <v>226</v>
      </c>
      <c r="K2" s="143" t="s">
        <v>227</v>
      </c>
      <c r="L2" s="143" t="s">
        <v>228</v>
      </c>
      <c r="M2" s="143" t="s">
        <v>229</v>
      </c>
      <c r="N2" s="143" t="s">
        <v>230</v>
      </c>
      <c r="O2" s="143" t="s">
        <v>231</v>
      </c>
      <c r="P2" s="145" t="s">
        <v>232</v>
      </c>
      <c r="Q2" s="145" t="s">
        <v>267</v>
      </c>
      <c r="R2" s="145" t="s">
        <v>234</v>
      </c>
      <c r="S2" s="145" t="s">
        <v>235</v>
      </c>
      <c r="T2" s="83"/>
      <c r="U2" s="83"/>
      <c r="V2" s="83"/>
      <c r="W2" s="83"/>
      <c r="X2" s="83"/>
      <c r="Y2" s="83"/>
      <c r="Z2" s="83"/>
      <c r="AA2" s="83"/>
      <c r="AB2" s="83"/>
      <c r="AC2" s="83"/>
    </row>
    <row r="3" spans="1:29">
      <c r="A3" s="132"/>
      <c r="B3" s="132"/>
      <c r="C3" s="132"/>
      <c r="D3" s="132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spans="1:2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30.153356552124023</v>
      </c>
      <c r="F4" s="97">
        <v>30.980045318603516</v>
      </c>
      <c r="G4" s="102">
        <v>29.362222671508789</v>
      </c>
      <c r="H4" s="108">
        <f>(E4-$H$53)+$H$67</f>
        <v>30.088518336695479</v>
      </c>
      <c r="I4" s="108">
        <f>(F4-$H$53)+$H$67</f>
        <v>30.915207103174971</v>
      </c>
      <c r="J4" s="108">
        <f>(G4-$H$53)+$H$67</f>
        <v>29.297384456080245</v>
      </c>
      <c r="K4" s="102">
        <f>((H4-'CalibrationB. hydrogenotrophica'!$D$45)/('CalibrationB. hydrogenotrophica'!$D$44))+$C$24</f>
        <v>6.4503231355850943</v>
      </c>
      <c r="L4" s="102">
        <f>((I4-'CalibrationB. hydrogenotrophica'!$D$45)/('CalibrationB. hydrogenotrophica'!$D$44))+$C$24</f>
        <v>6.2430966130173529</v>
      </c>
      <c r="M4" s="102">
        <f>((J4-'CalibrationB. hydrogenotrophica'!$D$45)/('CalibrationB. hydrogenotrophica'!$D$44))+$C$24</f>
        <v>6.6486370955818952</v>
      </c>
      <c r="N4" s="103">
        <f>AVERAGE(K4:M4)</f>
        <v>6.4473522813947808</v>
      </c>
      <c r="O4" s="103">
        <f>STDEV(K4:M4)</f>
        <v>0.20278656323986446</v>
      </c>
      <c r="P4" s="104">
        <f>(AVERAGE(POWER(10,K4),POWER(10,L4),POWER(10,M4)))*Calculation!$I4/Calculation!$K3</f>
        <v>3007852.2593435557</v>
      </c>
      <c r="Q4" s="104">
        <f>(STDEV(POWER(10,K4),POWER(10,L4),POWER(10,M4)))*Calculation!$I4/Calculation!$K3</f>
        <v>1361010.0056072464</v>
      </c>
      <c r="R4" s="103">
        <f>LOG(P4)</f>
        <v>6.4782565006271815</v>
      </c>
      <c r="S4" s="103">
        <f>O4*Calculation!$I4/Calculation!$K3</f>
        <v>0.20278656323986446</v>
      </c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spans="1:2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7">
        <v>27.752098083496094</v>
      </c>
      <c r="F5" s="97">
        <v>29.564849853515625</v>
      </c>
      <c r="G5" s="102">
        <v>27.957963943481445</v>
      </c>
      <c r="H5" s="108">
        <f>(E5-$H$53)+$H$67</f>
        <v>27.687259868067549</v>
      </c>
      <c r="I5" s="108">
        <f>(F5-$H$53)+$H$67</f>
        <v>29.500011638087081</v>
      </c>
      <c r="J5" s="108">
        <f>(G5-$H$53)+$H$67</f>
        <v>27.893125728052901</v>
      </c>
      <c r="K5" s="102">
        <f>((H5-'CalibrationB. hydrogenotrophica'!$D$45)/('CalibrationB. hydrogenotrophica'!$D$44))+$C$24</f>
        <v>7.0522479014908752</v>
      </c>
      <c r="L5" s="102">
        <f>((I5-'CalibrationB. hydrogenotrophica'!$D$45)/('CalibrationB. hydrogenotrophica'!$D$44))+$C$24</f>
        <v>6.5978444296989487</v>
      </c>
      <c r="M5" s="102">
        <f>((J5-'CalibrationB. hydrogenotrophica'!$D$45)/('CalibrationB. hydrogenotrophica'!$D$44))+$C$24</f>
        <v>7.0006433944381712</v>
      </c>
      <c r="N5" s="103">
        <f t="shared" ref="N5:N20" si="1">AVERAGE(K5:M5)</f>
        <v>6.8835785752093317</v>
      </c>
      <c r="O5" s="103">
        <f t="shared" ref="O5:O20" si="2">STDEV(K5:M5)</f>
        <v>0.24879460950742016</v>
      </c>
      <c r="P5" s="104">
        <f>(AVERAGE(POWER(10,K5),POWER(10,L5),POWER(10,M5)))*Calculation!$I5/Calculation!$K4</f>
        <v>8418199.120015623</v>
      </c>
      <c r="Q5" s="104">
        <f>(STDEV(POWER(10,K5),POWER(10,L5),POWER(10,M5)))*Calculation!$I5/Calculation!$K4</f>
        <v>3911101.6016576877</v>
      </c>
      <c r="R5" s="103">
        <f t="shared" ref="R5:R20" si="3">LOG(P5)</f>
        <v>6.9252191941253889</v>
      </c>
      <c r="S5" s="103">
        <f>O5*Calculation!$I5/Calculation!$K4</f>
        <v>0.24879460950742016</v>
      </c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2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27.301174163818359</v>
      </c>
      <c r="F6" s="97">
        <v>26.714599609375</v>
      </c>
      <c r="G6" s="102">
        <v>27.444072723388672</v>
      </c>
      <c r="H6" s="108">
        <f>(E6-$H$53)+$H$67</f>
        <v>27.236335948389819</v>
      </c>
      <c r="I6" s="108">
        <f>(F6-$H$53)+$H$67</f>
        <v>26.649761393946459</v>
      </c>
      <c r="J6" s="108">
        <f>(G6-$H$53)+$H$67</f>
        <v>27.379234507960128</v>
      </c>
      <c r="K6" s="102">
        <f>((H6-'CalibrationB. hydrogenotrophica'!$D$45)/('CalibrationB. hydrogenotrophica'!$D$44))+$C$24</f>
        <v>7.165281245605815</v>
      </c>
      <c r="L6" s="102">
        <f>((I6-'CalibrationB. hydrogenotrophica'!$D$45)/('CalibrationB. hydrogenotrophica'!$D$44))+$C$24</f>
        <v>7.3123182080913036</v>
      </c>
      <c r="M6" s="102">
        <f>((J6-'CalibrationB. hydrogenotrophica'!$D$45)/('CalibrationB. hydrogenotrophica'!$D$44))+$C$24</f>
        <v>7.1294607859837491</v>
      </c>
      <c r="N6" s="103">
        <f t="shared" si="1"/>
        <v>7.2023534132269562</v>
      </c>
      <c r="O6" s="103">
        <f t="shared" si="2"/>
        <v>9.6901849384067831E-2</v>
      </c>
      <c r="P6" s="104">
        <f>(AVERAGE(POWER(10,K6),POWER(10,L6),POWER(10,M6)))*Calculation!$I6/Calculation!$K5</f>
        <v>16210263.540281864</v>
      </c>
      <c r="Q6" s="104">
        <f>(STDEV(POWER(10,K6),POWER(10,L6),POWER(10,M6)))*Calculation!$I6/Calculation!$K5</f>
        <v>3782707.9664614354</v>
      </c>
      <c r="R6" s="103">
        <f t="shared" si="3"/>
        <v>7.209790075499952</v>
      </c>
      <c r="S6" s="103">
        <f>O6*Calculation!$I6/Calculation!$K5</f>
        <v>9.6901849384067845E-2</v>
      </c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spans="1:2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25.924900054931641</v>
      </c>
      <c r="F7" s="97">
        <v>27.199712753295898</v>
      </c>
      <c r="G7" s="102">
        <v>25.653207778930664</v>
      </c>
      <c r="H7" s="108">
        <f>(E7-$H$53)+$H$67</f>
        <v>25.8600618395031</v>
      </c>
      <c r="I7" s="108">
        <f>(F7-$H$53)+$H$67</f>
        <v>27.134874537867358</v>
      </c>
      <c r="J7" s="108">
        <f>(G7-$H$53)+$H$67</f>
        <v>25.588369563502123</v>
      </c>
      <c r="K7" s="102">
        <f>((H7-'CalibrationB. hydrogenotrophica'!$D$45)/('CalibrationB. hydrogenotrophica'!$D$44))+$C$24</f>
        <v>7.5102726247667508</v>
      </c>
      <c r="L7" s="102">
        <f>((I7-'CalibrationB. hydrogenotrophica'!$D$45)/('CalibrationB. hydrogenotrophica'!$D$44))+$C$24</f>
        <v>7.1907146325464968</v>
      </c>
      <c r="M7" s="102">
        <f>((J7-'CalibrationB. hydrogenotrophica'!$D$45)/('CalibrationB. hydrogenotrophica'!$D$44))+$C$24</f>
        <v>7.5783778753122037</v>
      </c>
      <c r="N7" s="103">
        <f t="shared" si="1"/>
        <v>7.4264550442084838</v>
      </c>
      <c r="O7" s="103">
        <f t="shared" si="2"/>
        <v>0.20697762573738993</v>
      </c>
      <c r="P7" s="104">
        <f>(AVERAGE(POWER(10,K7),POWER(10,L7),POWER(10,M7)))*Calculation!$I7/Calculation!$K6</f>
        <v>28590186.363203865</v>
      </c>
      <c r="Q7" s="104">
        <f>(STDEV(POWER(10,K7),POWER(10,L7),POWER(10,M7)))*Calculation!$I7/Calculation!$K6</f>
        <v>11653414.535748288</v>
      </c>
      <c r="R7" s="103">
        <f t="shared" si="3"/>
        <v>7.4562169862865399</v>
      </c>
      <c r="S7" s="103">
        <f>O7*Calculation!$I7/Calculation!$K6</f>
        <v>0.20697762573738993</v>
      </c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spans="1:2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26.407974243164062</v>
      </c>
      <c r="F8" s="97">
        <v>25.935920715332031</v>
      </c>
      <c r="G8" s="102">
        <v>25.412960052490234</v>
      </c>
      <c r="H8" s="108">
        <f>(E8-$H$53)+$H$67</f>
        <v>26.343136027735522</v>
      </c>
      <c r="I8" s="108">
        <f>(F8-$H$53)+$H$67</f>
        <v>25.871082499903491</v>
      </c>
      <c r="J8" s="108">
        <f>(G8-$H$53)+$H$67</f>
        <v>25.348121837061694</v>
      </c>
      <c r="K8" s="102">
        <f>((H8-'CalibrationB. hydrogenotrophica'!$D$45)/('CalibrationB. hydrogenotrophica'!$D$44))+$C$24</f>
        <v>7.389180155352963</v>
      </c>
      <c r="L8" s="102">
        <f>((I8-'CalibrationB. hydrogenotrophica'!$D$45)/('CalibrationB. hydrogenotrophica'!$D$44))+$C$24</f>
        <v>7.507510069832203</v>
      </c>
      <c r="M8" s="102">
        <f>((J8-'CalibrationB. hydrogenotrophica'!$D$45)/('CalibrationB. hydrogenotrophica'!$D$44))+$C$24</f>
        <v>7.6386009035227742</v>
      </c>
      <c r="N8" s="103">
        <f t="shared" si="1"/>
        <v>7.5117637095693128</v>
      </c>
      <c r="O8" s="103">
        <f t="shared" si="2"/>
        <v>0.12476476863544828</v>
      </c>
      <c r="P8" s="104">
        <f>(AVERAGE(POWER(10,K8),POWER(10,L8),POWER(10,M8)))*Calculation!$I8/Calculation!$K7</f>
        <v>33420623.504533716</v>
      </c>
      <c r="Q8" s="104">
        <f>(STDEV(POWER(10,K8),POWER(10,L8),POWER(10,M8)))*Calculation!$I8/Calculation!$K7</f>
        <v>9571047.9763037413</v>
      </c>
      <c r="R8" s="103">
        <f t="shared" si="3"/>
        <v>7.5240145479527198</v>
      </c>
      <c r="S8" s="103">
        <f>O8*Calculation!$I8/Calculation!$K7</f>
        <v>0.12485881715695848</v>
      </c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spans="1:2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25.558441162109375</v>
      </c>
      <c r="F9" s="97">
        <v>26.281089782714844</v>
      </c>
      <c r="G9" s="102">
        <v>26.211921691894531</v>
      </c>
      <c r="H9" s="108">
        <f>(E9-$H$53)+$H$67</f>
        <v>25.493602946680834</v>
      </c>
      <c r="I9" s="108">
        <f>(F9-$H$53)+$H$67</f>
        <v>26.216251567286303</v>
      </c>
      <c r="J9" s="108">
        <f>(G9-$H$53)+$H$67</f>
        <v>26.147083476465991</v>
      </c>
      <c r="K9" s="102">
        <f>((H9-'CalibrationB. hydrogenotrophica'!$D$45)/('CalibrationB. hydrogenotrophica'!$D$44))+$C$24</f>
        <v>7.6021330746758231</v>
      </c>
      <c r="L9" s="102">
        <f>((I9-'CalibrationB. hydrogenotrophica'!$D$45)/('CalibrationB. hydrogenotrophica'!$D$44))+$C$24</f>
        <v>7.4209863520414094</v>
      </c>
      <c r="M9" s="102">
        <f>((J9-'CalibrationB. hydrogenotrophica'!$D$45)/('CalibrationB. hydrogenotrophica'!$D$44))+$C$24</f>
        <v>7.4383247549743334</v>
      </c>
      <c r="N9" s="103">
        <f t="shared" si="1"/>
        <v>7.4871480605638565</v>
      </c>
      <c r="O9" s="103">
        <f t="shared" si="2"/>
        <v>9.9956591362516847E-2</v>
      </c>
      <c r="P9" s="104">
        <f>(AVERAGE(POWER(10,K9),POWER(10,L9),POWER(10,M9)))*Calculation!$I9/Calculation!$K8</f>
        <v>31292059.530370127</v>
      </c>
      <c r="Q9" s="104">
        <f>(STDEV(POWER(10,K9),POWER(10,L9),POWER(10,M9)))*Calculation!$I9/Calculation!$K8</f>
        <v>7592279.7010842264</v>
      </c>
      <c r="R9" s="103">
        <f t="shared" si="3"/>
        <v>7.4954341477815376</v>
      </c>
      <c r="S9" s="103">
        <f>O9*Calculation!$I9/Calculation!$K8</f>
        <v>0.10003193931318963</v>
      </c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spans="1:2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22.752660751342773</v>
      </c>
      <c r="F10" s="97">
        <v>23.151151657104492</v>
      </c>
      <c r="G10" s="102">
        <v>22.032360076904297</v>
      </c>
      <c r="H10" s="108">
        <f>(E10-$H$53)+$H$67</f>
        <v>22.687822535914233</v>
      </c>
      <c r="I10" s="108">
        <f>(F10-$H$53)+$H$67</f>
        <v>23.086313441675951</v>
      </c>
      <c r="J10" s="108">
        <f>(G10-$H$53)+$H$67</f>
        <v>21.967521861475756</v>
      </c>
      <c r="K10" s="102">
        <f>((H10-'CalibrationB. hydrogenotrophica'!$D$45)/('CalibrationB. hydrogenotrophica'!$D$44))+$B$24</f>
        <v>8.02670597480504</v>
      </c>
      <c r="L10" s="102">
        <f>((I10-'CalibrationB. hydrogenotrophica'!$D$45)/('CalibrationB. hydrogenotrophica'!$D$44))+$B$24</f>
        <v>7.9268160427964869</v>
      </c>
      <c r="M10" s="102">
        <f>((J10-'CalibrationB. hydrogenotrophica'!$D$45)/('CalibrationB. hydrogenotrophica'!$D$44))+$B$24</f>
        <v>8.2072641364971854</v>
      </c>
      <c r="N10" s="103">
        <f t="shared" si="1"/>
        <v>8.0535953846995714</v>
      </c>
      <c r="O10" s="103">
        <f t="shared" si="2"/>
        <v>0.14214451656130114</v>
      </c>
      <c r="P10" s="104">
        <f>(AVERAGE(POWER(10,K10),POWER(10,L10),POWER(10,M10)))*Calculation!$I10/Calculation!$K9</f>
        <v>117707238.49018012</v>
      </c>
      <c r="Q10" s="104">
        <f>(STDEV(POWER(10,K10),POWER(10,L10),POWER(10,M10)))*Calculation!$I10/Calculation!$K9</f>
        <v>39625274.981442258</v>
      </c>
      <c r="R10" s="103">
        <f t="shared" si="3"/>
        <v>8.0708031709120878</v>
      </c>
      <c r="S10" s="103">
        <f>O10*Calculation!$I10/Calculation!$K9</f>
        <v>0.14259873420440755</v>
      </c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spans="1:2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21.581483840942383</v>
      </c>
      <c r="F11" s="97">
        <v>21.449174880981445</v>
      </c>
      <c r="G11" s="102">
        <v>21.822418212890625</v>
      </c>
      <c r="H11" s="108">
        <f>(E11-$H$53)+$H$67</f>
        <v>21.516645625513842</v>
      </c>
      <c r="I11" s="108">
        <f>(F11-$H$53)+$H$67</f>
        <v>21.384336665552905</v>
      </c>
      <c r="J11" s="108">
        <f>(G11-$H$53)+$H$67</f>
        <v>21.757579997462084</v>
      </c>
      <c r="K11" s="102">
        <f>((H11-'CalibrationB. hydrogenotrophica'!$D$45)/('CalibrationB. hydrogenotrophica'!$D$44))+$B$24</f>
        <v>8.3202855277091547</v>
      </c>
      <c r="L11" s="102">
        <f>((I11-'CalibrationB. hydrogenotrophica'!$D$45)/('CalibrationB. hydrogenotrophica'!$D$44))+$B$24</f>
        <v>8.3534514866395284</v>
      </c>
      <c r="M11" s="102">
        <f>((J11-'CalibrationB. hydrogenotrophica'!$D$45)/('CalibrationB. hydrogenotrophica'!$D$44))+$B$24</f>
        <v>8.2598903776958092</v>
      </c>
      <c r="N11" s="103">
        <f t="shared" si="1"/>
        <v>8.3112091306814975</v>
      </c>
      <c r="O11" s="103">
        <f t="shared" si="2"/>
        <v>4.7436336430497779E-2</v>
      </c>
      <c r="P11" s="104">
        <f>(AVERAGE(POWER(10,K11),POWER(10,L11),POWER(10,M11)))*Calculation!$I11/Calculation!$K10</f>
        <v>206905926.46445405</v>
      </c>
      <c r="Q11" s="104">
        <f>(STDEV(POWER(10,K11),POWER(10,L11),POWER(10,M11)))*Calculation!$I11/Calculation!$K10</f>
        <v>22223893.671900179</v>
      </c>
      <c r="R11" s="103">
        <f t="shared" si="3"/>
        <v>8.3157729304624848</v>
      </c>
      <c r="S11" s="103">
        <f>O11*Calculation!$I11/Calculation!$K10</f>
        <v>4.7749287197951143E-2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spans="1:2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21.583799362182617</v>
      </c>
      <c r="F12" s="97">
        <v>20.970188140869141</v>
      </c>
      <c r="G12" s="102">
        <v>20.824750900268555</v>
      </c>
      <c r="H12" s="108">
        <f>(E12-$H$53)+$H$67</f>
        <v>21.518961146754076</v>
      </c>
      <c r="I12" s="108">
        <f>(F12-$H$53)+$H$67</f>
        <v>20.9053499254406</v>
      </c>
      <c r="J12" s="108">
        <f>(G12-$H$53)+$H$67</f>
        <v>20.759912684840014</v>
      </c>
      <c r="K12" s="102">
        <f>((H12-'CalibrationB. hydrogenotrophica'!$D$45)/('CalibrationB. hydrogenotrophica'!$D$44))+$B$24</f>
        <v>8.3197050947409075</v>
      </c>
      <c r="L12" s="102">
        <f>((I12-'CalibrationB. hydrogenotrophica'!$D$45)/('CalibrationB. hydrogenotrophica'!$D$44))+$B$24</f>
        <v>8.4735193532106816</v>
      </c>
      <c r="M12" s="102">
        <f>((J12-'CalibrationB. hydrogenotrophica'!$D$45)/('CalibrationB. hydrogenotrophica'!$D$44))+$B$24</f>
        <v>8.5099761853869005</v>
      </c>
      <c r="N12" s="103">
        <f>AVERAGE(K12:M12)</f>
        <v>8.4344002111128287</v>
      </c>
      <c r="O12" s="103">
        <f>STDEV(K12:M12)</f>
        <v>0.10098763509835182</v>
      </c>
      <c r="P12" s="104">
        <f>(AVERAGE(POWER(10,K12),POWER(10,L12),POWER(10,M12)))*Calculation!$I12/Calculation!$K11</f>
        <v>280168542.57639498</v>
      </c>
      <c r="Q12" s="104">
        <f>(STDEV(POWER(10,K12),POWER(10,L12),POWER(10,M12)))*Calculation!$I12/Calculation!$K11</f>
        <v>60948851.239440016</v>
      </c>
      <c r="R12" s="103">
        <f t="shared" si="3"/>
        <v>8.4474193709482108</v>
      </c>
      <c r="S12" s="103">
        <f>O12*Calculation!$I12/Calculation!$K11</f>
        <v>0.10227993642104789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spans="1:2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19.868644714355469</v>
      </c>
      <c r="F13" s="97">
        <v>19.851577758789062</v>
      </c>
      <c r="G13" s="102">
        <v>19.331119537353516</v>
      </c>
      <c r="H13" s="108">
        <f>(E13-$H$53)+$H$67</f>
        <v>19.803806498926928</v>
      </c>
      <c r="I13" s="108">
        <f>(F13-$H$53)+$H$67</f>
        <v>19.786739543360522</v>
      </c>
      <c r="J13" s="108">
        <f>(G13-$H$53)+$H$67</f>
        <v>19.266281321924975</v>
      </c>
      <c r="K13" s="102">
        <f>((H13-'CalibrationB. hydrogenotrophica'!$D$45)/('CalibrationB. hydrogenotrophica'!$D$44))+$B$24</f>
        <v>8.749643842848883</v>
      </c>
      <c r="L13" s="102">
        <f>((I13-'CalibrationB. hydrogenotrophica'!$D$45)/('CalibrationB. hydrogenotrophica'!$D$44))+$B$24</f>
        <v>8.7539220258800921</v>
      </c>
      <c r="M13" s="102">
        <f>((J13-'CalibrationB. hydrogenotrophica'!$D$45)/('CalibrationB. hydrogenotrophica'!$D$44))+$B$24</f>
        <v>8.8843855712227704</v>
      </c>
      <c r="N13" s="103">
        <f t="shared" si="1"/>
        <v>8.7959838133172497</v>
      </c>
      <c r="O13" s="103">
        <f t="shared" si="2"/>
        <v>7.6588046150179417E-2</v>
      </c>
      <c r="P13" s="104">
        <f>(AVERAGE(POWER(10,K13),POWER(10,L13),POWER(10,M13)))*Calculation!$I13/Calculation!$K12</f>
        <v>644638042.25643778</v>
      </c>
      <c r="Q13" s="104">
        <f>(STDEV(POWER(10,K13),POWER(10,L13),POWER(10,M13)))*Calculation!$I13/Calculation!$K12</f>
        <v>118789177.14214067</v>
      </c>
      <c r="R13" s="103">
        <f t="shared" si="3"/>
        <v>8.8093159311089018</v>
      </c>
      <c r="S13" s="103">
        <f>O13*Calculation!$I13/Calculation!$K12</f>
        <v>7.8136067496639983E-2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spans="1:2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18.023033142089844</v>
      </c>
      <c r="F14" s="97">
        <v>18.348928451538086</v>
      </c>
      <c r="G14" s="102">
        <v>18.042671203613281</v>
      </c>
      <c r="H14" s="108">
        <f>(E14-$H$53)+$H$67</f>
        <v>17.958194926661303</v>
      </c>
      <c r="I14" s="108">
        <f>(F14-$H$53)+$H$67</f>
        <v>18.284090236109545</v>
      </c>
      <c r="J14" s="108">
        <f>(G14-$H$53)+$H$67</f>
        <v>17.977832988184741</v>
      </c>
      <c r="K14" s="102">
        <f>((H14-'CalibrationB. hydrogenotrophica'!$D$45)/('CalibrationB. hydrogenotrophica'!$D$44))+$B$24</f>
        <v>9.212284299135856</v>
      </c>
      <c r="L14" s="102">
        <f>((I14-'CalibrationB. hydrogenotrophica'!$D$45)/('CalibrationB. hydrogenotrophica'!$D$44))+$B$24</f>
        <v>9.1305919447257491</v>
      </c>
      <c r="M14" s="102">
        <f>((J14-'CalibrationB. hydrogenotrophica'!$D$45)/('CalibrationB. hydrogenotrophica'!$D$44))+$B$24</f>
        <v>9.2073616155764757</v>
      </c>
      <c r="N14" s="103">
        <f t="shared" si="1"/>
        <v>9.1834126198126924</v>
      </c>
      <c r="O14" s="103">
        <f t="shared" si="2"/>
        <v>4.5810217100957604E-2</v>
      </c>
      <c r="P14" s="104">
        <f>(AVERAGE(POWER(10,K14),POWER(10,L14),POWER(10,M14)))*Calculation!$I14/Calculation!$K13</f>
        <v>1578367103.8366733</v>
      </c>
      <c r="Q14" s="104">
        <f>(STDEV(POWER(10,K14),POWER(10,L14),POWER(10,M14)))*Calculation!$I14/Calculation!$K13</f>
        <v>161202207.70575842</v>
      </c>
      <c r="R14" s="103">
        <f t="shared" si="3"/>
        <v>9.1982080208179511</v>
      </c>
      <c r="S14" s="103">
        <f>O14*Calculation!$I14/Calculation!$K13</f>
        <v>4.7225950793618361E-2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spans="1:2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17.791168212890625</v>
      </c>
      <c r="F15" s="97">
        <v>17.48399543762207</v>
      </c>
      <c r="G15" s="102">
        <v>17.657188415527344</v>
      </c>
      <c r="H15" s="108">
        <f>(E15-$H$53)+$H$67</f>
        <v>17.726329997462084</v>
      </c>
      <c r="I15" s="108">
        <f>(F15-$H$53)+$H$67</f>
        <v>17.41915722219353</v>
      </c>
      <c r="J15" s="108">
        <f>(G15-$H$53)+$H$67</f>
        <v>17.592350200098803</v>
      </c>
      <c r="K15" s="102">
        <f>((H15-'CalibrationB. hydrogenotrophica'!$D$45)/('CalibrationB. hydrogenotrophica'!$D$44))+$B$24</f>
        <v>9.2704060070042082</v>
      </c>
      <c r="L15" s="102">
        <f>((I15-'CalibrationB. hydrogenotrophica'!$D$45)/('CalibrationB. hydrogenotrophica'!$D$44))+$B$24</f>
        <v>9.3474051735919694</v>
      </c>
      <c r="M15" s="102">
        <f>((J15-'CalibrationB. hydrogenotrophica'!$D$45)/('CalibrationB. hydrogenotrophica'!$D$44))+$B$24</f>
        <v>9.3039907956546699</v>
      </c>
      <c r="N15" s="103">
        <f t="shared" si="1"/>
        <v>9.3072673254169498</v>
      </c>
      <c r="O15" s="103">
        <f t="shared" si="2"/>
        <v>3.8604010792465282E-2</v>
      </c>
      <c r="P15" s="104">
        <f>(AVERAGE(POWER(10,K15),POWER(10,L15),POWER(10,M15)))*Calculation!$I15/Calculation!$K14</f>
        <v>2117836975.7436652</v>
      </c>
      <c r="Q15" s="104">
        <f>(STDEV(POWER(10,K15),POWER(10,L15),POWER(10,M15)))*Calculation!$I15/Calculation!$K14</f>
        <v>189117529.78669089</v>
      </c>
      <c r="R15" s="103">
        <f t="shared" si="3"/>
        <v>9.3258925264702999</v>
      </c>
      <c r="S15" s="103">
        <f>O15*Calculation!$I15/Calculation!$K14</f>
        <v>4.0189285224403508E-2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spans="1:2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17.532623291015625</v>
      </c>
      <c r="F16" s="97">
        <v>17.485475540161133</v>
      </c>
      <c r="G16" s="102">
        <v>17.323833465576172</v>
      </c>
      <c r="H16" s="108">
        <f>(E16-$H$53)+$H$67</f>
        <v>17.467785075587084</v>
      </c>
      <c r="I16" s="108">
        <f>(F16-$H$53)+$H$67</f>
        <v>17.420637324732592</v>
      </c>
      <c r="J16" s="108">
        <f>(G16-$H$53)+$H$67</f>
        <v>17.258995250147631</v>
      </c>
      <c r="K16" s="102">
        <f>((H16-'CalibrationB. hydrogenotrophica'!$D$45)/('CalibrationB. hydrogenotrophica'!$D$44))+$B$24</f>
        <v>9.335215603142629</v>
      </c>
      <c r="L16" s="102">
        <f>((I16-'CalibrationB. hydrogenotrophica'!$D$45)/('CalibrationB. hydrogenotrophica'!$D$44))+$B$24</f>
        <v>9.3470341554837653</v>
      </c>
      <c r="M16" s="102">
        <f>((J16-'CalibrationB. hydrogenotrophica'!$D$45)/('CalibrationB. hydrogenotrophica'!$D$44))+$B$24</f>
        <v>9.3875530622054857</v>
      </c>
      <c r="N16" s="103">
        <f t="shared" si="1"/>
        <v>9.3566009402772945</v>
      </c>
      <c r="O16" s="103">
        <f t="shared" si="2"/>
        <v>2.7448951414458616E-2</v>
      </c>
      <c r="P16" s="104">
        <f>(AVERAGE(POWER(10,K16),POWER(10,L16),POWER(10,M16)))*Calculation!$I16/Calculation!$K15</f>
        <v>2391390622.9273238</v>
      </c>
      <c r="Q16" s="104">
        <f>(STDEV(POWER(10,K16),POWER(10,L16),POWER(10,M16)))*Calculation!$I16/Calculation!$K15</f>
        <v>153243010.23848343</v>
      </c>
      <c r="R16" s="103">
        <f t="shared" si="3"/>
        <v>9.378650521965076</v>
      </c>
      <c r="S16" s="103">
        <f>O16*Calculation!$I16/Calculation!$K15</f>
        <v>2.8839760678940077E-2</v>
      </c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spans="1:2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16.897336959838867</v>
      </c>
      <c r="F17" s="97">
        <v>16.610877990722656</v>
      </c>
      <c r="G17" s="102">
        <v>16.68463134765625</v>
      </c>
      <c r="H17" s="108">
        <f>(E17-$H$53)+$H$67</f>
        <v>16.832498744410326</v>
      </c>
      <c r="I17" s="108">
        <f>(F17-$H$53)+$H$67</f>
        <v>16.546039775294116</v>
      </c>
      <c r="J17" s="108">
        <f>(G17-$H$53)+$H$67</f>
        <v>16.619793132227709</v>
      </c>
      <c r="K17" s="102">
        <f>((H17-'CalibrationB. hydrogenotrophica'!$D$45)/('CalibrationB. hydrogenotrophica'!$D$44))+$B$24</f>
        <v>9.494463173186686</v>
      </c>
      <c r="L17" s="102">
        <f>((I17-'CalibrationB. hydrogenotrophica'!$D$45)/('CalibrationB. hydrogenotrophica'!$D$44))+$B$24</f>
        <v>9.5662699987240511</v>
      </c>
      <c r="M17" s="102">
        <f>((J17-'CalibrationB. hydrogenotrophica'!$D$45)/('CalibrationB. hydrogenotrophica'!$D$44))+$B$24</f>
        <v>9.5477822046414822</v>
      </c>
      <c r="N17" s="103">
        <f t="shared" si="1"/>
        <v>9.5361717921840725</v>
      </c>
      <c r="O17" s="103">
        <f t="shared" si="2"/>
        <v>3.7284799939275123E-2</v>
      </c>
      <c r="P17" s="104">
        <f>(AVERAGE(POWER(10,K17),POWER(10,L17),POWER(10,M17)))*Calculation!$I17/Calculation!$K16</f>
        <v>3642994798.2266893</v>
      </c>
      <c r="Q17" s="104">
        <f>(STDEV(POWER(10,K17),POWER(10,L17),POWER(10,M17)))*Calculation!$I17/Calculation!$K16</f>
        <v>306772575.33983588</v>
      </c>
      <c r="R17" s="103">
        <f t="shared" si="3"/>
        <v>9.5614585511202961</v>
      </c>
      <c r="S17" s="103">
        <f>O17*Calculation!$I17/Calculation!$K16</f>
        <v>3.9424400873793092E-2</v>
      </c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spans="1:2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15.262907028198242</v>
      </c>
      <c r="F18" s="97">
        <v>15.691993713378906</v>
      </c>
      <c r="G18" s="102">
        <v>15.794666290283203</v>
      </c>
      <c r="H18" s="108">
        <f>(E18-$H$53)+$H$67</f>
        <v>15.198068812769701</v>
      </c>
      <c r="I18" s="108">
        <f>(F18-$H$53)+$H$67</f>
        <v>15.627155497950366</v>
      </c>
      <c r="J18" s="108">
        <f>(G18-$H$53)+$H$67</f>
        <v>15.729828074854662</v>
      </c>
      <c r="K18" s="102">
        <f>((H18-'CalibrationB. hydrogenotrophica'!$D$45)/('CalibrationB. hydrogenotrophica'!$D$44))+$B$24</f>
        <v>9.9041666127978019</v>
      </c>
      <c r="L18" s="102">
        <f>((I18-'CalibrationB. hydrogenotrophica'!$D$45)/('CalibrationB. hydrogenotrophica'!$D$44))+$B$24</f>
        <v>9.7966072201272425</v>
      </c>
      <c r="M18" s="102">
        <f>((J18-'CalibrationB. hydrogenotrophica'!$D$45)/('CalibrationB. hydrogenotrophica'!$D$44))+$B$24</f>
        <v>9.7708702294511092</v>
      </c>
      <c r="N18" s="103">
        <f t="shared" si="1"/>
        <v>9.8238813541253851</v>
      </c>
      <c r="O18" s="103">
        <f t="shared" si="2"/>
        <v>7.070990201052868E-2</v>
      </c>
      <c r="P18" s="104">
        <f>(AVERAGE(POWER(10,K18),POWER(10,L18),POWER(10,M18)))*Calculation!$I18/Calculation!$K17</f>
        <v>7144721788.2894468</v>
      </c>
      <c r="Q18" s="104">
        <f>(STDEV(POWER(10,K18),POWER(10,L18),POWER(10,M18)))*Calculation!$I18/Calculation!$K17</f>
        <v>1204613931.1419861</v>
      </c>
      <c r="R18" s="103">
        <f t="shared" si="3"/>
        <v>9.8539853222574152</v>
      </c>
      <c r="S18" s="103">
        <f>O18*Calculation!$I18/Calculation!$K17</f>
        <v>7.5102294259449143E-2</v>
      </c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spans="1:2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14.79683780670166</v>
      </c>
      <c r="F19" s="97">
        <v>14.953189849853516</v>
      </c>
      <c r="G19" s="102">
        <v>14.730250358581543</v>
      </c>
      <c r="H19" s="108">
        <f>(E19-$H$53)+$H$67</f>
        <v>14.731999591273119</v>
      </c>
      <c r="I19" s="108">
        <f>(F19-$H$53)+$H$67</f>
        <v>14.888351634424975</v>
      </c>
      <c r="J19" s="108">
        <f>(G19-$H$53)+$H$67</f>
        <v>14.665412143153002</v>
      </c>
      <c r="K19" s="102">
        <f>((H19-'CalibrationB. hydrogenotrophica'!$D$45)/('CalibrationB. hydrogenotrophica'!$D$44))+$B$24</f>
        <v>10.020996437954242</v>
      </c>
      <c r="L19" s="102">
        <f>((I19-'CalibrationB. hydrogenotrophica'!$D$45)/('CalibrationB. hydrogenotrophica'!$D$44))+$B$24</f>
        <v>9.9818035862880699</v>
      </c>
      <c r="M19" s="102">
        <f>((J19-'CalibrationB. hydrogenotrophica'!$D$45)/('CalibrationB. hydrogenotrophica'!$D$44))+$B$24</f>
        <v>10.0376879497784</v>
      </c>
      <c r="N19" s="103">
        <f t="shared" si="1"/>
        <v>10.013495991340237</v>
      </c>
      <c r="O19" s="103">
        <f t="shared" si="2"/>
        <v>2.8687245340690806E-2</v>
      </c>
      <c r="P19" s="104">
        <f>(AVERAGE(POWER(10,K19),POWER(10,L19),POWER(10,M19)))*Calculation!$I19/Calculation!$K18</f>
        <v>10985434125.722462</v>
      </c>
      <c r="Q19" s="104">
        <f>(STDEV(POWER(10,K19),POWER(10,L19),POWER(10,M19)))*Calculation!$I19/Calculation!$K18</f>
        <v>716452881.8242594</v>
      </c>
      <c r="R19" s="103">
        <f t="shared" si="3"/>
        <v>10.040817224176903</v>
      </c>
      <c r="S19" s="103">
        <f>O19*Calculation!$I19/Calculation!$K18</f>
        <v>3.0505892980353503E-2</v>
      </c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spans="1:2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14.961806297302246</v>
      </c>
      <c r="F20" s="97">
        <v>15.083188056945801</v>
      </c>
      <c r="G20" s="102">
        <v>14.977471351623535</v>
      </c>
      <c r="H20" s="108">
        <f>(E20-$H$53)+$H$67</f>
        <v>14.896968081873705</v>
      </c>
      <c r="I20" s="108">
        <f>(F20-$H$53)+$H$67</f>
        <v>15.01834984151726</v>
      </c>
      <c r="J20" s="108">
        <f>(G20-$H$53)+$H$67</f>
        <v>14.912633136194994</v>
      </c>
      <c r="K20" s="102">
        <f>((H20-'CalibrationB. hydrogenotrophica'!$D$45)/('CalibrationB. hydrogenotrophica'!$D$44))+$B$24</f>
        <v>9.9796436967212969</v>
      </c>
      <c r="L20" s="102">
        <f>((I20-'CalibrationB. hydrogenotrophica'!$D$45)/('CalibrationB. hydrogenotrophica'!$D$44))+$B$24</f>
        <v>9.9492168650356501</v>
      </c>
      <c r="M20" s="102">
        <f>((J20-'CalibrationB. hydrogenotrophica'!$D$45)/('CalibrationB. hydrogenotrophica'!$D$44))+$B$24</f>
        <v>9.9757169290374197</v>
      </c>
      <c r="N20" s="103">
        <f t="shared" si="1"/>
        <v>9.9681924969314561</v>
      </c>
      <c r="O20" s="103">
        <f t="shared" si="2"/>
        <v>1.6550251674660989E-2</v>
      </c>
      <c r="P20" s="104">
        <f>(AVERAGE(POWER(10,K20),POWER(10,L20),POWER(10,M20)))*Calculation!$I20/Calculation!$K19</f>
        <v>9887719925.0321484</v>
      </c>
      <c r="Q20" s="104">
        <f>(STDEV(POWER(10,K20),POWER(10,L20),POWER(10,M20)))*Calculation!$I20/Calculation!$K19</f>
        <v>372834558.28562707</v>
      </c>
      <c r="R20" s="103">
        <f t="shared" si="3"/>
        <v>9.9950961562949292</v>
      </c>
      <c r="S20" s="103">
        <f>O20*Calculation!$I20/Calculation!$K19</f>
        <v>1.7599466257186707E-2</v>
      </c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spans="1:29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spans="1:29">
      <c r="A22" s="119"/>
      <c r="B22" s="120"/>
      <c r="C22" s="119"/>
      <c r="D22" s="120"/>
      <c r="E22" s="113"/>
      <c r="F22" s="113"/>
      <c r="G22" s="114"/>
      <c r="H22" s="110"/>
      <c r="I22" s="110"/>
      <c r="J22" s="110"/>
      <c r="K22" s="114"/>
      <c r="L22" s="114"/>
      <c r="M22" s="114"/>
      <c r="N22" s="115"/>
      <c r="O22" s="115"/>
      <c r="P22" s="116"/>
      <c r="Q22" s="116"/>
      <c r="R22" s="115"/>
      <c r="S22" s="115"/>
    </row>
    <row r="23" spans="1:29">
      <c r="A23" s="119"/>
      <c r="B23" s="120"/>
      <c r="C23" s="119"/>
      <c r="D23" s="120"/>
      <c r="E23" s="113"/>
      <c r="F23" s="113"/>
      <c r="G23" s="114"/>
      <c r="H23" s="110"/>
      <c r="I23" s="110"/>
      <c r="J23" s="110"/>
      <c r="K23" s="114"/>
      <c r="L23" s="114"/>
      <c r="M23" s="114"/>
      <c r="N23" s="115"/>
      <c r="O23" s="115"/>
      <c r="P23" s="116"/>
      <c r="Q23" s="116"/>
      <c r="R23" s="115"/>
      <c r="S23" s="115"/>
    </row>
    <row r="24" spans="1:29">
      <c r="A24" s="100" t="s">
        <v>236</v>
      </c>
      <c r="B24" s="107">
        <f>LOG(B25)</f>
        <v>3.6532125137753435</v>
      </c>
      <c r="C24" s="107">
        <f>LOG(C25)</f>
        <v>3.9319661147281728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29">
      <c r="A25" s="96" t="s">
        <v>289</v>
      </c>
      <c r="B25" s="83">
        <f>20*1800/4/2</f>
        <v>4500</v>
      </c>
      <c r="C25" s="83">
        <f>2*19*1800/4/2</f>
        <v>8550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2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29">
      <c r="A27" s="59" t="s">
        <v>290</v>
      </c>
      <c r="B27" s="59"/>
      <c r="C27" s="59"/>
      <c r="D27" s="59"/>
      <c r="E27" s="109">
        <v>11.1</v>
      </c>
      <c r="F27" s="108">
        <v>11.4</v>
      </c>
      <c r="G27" s="108"/>
      <c r="H27" s="108">
        <v>11.2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29">
      <c r="A28" s="59" t="s">
        <v>291</v>
      </c>
      <c r="B28" s="59"/>
      <c r="C28" s="59"/>
      <c r="D28" s="59"/>
      <c r="E28" s="123">
        <v>10.7</v>
      </c>
      <c r="F28" s="124">
        <v>10.8</v>
      </c>
      <c r="G28" s="124">
        <v>10.7</v>
      </c>
      <c r="H28" s="124">
        <v>10.8</v>
      </c>
    </row>
    <row r="29" spans="1:29">
      <c r="A29" s="59" t="s">
        <v>292</v>
      </c>
      <c r="B29" s="59"/>
      <c r="C29" s="59"/>
      <c r="D29" s="59"/>
      <c r="E29" s="123">
        <v>11.5</v>
      </c>
      <c r="F29" s="124">
        <v>11.5</v>
      </c>
      <c r="G29" s="124">
        <v>11.5</v>
      </c>
      <c r="H29" s="124">
        <v>11.5</v>
      </c>
    </row>
    <row r="30" spans="1:29">
      <c r="A30" s="59" t="s">
        <v>293</v>
      </c>
      <c r="B30" s="59"/>
      <c r="C30" s="59"/>
      <c r="D30" s="59"/>
      <c r="E30" s="123">
        <v>11.3</v>
      </c>
      <c r="F30" s="124">
        <v>11.6</v>
      </c>
      <c r="G30" s="124">
        <v>11.7</v>
      </c>
      <c r="H30" s="124">
        <v>11.5</v>
      </c>
    </row>
    <row r="31" spans="1:29">
      <c r="A31" s="59" t="s">
        <v>294</v>
      </c>
      <c r="B31" s="59"/>
      <c r="C31" s="59"/>
      <c r="D31" s="59"/>
      <c r="E31" s="123">
        <v>11.5</v>
      </c>
      <c r="F31" s="124">
        <v>11.5</v>
      </c>
      <c r="G31" s="124">
        <v>11.5</v>
      </c>
      <c r="H31" s="124">
        <v>11.5</v>
      </c>
    </row>
    <row r="32" spans="1:29">
      <c r="A32" s="59" t="s">
        <v>295</v>
      </c>
      <c r="B32" s="59"/>
      <c r="C32" s="59"/>
      <c r="D32" s="59"/>
      <c r="E32" s="123">
        <v>11.5</v>
      </c>
      <c r="F32" s="124">
        <v>11.5</v>
      </c>
      <c r="G32" s="124">
        <v>11.5</v>
      </c>
      <c r="H32" s="124">
        <v>11.5</v>
      </c>
    </row>
    <row r="33" spans="1:8">
      <c r="A33" s="59" t="s">
        <v>296</v>
      </c>
      <c r="B33" s="59"/>
      <c r="C33" s="59"/>
      <c r="D33" s="59"/>
      <c r="E33" s="123">
        <v>11.6</v>
      </c>
      <c r="F33" s="124">
        <v>11.6</v>
      </c>
      <c r="G33" s="124">
        <v>11.6</v>
      </c>
      <c r="H33" s="124">
        <v>11.6</v>
      </c>
    </row>
    <row r="34" spans="1:8">
      <c r="A34" s="59" t="s">
        <v>297</v>
      </c>
      <c r="B34" s="59"/>
      <c r="C34" s="59"/>
      <c r="D34" s="59"/>
      <c r="E34" s="123">
        <v>11.2</v>
      </c>
      <c r="F34" s="124">
        <v>11.2</v>
      </c>
      <c r="G34" s="124">
        <v>11.2</v>
      </c>
      <c r="H34" s="124">
        <v>11.2</v>
      </c>
    </row>
    <row r="35" spans="1:8">
      <c r="A35" s="59" t="s">
        <v>298</v>
      </c>
      <c r="B35" s="59"/>
      <c r="C35" s="59"/>
      <c r="D35" s="59"/>
      <c r="E35" s="123">
        <v>10.4</v>
      </c>
      <c r="F35" s="124">
        <v>11.2</v>
      </c>
      <c r="G35" s="124">
        <v>11.4</v>
      </c>
      <c r="H35" s="124">
        <v>11</v>
      </c>
    </row>
    <row r="36" spans="1:8">
      <c r="A36" s="59" t="s">
        <v>298</v>
      </c>
      <c r="B36" s="59"/>
      <c r="C36" s="59"/>
      <c r="D36" s="59"/>
      <c r="E36" s="123">
        <v>11.3</v>
      </c>
      <c r="F36" s="124">
        <v>11.5</v>
      </c>
      <c r="G36" s="124">
        <v>11.6</v>
      </c>
      <c r="H36" s="124">
        <v>11.5</v>
      </c>
    </row>
    <row r="37" spans="1:8">
      <c r="A37" s="59" t="s">
        <v>302</v>
      </c>
      <c r="B37" s="59"/>
      <c r="C37" s="59"/>
      <c r="D37" s="59"/>
      <c r="E37" s="123">
        <v>11.7</v>
      </c>
      <c r="F37" s="124">
        <v>11.7</v>
      </c>
      <c r="G37" s="124">
        <v>11.7</v>
      </c>
      <c r="H37" s="124">
        <v>11.7</v>
      </c>
    </row>
    <row r="38" spans="1:8">
      <c r="A38" s="59" t="s">
        <v>302</v>
      </c>
      <c r="B38" s="59"/>
      <c r="C38" s="59"/>
      <c r="D38" s="59"/>
      <c r="E38" s="123">
        <v>11.3</v>
      </c>
      <c r="F38" s="124">
        <v>11.5</v>
      </c>
      <c r="G38" s="124">
        <v>11</v>
      </c>
      <c r="H38" s="124">
        <v>11.3</v>
      </c>
    </row>
    <row r="39" spans="1:8">
      <c r="A39" s="59" t="s">
        <v>303</v>
      </c>
      <c r="B39" s="59"/>
      <c r="C39" s="59"/>
      <c r="D39" s="59"/>
      <c r="E39" s="123">
        <v>11.2</v>
      </c>
      <c r="F39" s="124">
        <v>11.3</v>
      </c>
      <c r="G39" s="124">
        <v>11.4</v>
      </c>
      <c r="H39" s="124">
        <v>11.3</v>
      </c>
    </row>
    <row r="40" spans="1:8">
      <c r="A40" s="59" t="s">
        <v>320</v>
      </c>
      <c r="B40" s="59"/>
      <c r="C40" s="59"/>
      <c r="D40" s="59"/>
      <c r="E40" s="123">
        <v>11.5</v>
      </c>
      <c r="F40" s="124">
        <v>11.5</v>
      </c>
      <c r="G40" s="124">
        <v>11.5</v>
      </c>
      <c r="H40" s="124">
        <v>11.5</v>
      </c>
    </row>
    <row r="41" spans="1:8">
      <c r="A41" s="59" t="s">
        <v>321</v>
      </c>
      <c r="B41" s="59"/>
      <c r="C41" s="59"/>
      <c r="D41" s="59"/>
      <c r="E41" s="123">
        <v>11.3</v>
      </c>
      <c r="F41" s="124">
        <v>11.3</v>
      </c>
      <c r="G41" s="124">
        <v>11.3</v>
      </c>
      <c r="H41" s="124">
        <v>11.3</v>
      </c>
    </row>
    <row r="42" spans="1:8">
      <c r="A42" s="59" t="s">
        <v>322</v>
      </c>
      <c r="B42" s="59"/>
      <c r="C42" s="59"/>
      <c r="D42" s="59"/>
      <c r="E42" s="123">
        <v>11.3</v>
      </c>
      <c r="F42" s="124">
        <v>11.3</v>
      </c>
      <c r="G42" s="124">
        <v>11.4</v>
      </c>
      <c r="H42" s="124">
        <v>11.3</v>
      </c>
    </row>
    <row r="43" spans="1:8">
      <c r="A43" s="59" t="s">
        <v>323</v>
      </c>
      <c r="B43" s="59"/>
      <c r="C43" s="59"/>
      <c r="D43" s="59"/>
      <c r="E43" s="123">
        <v>11.1</v>
      </c>
      <c r="F43" s="124">
        <v>11.2</v>
      </c>
      <c r="G43" s="124">
        <v>11.2</v>
      </c>
      <c r="H43" s="124">
        <v>11.2</v>
      </c>
    </row>
    <row r="44" spans="1:8">
      <c r="A44" s="59" t="s">
        <v>323</v>
      </c>
      <c r="B44" s="59"/>
      <c r="C44" s="59"/>
      <c r="D44" s="59"/>
      <c r="E44" s="123">
        <v>11.3</v>
      </c>
      <c r="F44" s="124">
        <v>11.3</v>
      </c>
      <c r="G44" s="124">
        <v>11.4</v>
      </c>
      <c r="H44" s="124">
        <v>11.3</v>
      </c>
    </row>
    <row r="45" spans="1:8">
      <c r="A45" s="59" t="s">
        <v>324</v>
      </c>
      <c r="B45" s="59"/>
      <c r="C45" s="59"/>
      <c r="D45" s="59"/>
      <c r="E45" s="123">
        <v>11.3</v>
      </c>
      <c r="F45" s="124">
        <v>11.4</v>
      </c>
      <c r="G45" s="124">
        <v>11.3</v>
      </c>
      <c r="H45" s="124">
        <v>11.3</v>
      </c>
    </row>
    <row r="46" spans="1:8">
      <c r="A46" s="59" t="s">
        <v>332</v>
      </c>
      <c r="B46" s="59"/>
      <c r="C46" s="59"/>
      <c r="D46" s="59"/>
      <c r="E46" s="123">
        <v>11.1</v>
      </c>
      <c r="F46" s="124">
        <v>11.4</v>
      </c>
      <c r="G46" s="124">
        <v>11.2</v>
      </c>
      <c r="H46" s="124">
        <v>11.2</v>
      </c>
    </row>
    <row r="47" spans="1:8">
      <c r="A47" s="59" t="s">
        <v>332</v>
      </c>
      <c r="B47" s="59"/>
      <c r="C47" s="59"/>
      <c r="D47" s="59"/>
      <c r="E47" s="123">
        <v>11.4</v>
      </c>
      <c r="F47" s="124">
        <v>11.4</v>
      </c>
      <c r="G47" s="124">
        <v>11.4</v>
      </c>
      <c r="H47" s="124">
        <v>11.4</v>
      </c>
    </row>
    <row r="48" spans="1:8">
      <c r="A48" s="59" t="s">
        <v>333</v>
      </c>
      <c r="B48" s="59"/>
      <c r="C48" s="59"/>
      <c r="D48" s="59"/>
      <c r="E48" s="123">
        <v>11.4</v>
      </c>
      <c r="F48" s="124">
        <v>11.4</v>
      </c>
      <c r="G48" s="124">
        <v>11.3</v>
      </c>
      <c r="H48" s="124">
        <v>11.4</v>
      </c>
    </row>
    <row r="49" spans="1:8">
      <c r="A49" s="59" t="s">
        <v>334</v>
      </c>
      <c r="B49" s="59"/>
      <c r="C49" s="59"/>
      <c r="D49" s="59"/>
      <c r="E49" s="123">
        <v>11.4</v>
      </c>
      <c r="F49" s="124">
        <v>11.3</v>
      </c>
      <c r="G49" s="124">
        <v>11.3</v>
      </c>
      <c r="H49" s="124">
        <v>11.3</v>
      </c>
    </row>
    <row r="50" spans="1:8">
      <c r="A50" s="59" t="s">
        <v>335</v>
      </c>
      <c r="B50" s="59"/>
      <c r="C50" s="59"/>
      <c r="D50" s="59"/>
      <c r="E50" s="123">
        <v>11.4</v>
      </c>
      <c r="F50" s="124">
        <v>11.4</v>
      </c>
      <c r="G50" s="124">
        <v>11.3</v>
      </c>
      <c r="H50" s="124">
        <v>11.3</v>
      </c>
    </row>
    <row r="51" spans="1:8">
      <c r="A51" s="59" t="s">
        <v>347</v>
      </c>
      <c r="E51" s="109">
        <v>10.961522102355957</v>
      </c>
      <c r="F51" s="108">
        <v>10.991280555725098</v>
      </c>
      <c r="G51" s="108">
        <v>10.988773345947266</v>
      </c>
      <c r="H51" s="108">
        <f t="shared" ref="H51:H59" si="5">AVERAGE(E51:G51)</f>
        <v>10.980525334676107</v>
      </c>
    </row>
    <row r="52" spans="1:8">
      <c r="A52" s="59" t="s">
        <v>348</v>
      </c>
      <c r="E52" s="109">
        <v>11.455920219421387</v>
      </c>
      <c r="F52" s="108">
        <v>11.47702693939209</v>
      </c>
      <c r="G52" s="108">
        <v>11.41429615020752</v>
      </c>
      <c r="H52" s="108">
        <f t="shared" si="5"/>
        <v>11.449081103006998</v>
      </c>
    </row>
    <row r="53" spans="1:8">
      <c r="A53" s="59" t="s">
        <v>349</v>
      </c>
      <c r="E53" s="109">
        <v>11.481462478637695</v>
      </c>
      <c r="F53" s="108">
        <v>11.294193267822266</v>
      </c>
      <c r="G53" s="108">
        <v>11.30172061920166</v>
      </c>
      <c r="H53" s="108">
        <f t="shared" si="5"/>
        <v>11.359125455220541</v>
      </c>
    </row>
    <row r="54" spans="1:8">
      <c r="A54" s="59" t="s">
        <v>349</v>
      </c>
      <c r="E54" s="109">
        <v>11.333268165588301</v>
      </c>
      <c r="F54" s="108">
        <v>11.3499765396118</v>
      </c>
      <c r="G54" s="108">
        <v>11.688117980956999</v>
      </c>
      <c r="H54" s="108">
        <f t="shared" si="5"/>
        <v>11.4571208953857</v>
      </c>
    </row>
    <row r="55" spans="1:8">
      <c r="A55" s="59" t="s">
        <v>360</v>
      </c>
      <c r="E55" s="109">
        <v>11.225685119628906</v>
      </c>
      <c r="F55" s="108">
        <v>11.295048713684082</v>
      </c>
      <c r="G55" s="108">
        <v>11.326059341430664</v>
      </c>
      <c r="H55" s="108">
        <f t="shared" si="5"/>
        <v>11.282264391581217</v>
      </c>
    </row>
    <row r="56" spans="1:8">
      <c r="A56" s="59" t="s">
        <v>361</v>
      </c>
      <c r="E56" s="109">
        <v>11.361672401428223</v>
      </c>
      <c r="F56" s="108">
        <v>11.304685592651367</v>
      </c>
      <c r="G56" s="108">
        <v>11.405701637268066</v>
      </c>
      <c r="H56" s="108">
        <f t="shared" si="5"/>
        <v>11.357353210449219</v>
      </c>
    </row>
    <row r="57" spans="1:8">
      <c r="A57" s="59" t="s">
        <v>362</v>
      </c>
      <c r="E57" s="109">
        <v>10.911848068237305</v>
      </c>
      <c r="F57" s="108">
        <v>10.950149536132812</v>
      </c>
      <c r="G57" s="108">
        <v>10.982019424438477</v>
      </c>
      <c r="H57" s="108">
        <f t="shared" si="5"/>
        <v>10.948005676269531</v>
      </c>
    </row>
    <row r="58" spans="1:8">
      <c r="A58" s="59" t="s">
        <v>363</v>
      </c>
      <c r="B58" s="59"/>
      <c r="C58" s="59"/>
      <c r="D58" s="83"/>
      <c r="E58" s="109">
        <v>11.097690582275391</v>
      </c>
      <c r="F58" s="108">
        <v>11.199633598327637</v>
      </c>
      <c r="G58" s="108">
        <v>11.211821556091309</v>
      </c>
      <c r="H58" s="108">
        <f t="shared" si="5"/>
        <v>11.169715245564779</v>
      </c>
    </row>
    <row r="59" spans="1:8">
      <c r="A59" s="59" t="s">
        <v>364</v>
      </c>
      <c r="B59" s="59"/>
      <c r="C59" s="59"/>
      <c r="D59" s="83"/>
      <c r="E59" s="109">
        <v>11.383224487304688</v>
      </c>
      <c r="F59" s="108">
        <v>11.329494476318359</v>
      </c>
      <c r="G59" s="108">
        <v>11.243021011352539</v>
      </c>
      <c r="H59" s="108">
        <f t="shared" si="5"/>
        <v>11.318579991658529</v>
      </c>
    </row>
    <row r="60" spans="1:8">
      <c r="A60" s="59" t="s">
        <v>364</v>
      </c>
      <c r="B60" s="59"/>
      <c r="C60" s="59"/>
      <c r="D60" s="83"/>
      <c r="E60" s="109">
        <v>11.171065330505371</v>
      </c>
      <c r="F60" s="108">
        <v>11.234642028808594</v>
      </c>
      <c r="G60" s="108">
        <v>11.325413703918457</v>
      </c>
      <c r="H60" s="108">
        <f>AVERAGE(E60:G60)</f>
        <v>11.243707021077475</v>
      </c>
    </row>
    <row r="61" spans="1:8">
      <c r="A61" s="59" t="s">
        <v>365</v>
      </c>
      <c r="B61" s="167"/>
      <c r="C61" s="83"/>
      <c r="D61" s="83"/>
      <c r="E61" s="109">
        <v>11.431556701660156</v>
      </c>
      <c r="F61" s="108">
        <v>11.393752098083496</v>
      </c>
      <c r="G61" s="108">
        <v>11.470895767211914</v>
      </c>
      <c r="H61" s="108">
        <f t="shared" ref="H61:H63" si="6">AVERAGE(E61:G61)</f>
        <v>11.432068188985189</v>
      </c>
    </row>
    <row r="62" spans="1:8">
      <c r="A62" s="59" t="s">
        <v>365</v>
      </c>
      <c r="B62" s="167"/>
      <c r="C62" s="83"/>
      <c r="D62" s="83"/>
      <c r="E62" s="109">
        <v>11.38902759552002</v>
      </c>
      <c r="F62" s="108">
        <v>11.318164825439453</v>
      </c>
      <c r="G62" s="108">
        <v>11.357851982116699</v>
      </c>
      <c r="H62" s="108">
        <f t="shared" si="6"/>
        <v>11.355014801025391</v>
      </c>
    </row>
    <row r="63" spans="1:8">
      <c r="A63" s="59" t="s">
        <v>366</v>
      </c>
      <c r="B63" s="167"/>
      <c r="C63" s="83"/>
      <c r="D63" s="83"/>
      <c r="E63" s="109">
        <v>10.827228546142578</v>
      </c>
      <c r="F63" s="108">
        <v>10.980537414550781</v>
      </c>
      <c r="G63" s="108">
        <v>10.733705520629883</v>
      </c>
      <c r="H63" s="108">
        <f t="shared" si="6"/>
        <v>10.84715716044108</v>
      </c>
    </row>
    <row r="64" spans="1:8">
      <c r="A64" s="59" t="s">
        <v>367</v>
      </c>
      <c r="B64" s="167"/>
      <c r="C64" s="83"/>
      <c r="D64" s="83"/>
      <c r="E64" s="109">
        <v>11.185029029846191</v>
      </c>
      <c r="F64" s="108">
        <v>11.096076965332031</v>
      </c>
      <c r="G64" s="108">
        <v>11.32984447479248</v>
      </c>
      <c r="H64" s="108">
        <f>AVERAGE(E64:G64)</f>
        <v>11.2036501566569</v>
      </c>
    </row>
    <row r="65" spans="1:8">
      <c r="A65" s="59" t="s">
        <v>367</v>
      </c>
      <c r="B65" s="167"/>
      <c r="C65" s="83"/>
      <c r="D65" s="83"/>
      <c r="E65" s="109">
        <v>11.051477432250977</v>
      </c>
      <c r="F65" s="108">
        <v>10.973122596740723</v>
      </c>
      <c r="G65" s="108">
        <v>10.89690113067627</v>
      </c>
      <c r="H65" s="108">
        <f>AVERAGE(E65:G65)</f>
        <v>10.973833719889322</v>
      </c>
    </row>
    <row r="66" spans="1:8">
      <c r="A66" s="59"/>
      <c r="B66" s="59"/>
      <c r="C66" s="59"/>
      <c r="D66" s="59"/>
      <c r="E66" s="59"/>
      <c r="F66" s="59"/>
      <c r="G66" s="59"/>
      <c r="H66" s="59"/>
    </row>
    <row r="67" spans="1:8">
      <c r="A67" s="59"/>
      <c r="B67" s="59"/>
      <c r="C67" s="59"/>
      <c r="D67" s="59"/>
      <c r="E67" s="59"/>
      <c r="F67" s="59"/>
      <c r="G67" s="59" t="s">
        <v>336</v>
      </c>
      <c r="H67" s="125">
        <f>AVERAGE(H27:H65)</f>
        <v>11.294287239792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G4" workbookViewId="0">
      <selection activeCell="O22" sqref="O22"/>
    </sheetView>
  </sheetViews>
  <sheetFormatPr baseColWidth="10" defaultRowHeight="14" x14ac:dyDescent="0"/>
  <cols>
    <col min="5" max="5" width="17.33203125" customWidth="1"/>
    <col min="6" max="6" width="24.83203125" customWidth="1"/>
    <col min="12" max="12" width="21.1640625" customWidth="1"/>
    <col min="13" max="13" width="19.5" customWidth="1"/>
    <col min="15" max="15" width="11.5" bestFit="1" customWidth="1"/>
  </cols>
  <sheetData>
    <row r="2" spans="1:17">
      <c r="A2" s="101" t="s">
        <v>220</v>
      </c>
      <c r="B2" s="83"/>
      <c r="C2" s="83"/>
      <c r="D2" s="83"/>
      <c r="H2" s="101" t="s">
        <v>288</v>
      </c>
      <c r="I2" s="83"/>
      <c r="J2" s="83"/>
      <c r="K2" s="83"/>
      <c r="O2" s="101" t="s">
        <v>299</v>
      </c>
    </row>
    <row r="3" spans="1:17">
      <c r="A3" s="131" t="s">
        <v>4</v>
      </c>
      <c r="B3" s="131" t="s">
        <v>117</v>
      </c>
      <c r="C3" s="131" t="s">
        <v>117</v>
      </c>
      <c r="D3" s="131" t="s">
        <v>5</v>
      </c>
      <c r="E3" s="148" t="s">
        <v>234</v>
      </c>
      <c r="F3" s="145" t="s">
        <v>235</v>
      </c>
      <c r="H3" s="131" t="s">
        <v>4</v>
      </c>
      <c r="I3" s="131" t="s">
        <v>117</v>
      </c>
      <c r="J3" s="131" t="s">
        <v>117</v>
      </c>
      <c r="K3" s="131" t="s">
        <v>5</v>
      </c>
      <c r="L3" s="148" t="s">
        <v>234</v>
      </c>
      <c r="M3" s="145" t="s">
        <v>235</v>
      </c>
      <c r="O3" s="148" t="s">
        <v>234</v>
      </c>
      <c r="P3" s="148" t="s">
        <v>234</v>
      </c>
      <c r="Q3" s="145" t="s">
        <v>235</v>
      </c>
    </row>
    <row r="4" spans="1:17">
      <c r="A4" s="132"/>
      <c r="B4" s="132"/>
      <c r="C4" s="132"/>
      <c r="D4" s="132"/>
      <c r="E4" s="152"/>
      <c r="F4" s="153"/>
      <c r="H4" s="132"/>
      <c r="I4" s="132"/>
      <c r="J4" s="132"/>
      <c r="K4" s="132"/>
      <c r="L4" s="152"/>
      <c r="M4" s="153"/>
      <c r="O4" s="152"/>
      <c r="P4" s="152"/>
      <c r="Q4" s="153"/>
    </row>
    <row r="5" spans="1:17">
      <c r="A5" s="40">
        <v>0</v>
      </c>
      <c r="B5" s="32">
        <v>10</v>
      </c>
      <c r="C5" s="32">
        <f>B5</f>
        <v>10</v>
      </c>
      <c r="D5" s="13">
        <f t="shared" ref="D5:D21" si="0">C5/60</f>
        <v>0.16666666666666666</v>
      </c>
      <c r="E5" s="103">
        <f>'Determination cell counts RI'!R4</f>
        <v>5.7466563239602353</v>
      </c>
      <c r="F5" s="103">
        <f>'Determination cell counts RI'!S4</f>
        <v>0.22058855958827453</v>
      </c>
      <c r="H5" s="40">
        <v>0</v>
      </c>
      <c r="I5" s="32">
        <v>10</v>
      </c>
      <c r="J5" s="32">
        <f>I5</f>
        <v>10</v>
      </c>
      <c r="K5" s="13">
        <f t="shared" ref="K5:K21" si="1">J5/60</f>
        <v>0.16666666666666666</v>
      </c>
      <c r="L5" s="103">
        <f>'Determination cell counts BH'!R4</f>
        <v>6.4782565006271815</v>
      </c>
      <c r="M5" s="103">
        <f>'Determination cell counts BH'!S4</f>
        <v>0.20278656323986446</v>
      </c>
      <c r="O5" s="31">
        <f>POWER(10,E5)+POWER(10,L5)+POWER(10,E26)</f>
        <v>3702689.2852258375</v>
      </c>
      <c r="P5" s="121">
        <f>LOG(O5)</f>
        <v>6.5685172693344578</v>
      </c>
      <c r="Q5" s="121">
        <f>F5+M5+F26</f>
        <v>0.58810521114398995</v>
      </c>
    </row>
    <row r="6" spans="1:17">
      <c r="A6" s="40">
        <v>1</v>
      </c>
      <c r="B6" s="32">
        <v>110</v>
      </c>
      <c r="C6" s="32">
        <f>C5+B6</f>
        <v>120</v>
      </c>
      <c r="D6" s="13">
        <f t="shared" si="0"/>
        <v>2</v>
      </c>
      <c r="E6" s="103">
        <f>'Determination cell counts RI'!R5</f>
        <v>6.3295561219428862</v>
      </c>
      <c r="F6" s="103">
        <f>'Determination cell counts RI'!S5</f>
        <v>0.27465537005745339</v>
      </c>
      <c r="H6" s="40">
        <v>1</v>
      </c>
      <c r="I6" s="32">
        <v>110</v>
      </c>
      <c r="J6" s="32">
        <f>J5+I6</f>
        <v>120</v>
      </c>
      <c r="K6" s="13">
        <f t="shared" si="1"/>
        <v>2</v>
      </c>
      <c r="L6" s="103">
        <f>'Determination cell counts BH'!R5</f>
        <v>6.9252191941253889</v>
      </c>
      <c r="M6" s="103">
        <f>'Determination cell counts BH'!S5</f>
        <v>0.24879460950742016</v>
      </c>
      <c r="O6" s="31">
        <f t="shared" ref="O6:O20" si="2">POWER(10,E6)+POWER(10,L6)+POWER(10,E27)</f>
        <v>10834389.701714905</v>
      </c>
      <c r="P6" s="121">
        <f t="shared" ref="P6:P21" si="3">LOG(O6)</f>
        <v>7.034804452652379</v>
      </c>
      <c r="Q6" s="121">
        <f t="shared" ref="Q6:Q21" si="4">F6+M6+F27</f>
        <v>0.86182923837419523</v>
      </c>
    </row>
    <row r="7" spans="1:17">
      <c r="A7" s="40">
        <v>2</v>
      </c>
      <c r="B7" s="32">
        <v>80</v>
      </c>
      <c r="C7" s="32">
        <f>C6+B7</f>
        <v>200</v>
      </c>
      <c r="D7" s="13">
        <f t="shared" si="0"/>
        <v>3.3333333333333335</v>
      </c>
      <c r="E7" s="103">
        <f>'Determination cell counts RI'!R6</f>
        <v>6.1379448239461638</v>
      </c>
      <c r="F7" s="103">
        <f>'Determination cell counts RI'!S6</f>
        <v>0.12672906049582153</v>
      </c>
      <c r="H7" s="40">
        <v>2</v>
      </c>
      <c r="I7" s="32">
        <v>80</v>
      </c>
      <c r="J7" s="32">
        <f>J6+I7</f>
        <v>200</v>
      </c>
      <c r="K7" s="13">
        <f t="shared" si="1"/>
        <v>3.3333333333333335</v>
      </c>
      <c r="L7" s="103">
        <f>'Determination cell counts BH'!R6</f>
        <v>7.209790075499952</v>
      </c>
      <c r="M7" s="103">
        <f>'Determination cell counts BH'!S6</f>
        <v>9.6901849384067845E-2</v>
      </c>
      <c r="O7" s="31">
        <f t="shared" si="2"/>
        <v>18720048.900324073</v>
      </c>
      <c r="P7" s="121">
        <f t="shared" si="3"/>
        <v>7.2723069788632602</v>
      </c>
      <c r="Q7" s="121">
        <f t="shared" si="4"/>
        <v>0.43600585970785055</v>
      </c>
    </row>
    <row r="8" spans="1:17">
      <c r="A8" s="40">
        <v>3</v>
      </c>
      <c r="B8" s="32">
        <v>80</v>
      </c>
      <c r="C8" s="32">
        <f>C7+B8</f>
        <v>280</v>
      </c>
      <c r="D8" s="13">
        <f t="shared" si="0"/>
        <v>4.666666666666667</v>
      </c>
      <c r="E8" s="103">
        <f>'Determination cell counts RI'!R7</f>
        <v>5.9469341227269865</v>
      </c>
      <c r="F8" s="103">
        <f>'Determination cell counts RI'!S7</f>
        <v>0.25129955371674084</v>
      </c>
      <c r="H8" s="40">
        <v>3</v>
      </c>
      <c r="I8" s="32">
        <v>80</v>
      </c>
      <c r="J8" s="32">
        <f>J7+I8</f>
        <v>280</v>
      </c>
      <c r="K8" s="13">
        <f t="shared" si="1"/>
        <v>4.666666666666667</v>
      </c>
      <c r="L8" s="103">
        <f>'Determination cell counts BH'!R7</f>
        <v>7.4562169862865399</v>
      </c>
      <c r="M8" s="103">
        <f>'Determination cell counts BH'!S7</f>
        <v>0.20697762573738993</v>
      </c>
      <c r="O8" s="31">
        <f t="shared" si="2"/>
        <v>34950447.180790946</v>
      </c>
      <c r="P8" s="121">
        <f t="shared" si="3"/>
        <v>7.5434527367886384</v>
      </c>
      <c r="Q8" s="121">
        <f t="shared" si="4"/>
        <v>0.85594915900559676</v>
      </c>
    </row>
    <row r="9" spans="1:17">
      <c r="A9" s="40">
        <v>4</v>
      </c>
      <c r="B9" s="32">
        <v>80</v>
      </c>
      <c r="C9" s="32">
        <f t="shared" ref="C9:C19" si="5">C8+B9</f>
        <v>360</v>
      </c>
      <c r="D9" s="13">
        <f t="shared" si="0"/>
        <v>6</v>
      </c>
      <c r="E9" s="103">
        <f>'Determination cell counts RI'!R8</f>
        <v>5.6994071800116055</v>
      </c>
      <c r="F9" s="103">
        <f>'Determination cell counts RI'!S8</f>
        <v>0.19491650481332393</v>
      </c>
      <c r="H9" s="40">
        <v>4</v>
      </c>
      <c r="I9" s="32">
        <v>80</v>
      </c>
      <c r="J9" s="32">
        <f t="shared" ref="J9:J19" si="6">J8+I9</f>
        <v>360</v>
      </c>
      <c r="K9" s="13">
        <f t="shared" si="1"/>
        <v>6</v>
      </c>
      <c r="L9" s="103">
        <f>'Determination cell counts BH'!R8</f>
        <v>7.5240145479527198</v>
      </c>
      <c r="M9" s="103">
        <f>'Determination cell counts BH'!S8</f>
        <v>0.12485881715695848</v>
      </c>
      <c r="O9" s="31">
        <f t="shared" si="2"/>
        <v>47757504.237459481</v>
      </c>
      <c r="P9" s="121">
        <f t="shared" si="3"/>
        <v>7.6790416228905611</v>
      </c>
      <c r="Q9" s="121">
        <f t="shared" si="4"/>
        <v>0.5371435890795252</v>
      </c>
    </row>
    <row r="10" spans="1:17">
      <c r="A10" s="40">
        <v>5</v>
      </c>
      <c r="B10" s="32">
        <v>80</v>
      </c>
      <c r="C10" s="32">
        <f t="shared" si="5"/>
        <v>440</v>
      </c>
      <c r="D10" s="13">
        <f t="shared" si="0"/>
        <v>7.333333333333333</v>
      </c>
      <c r="E10" s="103">
        <f>'Determination cell counts RI'!R9</f>
        <v>5.2544651631855306</v>
      </c>
      <c r="F10" s="103">
        <f>'Determination cell counts RI'!S9</f>
        <v>0.14376896562204555</v>
      </c>
      <c r="H10" s="40">
        <v>5</v>
      </c>
      <c r="I10" s="32">
        <v>80</v>
      </c>
      <c r="J10" s="32">
        <f t="shared" si="6"/>
        <v>440</v>
      </c>
      <c r="K10" s="13">
        <f t="shared" si="1"/>
        <v>7.333333333333333</v>
      </c>
      <c r="L10" s="103">
        <f>'Determination cell counts BH'!R9</f>
        <v>7.4954341477815376</v>
      </c>
      <c r="M10" s="103">
        <f>'Determination cell counts BH'!S9</f>
        <v>0.10003193931318963</v>
      </c>
      <c r="O10" s="31">
        <f t="shared" si="2"/>
        <v>44187786.770137124</v>
      </c>
      <c r="P10" s="121">
        <f t="shared" si="3"/>
        <v>7.6453022496367939</v>
      </c>
      <c r="Q10" s="121">
        <f t="shared" si="4"/>
        <v>0.3698553768633599</v>
      </c>
    </row>
    <row r="11" spans="1:17">
      <c r="A11" s="40">
        <v>6</v>
      </c>
      <c r="B11" s="32">
        <v>80</v>
      </c>
      <c r="C11" s="32">
        <f t="shared" si="5"/>
        <v>520</v>
      </c>
      <c r="D11" s="13">
        <f t="shared" si="0"/>
        <v>8.6666666666666661</v>
      </c>
      <c r="E11" s="103">
        <f>'Determination cell counts RI'!R10</f>
        <v>5.5459483534042047</v>
      </c>
      <c r="F11" s="103">
        <f>'Determination cell counts RI'!S10</f>
        <v>6.3278986115785113E-2</v>
      </c>
      <c r="H11" s="40">
        <v>6</v>
      </c>
      <c r="I11" s="32">
        <v>80</v>
      </c>
      <c r="J11" s="32">
        <f t="shared" si="6"/>
        <v>520</v>
      </c>
      <c r="K11" s="13">
        <f t="shared" si="1"/>
        <v>8.6666666666666661</v>
      </c>
      <c r="L11" s="103">
        <f>'Determination cell counts BH'!R10</f>
        <v>8.0708031709120878</v>
      </c>
      <c r="M11" s="103">
        <f>'Determination cell counts BH'!S10</f>
        <v>0.14259873420440755</v>
      </c>
      <c r="O11" s="31">
        <f t="shared" si="2"/>
        <v>275450170.79789877</v>
      </c>
      <c r="P11" s="121">
        <f t="shared" si="3"/>
        <v>8.440043046001632</v>
      </c>
      <c r="Q11" s="121">
        <f t="shared" si="4"/>
        <v>0.28774993386209596</v>
      </c>
    </row>
    <row r="12" spans="1:17">
      <c r="A12" s="40">
        <v>7</v>
      </c>
      <c r="B12" s="32">
        <v>80</v>
      </c>
      <c r="C12" s="32">
        <f t="shared" si="5"/>
        <v>600</v>
      </c>
      <c r="D12" s="13">
        <f t="shared" si="0"/>
        <v>10</v>
      </c>
      <c r="E12" s="103">
        <f>'Determination cell counts RI'!R11</f>
        <v>5.562110383524181</v>
      </c>
      <c r="F12" s="103">
        <f>'Determination cell counts RI'!S11</f>
        <v>0.14138242775578233</v>
      </c>
      <c r="H12" s="40">
        <v>7</v>
      </c>
      <c r="I12" s="32">
        <v>80</v>
      </c>
      <c r="J12" s="32">
        <f t="shared" si="6"/>
        <v>600</v>
      </c>
      <c r="K12" s="13">
        <f t="shared" si="1"/>
        <v>10</v>
      </c>
      <c r="L12" s="103">
        <f>'Determination cell counts BH'!R11</f>
        <v>8.3157729304624848</v>
      </c>
      <c r="M12" s="103">
        <f>'Determination cell counts BH'!S11</f>
        <v>4.7749287197951143E-2</v>
      </c>
      <c r="O12" s="31">
        <f t="shared" si="2"/>
        <v>500514981.40885854</v>
      </c>
      <c r="P12" s="121">
        <f t="shared" si="3"/>
        <v>8.6994170813074927</v>
      </c>
      <c r="Q12" s="121">
        <f t="shared" si="4"/>
        <v>0.24281480866878691</v>
      </c>
    </row>
    <row r="13" spans="1:17">
      <c r="A13" s="40">
        <v>8</v>
      </c>
      <c r="B13" s="32">
        <v>80</v>
      </c>
      <c r="C13" s="32">
        <f t="shared" si="5"/>
        <v>680</v>
      </c>
      <c r="D13" s="13">
        <f t="shared" si="0"/>
        <v>11.333333333333334</v>
      </c>
      <c r="E13" s="103">
        <f>'Determination cell counts RI'!R12</f>
        <v>5.8305916964608011</v>
      </c>
      <c r="F13" s="103">
        <f>'Determination cell counts RI'!S12</f>
        <v>5.2791413319516901E-2</v>
      </c>
      <c r="H13" s="40">
        <v>8</v>
      </c>
      <c r="I13" s="32">
        <v>80</v>
      </c>
      <c r="J13" s="32">
        <f t="shared" si="6"/>
        <v>680</v>
      </c>
      <c r="K13" s="13">
        <f t="shared" si="1"/>
        <v>11.333333333333334</v>
      </c>
      <c r="L13" s="103">
        <f>'Determination cell counts BH'!R12</f>
        <v>8.4474193709482108</v>
      </c>
      <c r="M13" s="103">
        <f>'Determination cell counts BH'!S12</f>
        <v>0.10227993642104789</v>
      </c>
      <c r="O13" s="31">
        <f t="shared" si="2"/>
        <v>1321397451.0585604</v>
      </c>
      <c r="P13" s="121">
        <f t="shared" si="3"/>
        <v>9.1210334647303064</v>
      </c>
      <c r="Q13" s="121">
        <f t="shared" si="4"/>
        <v>0.25458383678939106</v>
      </c>
    </row>
    <row r="14" spans="1:17">
      <c r="A14" s="40">
        <v>9</v>
      </c>
      <c r="B14" s="32">
        <v>80</v>
      </c>
      <c r="C14" s="32">
        <f t="shared" si="5"/>
        <v>760</v>
      </c>
      <c r="D14" s="13">
        <f t="shared" si="0"/>
        <v>12.666666666666666</v>
      </c>
      <c r="E14" s="103">
        <f>'Determination cell counts RI'!R13</f>
        <v>5.8619222788431342</v>
      </c>
      <c r="F14" s="103">
        <f>'Determination cell counts RI'!S13</f>
        <v>0.13852213172230754</v>
      </c>
      <c r="H14" s="40">
        <v>9</v>
      </c>
      <c r="I14" s="32">
        <v>80</v>
      </c>
      <c r="J14" s="32">
        <f t="shared" si="6"/>
        <v>760</v>
      </c>
      <c r="K14" s="13">
        <f t="shared" si="1"/>
        <v>12.666666666666666</v>
      </c>
      <c r="L14" s="103">
        <f>'Determination cell counts BH'!R13</f>
        <v>8.8093159311089018</v>
      </c>
      <c r="M14" s="103">
        <f>'Determination cell counts BH'!S13</f>
        <v>7.8136067496639983E-2</v>
      </c>
      <c r="O14" s="31">
        <f t="shared" si="2"/>
        <v>2028751355.3047066</v>
      </c>
      <c r="P14" s="121">
        <f t="shared" si="3"/>
        <v>9.3072288229642499</v>
      </c>
      <c r="Q14" s="121">
        <f t="shared" si="4"/>
        <v>0.26569396184265359</v>
      </c>
    </row>
    <row r="15" spans="1:17">
      <c r="A15" s="40">
        <v>10</v>
      </c>
      <c r="B15" s="32">
        <v>80</v>
      </c>
      <c r="C15" s="32">
        <f t="shared" si="5"/>
        <v>840</v>
      </c>
      <c r="D15" s="13">
        <f t="shared" si="0"/>
        <v>14</v>
      </c>
      <c r="E15" s="103">
        <f>'Determination cell counts RI'!R14</f>
        <v>6.0113024215958513</v>
      </c>
      <c r="F15" s="103">
        <f>'Determination cell counts RI'!S14</f>
        <v>7.4087642768564541E-2</v>
      </c>
      <c r="H15" s="40">
        <v>10</v>
      </c>
      <c r="I15" s="32">
        <v>80</v>
      </c>
      <c r="J15" s="32">
        <f t="shared" si="6"/>
        <v>840</v>
      </c>
      <c r="K15" s="13">
        <f t="shared" si="1"/>
        <v>14</v>
      </c>
      <c r="L15" s="103">
        <f>'Determination cell counts BH'!R14</f>
        <v>9.1982080208179511</v>
      </c>
      <c r="M15" s="103">
        <f>'Determination cell counts BH'!S14</f>
        <v>4.7225950793618361E-2</v>
      </c>
      <c r="O15" s="31">
        <f t="shared" si="2"/>
        <v>3492808944.439105</v>
      </c>
      <c r="P15" s="121">
        <f t="shared" si="3"/>
        <v>9.5431748305145074</v>
      </c>
      <c r="Q15" s="121">
        <f t="shared" si="4"/>
        <v>0.16891664080699254</v>
      </c>
    </row>
    <row r="16" spans="1:17">
      <c r="A16" s="40">
        <v>11</v>
      </c>
      <c r="B16" s="32">
        <v>80</v>
      </c>
      <c r="C16" s="32">
        <f t="shared" si="5"/>
        <v>920</v>
      </c>
      <c r="D16" s="13">
        <f t="shared" si="0"/>
        <v>15.333333333333334</v>
      </c>
      <c r="E16" s="103">
        <f>'Determination cell counts RI'!R15</f>
        <v>6.3328793220041675</v>
      </c>
      <c r="F16" s="103">
        <f>'Determination cell counts RI'!S15</f>
        <v>1.6001245916975774E-2</v>
      </c>
      <c r="H16" s="40">
        <v>11</v>
      </c>
      <c r="I16" s="32">
        <v>80</v>
      </c>
      <c r="J16" s="32">
        <f t="shared" si="6"/>
        <v>920</v>
      </c>
      <c r="K16" s="13">
        <f t="shared" si="1"/>
        <v>15.333333333333334</v>
      </c>
      <c r="L16" s="103">
        <f>'Determination cell counts BH'!R15</f>
        <v>9.3258925264702999</v>
      </c>
      <c r="M16" s="103">
        <f>'Determination cell counts BH'!S15</f>
        <v>4.0189285224403508E-2</v>
      </c>
      <c r="O16" s="31">
        <f t="shared" si="2"/>
        <v>4946926540.824398</v>
      </c>
      <c r="P16" s="121">
        <f t="shared" si="3"/>
        <v>9.694335461374596</v>
      </c>
      <c r="Q16" s="121">
        <f t="shared" si="4"/>
        <v>6.8598623275968801E-2</v>
      </c>
    </row>
    <row r="17" spans="1:17">
      <c r="A17" s="40">
        <v>12</v>
      </c>
      <c r="B17" s="32">
        <v>80</v>
      </c>
      <c r="C17" s="32">
        <f t="shared" si="5"/>
        <v>1000</v>
      </c>
      <c r="D17" s="13">
        <f t="shared" si="0"/>
        <v>16.666666666666668</v>
      </c>
      <c r="E17" s="103">
        <f>'Determination cell counts RI'!R16</f>
        <v>6.5737496772622324</v>
      </c>
      <c r="F17" s="103">
        <f>'Determination cell counts RI'!S16</f>
        <v>4.045473503600755E-2</v>
      </c>
      <c r="H17" s="40">
        <v>12</v>
      </c>
      <c r="I17" s="32">
        <v>80</v>
      </c>
      <c r="J17" s="32">
        <f t="shared" si="6"/>
        <v>1000</v>
      </c>
      <c r="K17" s="13">
        <f t="shared" si="1"/>
        <v>16.666666666666668</v>
      </c>
      <c r="L17" s="103">
        <f>'Determination cell counts BH'!R16</f>
        <v>9.378650521965076</v>
      </c>
      <c r="M17" s="103">
        <f>'Determination cell counts BH'!S16</f>
        <v>2.8839760678940077E-2</v>
      </c>
      <c r="O17" s="31">
        <f t="shared" si="2"/>
        <v>5974991745.9544916</v>
      </c>
      <c r="P17" s="121">
        <f t="shared" si="3"/>
        <v>9.7763373096722432</v>
      </c>
      <c r="Q17" s="121">
        <f t="shared" si="4"/>
        <v>7.8096279584171771E-2</v>
      </c>
    </row>
    <row r="18" spans="1:17">
      <c r="A18" s="40">
        <v>13</v>
      </c>
      <c r="B18" s="32">
        <v>80</v>
      </c>
      <c r="C18" s="32">
        <f t="shared" si="5"/>
        <v>1080</v>
      </c>
      <c r="D18" s="13">
        <f t="shared" si="0"/>
        <v>18</v>
      </c>
      <c r="E18" s="103">
        <f>'Determination cell counts RI'!R17</f>
        <v>6.8844999251787096</v>
      </c>
      <c r="F18" s="103">
        <f>'Determination cell counts RI'!S17</f>
        <v>1.7985919190057903E-2</v>
      </c>
      <c r="H18" s="40">
        <v>13</v>
      </c>
      <c r="I18" s="32">
        <v>80</v>
      </c>
      <c r="J18" s="32">
        <f t="shared" si="6"/>
        <v>1080</v>
      </c>
      <c r="K18" s="13">
        <f t="shared" si="1"/>
        <v>18</v>
      </c>
      <c r="L18" s="103">
        <f>'Determination cell counts BH'!R17</f>
        <v>9.5614585511202961</v>
      </c>
      <c r="M18" s="103">
        <f>'Determination cell counts BH'!S17</f>
        <v>3.9424400873793092E-2</v>
      </c>
      <c r="O18" s="31">
        <f t="shared" si="2"/>
        <v>7308345044.2215929</v>
      </c>
      <c r="P18" s="121">
        <f t="shared" si="3"/>
        <v>9.8638190432322226</v>
      </c>
      <c r="Q18" s="121">
        <f t="shared" si="4"/>
        <v>0.13090728606987911</v>
      </c>
    </row>
    <row r="19" spans="1:17">
      <c r="A19" s="40">
        <v>14</v>
      </c>
      <c r="B19" s="32">
        <v>360</v>
      </c>
      <c r="C19" s="32">
        <f t="shared" si="5"/>
        <v>1440</v>
      </c>
      <c r="D19" s="13">
        <f t="shared" si="0"/>
        <v>24</v>
      </c>
      <c r="E19" s="103">
        <f>'Determination cell counts RI'!R18</f>
        <v>7.8486649505379669</v>
      </c>
      <c r="F19" s="103">
        <f>'Determination cell counts RI'!S18</f>
        <v>2.8966957764564458E-2</v>
      </c>
      <c r="H19" s="40">
        <v>14</v>
      </c>
      <c r="I19" s="32">
        <v>360</v>
      </c>
      <c r="J19" s="32">
        <f t="shared" si="6"/>
        <v>1440</v>
      </c>
      <c r="K19" s="13">
        <f t="shared" si="1"/>
        <v>24</v>
      </c>
      <c r="L19" s="103">
        <f>'Determination cell counts BH'!R18</f>
        <v>9.8539853222574152</v>
      </c>
      <c r="M19" s="103">
        <f>'Determination cell counts BH'!S18</f>
        <v>7.5102294259449143E-2</v>
      </c>
      <c r="O19" s="31">
        <f t="shared" si="2"/>
        <v>9771151426.3045063</v>
      </c>
      <c r="P19" s="121">
        <f t="shared" si="3"/>
        <v>9.9899457437214281</v>
      </c>
      <c r="Q19" s="121">
        <f t="shared" si="4"/>
        <v>0.13617987548179084</v>
      </c>
    </row>
    <row r="20" spans="1:17">
      <c r="A20" s="40">
        <v>15</v>
      </c>
      <c r="B20" s="32">
        <v>360</v>
      </c>
      <c r="C20" s="32">
        <f>C19+B20</f>
        <v>1800</v>
      </c>
      <c r="D20" s="13">
        <f t="shared" si="0"/>
        <v>30</v>
      </c>
      <c r="E20" s="103">
        <f>'Determination cell counts RI'!R19</f>
        <v>8.2174769179231362</v>
      </c>
      <c r="F20" s="103">
        <f>'Determination cell counts RI'!S19</f>
        <v>2.1895776622341153E-2</v>
      </c>
      <c r="H20" s="40">
        <v>15</v>
      </c>
      <c r="I20" s="32">
        <v>360</v>
      </c>
      <c r="J20" s="32">
        <f>J19+I20</f>
        <v>1800</v>
      </c>
      <c r="K20" s="13">
        <f t="shared" si="1"/>
        <v>30</v>
      </c>
      <c r="L20" s="103">
        <f>'Determination cell counts BH'!R19</f>
        <v>10.040817224176903</v>
      </c>
      <c r="M20" s="103">
        <f>'Determination cell counts BH'!S19</f>
        <v>3.0505892980353503E-2</v>
      </c>
      <c r="O20" s="31">
        <f t="shared" si="2"/>
        <v>13666026160.857784</v>
      </c>
      <c r="P20" s="121">
        <f t="shared" si="3"/>
        <v>10.135642247756879</v>
      </c>
      <c r="Q20" s="121">
        <f t="shared" si="4"/>
        <v>7.4141676873656068E-2</v>
      </c>
    </row>
    <row r="21" spans="1:17">
      <c r="A21" s="40">
        <v>16</v>
      </c>
      <c r="B21" s="32">
        <v>1080</v>
      </c>
      <c r="C21" s="32">
        <f>C20+B21</f>
        <v>2880</v>
      </c>
      <c r="D21" s="13">
        <f t="shared" si="0"/>
        <v>48</v>
      </c>
      <c r="E21" s="103">
        <f>'Determination cell counts RI'!R20</f>
        <v>7.9197845725211646</v>
      </c>
      <c r="F21" s="103">
        <f>'Determination cell counts RI'!S20</f>
        <v>6.3762129865489403E-2</v>
      </c>
      <c r="H21" s="40">
        <v>16</v>
      </c>
      <c r="I21" s="32">
        <v>1080</v>
      </c>
      <c r="J21" s="32">
        <f>J20+I21</f>
        <v>2880</v>
      </c>
      <c r="K21" s="13">
        <f t="shared" si="1"/>
        <v>48</v>
      </c>
      <c r="L21" s="103">
        <f>'Determination cell counts BH'!R20</f>
        <v>9.9950961562949292</v>
      </c>
      <c r="M21" s="103">
        <f>'Determination cell counts BH'!S20</f>
        <v>1.7599466257186707E-2</v>
      </c>
      <c r="O21" s="31">
        <f>POWER(10,E21)+POWER(10,L21)+POWER(10,E42)</f>
        <v>11666644161.829704</v>
      </c>
      <c r="P21" s="121">
        <f t="shared" si="3"/>
        <v>10.066945951881818</v>
      </c>
      <c r="Q21" s="121">
        <f t="shared" si="4"/>
        <v>9.0938833269766664E-2</v>
      </c>
    </row>
    <row r="23" spans="1:17">
      <c r="A23" s="101" t="s">
        <v>266</v>
      </c>
      <c r="B23" s="83"/>
      <c r="C23" s="83"/>
      <c r="D23" s="83"/>
    </row>
    <row r="24" spans="1:17">
      <c r="A24" s="131" t="s">
        <v>4</v>
      </c>
      <c r="B24" s="131" t="s">
        <v>117</v>
      </c>
      <c r="C24" s="131" t="s">
        <v>117</v>
      </c>
      <c r="D24" s="131" t="s">
        <v>5</v>
      </c>
      <c r="E24" s="148" t="s">
        <v>234</v>
      </c>
      <c r="F24" s="145" t="s">
        <v>235</v>
      </c>
    </row>
    <row r="25" spans="1:17">
      <c r="A25" s="132"/>
      <c r="B25" s="132"/>
      <c r="C25" s="132"/>
      <c r="D25" s="132"/>
      <c r="E25" s="152"/>
      <c r="F25" s="153"/>
    </row>
    <row r="26" spans="1:17">
      <c r="A26" s="40">
        <v>0</v>
      </c>
      <c r="B26" s="32">
        <v>10</v>
      </c>
      <c r="C26" s="32">
        <f>B26</f>
        <v>10</v>
      </c>
      <c r="D26" s="13">
        <f t="shared" ref="D26:D42" si="7">C26/60</f>
        <v>0.16666666666666666</v>
      </c>
      <c r="E26" s="103">
        <f>'Determination cell counts FP'!R4</f>
        <v>5.1361133922810112</v>
      </c>
      <c r="F26" s="103">
        <f>'Determination cell counts FP'!S4</f>
        <v>0.16473008831585101</v>
      </c>
    </row>
    <row r="27" spans="1:17">
      <c r="A27" s="40">
        <v>1</v>
      </c>
      <c r="B27" s="32">
        <v>110</v>
      </c>
      <c r="C27" s="32">
        <f>C26+B27</f>
        <v>120</v>
      </c>
      <c r="D27" s="13">
        <f t="shared" si="7"/>
        <v>2</v>
      </c>
      <c r="E27" s="103">
        <f>'Determination cell counts FP'!R5</f>
        <v>5.4477973947373393</v>
      </c>
      <c r="F27" s="103">
        <f>'Determination cell counts FP'!S5</f>
        <v>0.33837925880932179</v>
      </c>
    </row>
    <row r="28" spans="1:17">
      <c r="A28" s="40">
        <v>2</v>
      </c>
      <c r="B28" s="32">
        <v>80</v>
      </c>
      <c r="C28" s="32">
        <f>C27+B28</f>
        <v>200</v>
      </c>
      <c r="D28" s="13">
        <f t="shared" si="7"/>
        <v>3.3333333333333335</v>
      </c>
      <c r="E28" s="103">
        <f>'Determination cell counts FP'!R6</f>
        <v>6.055346959584007</v>
      </c>
      <c r="F28" s="103">
        <f>'Determination cell counts FP'!S6</f>
        <v>0.21237494982796121</v>
      </c>
    </row>
    <row r="29" spans="1:17">
      <c r="A29" s="40">
        <v>3</v>
      </c>
      <c r="B29" s="32">
        <v>80</v>
      </c>
      <c r="C29" s="32">
        <f>C28+B29</f>
        <v>280</v>
      </c>
      <c r="D29" s="13">
        <f t="shared" si="7"/>
        <v>4.666666666666667</v>
      </c>
      <c r="E29" s="103">
        <f>'Determination cell counts FP'!R7</f>
        <v>6.7384062905277506</v>
      </c>
      <c r="F29" s="103">
        <f>'Determination cell counts FP'!S7</f>
        <v>0.39767197955146599</v>
      </c>
    </row>
    <row r="30" spans="1:17">
      <c r="A30" s="40">
        <v>4</v>
      </c>
      <c r="B30" s="32">
        <v>80</v>
      </c>
      <c r="C30" s="32">
        <f t="shared" ref="C30:C40" si="8">C29+B30</f>
        <v>360</v>
      </c>
      <c r="D30" s="13">
        <f t="shared" si="7"/>
        <v>6</v>
      </c>
      <c r="E30" s="103">
        <f>'Determination cell counts FP'!R8</f>
        <v>7.1410223918305755</v>
      </c>
      <c r="F30" s="103">
        <f>'Determination cell counts FP'!S8</f>
        <v>0.21736826710924279</v>
      </c>
    </row>
    <row r="31" spans="1:17">
      <c r="A31" s="40">
        <v>5</v>
      </c>
      <c r="B31" s="32">
        <v>80</v>
      </c>
      <c r="C31" s="32">
        <f t="shared" si="8"/>
        <v>440</v>
      </c>
      <c r="D31" s="13">
        <f t="shared" si="7"/>
        <v>7.333333333333333</v>
      </c>
      <c r="E31" s="103">
        <f>'Determination cell counts FP'!R9</f>
        <v>7.1043526211793191</v>
      </c>
      <c r="F31" s="103">
        <f>'Determination cell counts FP'!S9</f>
        <v>0.12605447192812469</v>
      </c>
    </row>
    <row r="32" spans="1:17">
      <c r="A32" s="40">
        <v>6</v>
      </c>
      <c r="B32" s="32">
        <v>80</v>
      </c>
      <c r="C32" s="32">
        <f t="shared" si="8"/>
        <v>520</v>
      </c>
      <c r="D32" s="13">
        <f t="shared" si="7"/>
        <v>8.6666666666666661</v>
      </c>
      <c r="E32" s="103">
        <f>'Determination cell counts FP'!R10</f>
        <v>8.1969810361783058</v>
      </c>
      <c r="F32" s="103">
        <f>'Determination cell counts FP'!S10</f>
        <v>8.1872213541903313E-2</v>
      </c>
    </row>
    <row r="33" spans="1:6">
      <c r="A33" s="40">
        <v>7</v>
      </c>
      <c r="B33" s="32">
        <v>80</v>
      </c>
      <c r="C33" s="32">
        <f t="shared" si="8"/>
        <v>600</v>
      </c>
      <c r="D33" s="13">
        <f t="shared" si="7"/>
        <v>10</v>
      </c>
      <c r="E33" s="103">
        <f>'Determination cell counts FP'!R11</f>
        <v>8.4672294433344373</v>
      </c>
      <c r="F33" s="103">
        <f>'Determination cell counts FP'!S11</f>
        <v>5.3683093715053434E-2</v>
      </c>
    </row>
    <row r="34" spans="1:6">
      <c r="A34" s="40">
        <v>8</v>
      </c>
      <c r="B34" s="32">
        <v>80</v>
      </c>
      <c r="C34" s="32">
        <f t="shared" si="8"/>
        <v>680</v>
      </c>
      <c r="D34" s="13">
        <f t="shared" si="7"/>
        <v>11.333333333333334</v>
      </c>
      <c r="E34" s="103">
        <f>'Determination cell counts FP'!R12</f>
        <v>9.0172637481279914</v>
      </c>
      <c r="F34" s="103">
        <f>'Determination cell counts FP'!S12</f>
        <v>9.9512487048826273E-2</v>
      </c>
    </row>
    <row r="35" spans="1:6">
      <c r="A35" s="40">
        <v>9</v>
      </c>
      <c r="B35" s="32">
        <v>80</v>
      </c>
      <c r="C35" s="32">
        <f t="shared" si="8"/>
        <v>760</v>
      </c>
      <c r="D35" s="13">
        <f t="shared" si="7"/>
        <v>12.666666666666666</v>
      </c>
      <c r="E35" s="103">
        <f>'Determination cell counts FP'!R13</f>
        <v>9.1409432706155727</v>
      </c>
      <c r="F35" s="103">
        <f>'Determination cell counts FP'!S13</f>
        <v>4.9035762623706063E-2</v>
      </c>
    </row>
    <row r="36" spans="1:6">
      <c r="A36" s="40">
        <v>10</v>
      </c>
      <c r="B36" s="32">
        <v>80</v>
      </c>
      <c r="C36" s="32">
        <f t="shared" si="8"/>
        <v>840</v>
      </c>
      <c r="D36" s="13">
        <f t="shared" si="7"/>
        <v>14</v>
      </c>
      <c r="E36" s="103">
        <f>'Determination cell counts FP'!R14</f>
        <v>9.2818092818761286</v>
      </c>
      <c r="F36" s="103">
        <f>'Determination cell counts FP'!S14</f>
        <v>4.760304724480962E-2</v>
      </c>
    </row>
    <row r="37" spans="1:6">
      <c r="A37" s="40">
        <v>11</v>
      </c>
      <c r="B37" s="32">
        <v>80</v>
      </c>
      <c r="C37" s="32">
        <f t="shared" si="8"/>
        <v>920</v>
      </c>
      <c r="D37" s="13">
        <f t="shared" si="7"/>
        <v>15.333333333333334</v>
      </c>
      <c r="E37" s="103">
        <f>'Determination cell counts FP'!R15</f>
        <v>9.4513161886848174</v>
      </c>
      <c r="F37" s="103">
        <f>'Determination cell counts FP'!S15</f>
        <v>1.240809213458951E-2</v>
      </c>
    </row>
    <row r="38" spans="1:6">
      <c r="A38" s="40">
        <v>12</v>
      </c>
      <c r="B38" s="32">
        <v>80</v>
      </c>
      <c r="C38" s="32">
        <f t="shared" si="8"/>
        <v>1000</v>
      </c>
      <c r="D38" s="13">
        <f t="shared" si="7"/>
        <v>16.666666666666668</v>
      </c>
      <c r="E38" s="103">
        <f>'Determination cell counts FP'!R16</f>
        <v>9.5538652606866972</v>
      </c>
      <c r="F38" s="103">
        <f>'Determination cell counts FP'!S16</f>
        <v>8.8017838692241446E-3</v>
      </c>
    </row>
    <row r="39" spans="1:6">
      <c r="A39" s="40">
        <v>13</v>
      </c>
      <c r="B39" s="32">
        <v>80</v>
      </c>
      <c r="C39" s="32">
        <f t="shared" si="8"/>
        <v>1080</v>
      </c>
      <c r="D39" s="13">
        <f t="shared" si="7"/>
        <v>18</v>
      </c>
      <c r="E39" s="103">
        <f>'Determination cell counts FP'!R17</f>
        <v>9.5632063561353426</v>
      </c>
      <c r="F39" s="103">
        <f>'Determination cell counts FP'!S17</f>
        <v>7.3496966006028105E-2</v>
      </c>
    </row>
    <row r="40" spans="1:6">
      <c r="A40" s="40">
        <v>14</v>
      </c>
      <c r="B40" s="32">
        <v>360</v>
      </c>
      <c r="C40" s="32">
        <f t="shared" si="8"/>
        <v>1440</v>
      </c>
      <c r="D40" s="13">
        <f t="shared" si="7"/>
        <v>24</v>
      </c>
      <c r="E40" s="103">
        <f>'Determination cell counts FP'!R18</f>
        <v>9.4075357617230306</v>
      </c>
      <c r="F40" s="103">
        <f>'Determination cell counts FP'!S18</f>
        <v>3.2110623457777238E-2</v>
      </c>
    </row>
    <row r="41" spans="1:6">
      <c r="A41" s="40">
        <v>15</v>
      </c>
      <c r="B41" s="32">
        <v>360</v>
      </c>
      <c r="C41" s="32">
        <f>C40+B41</f>
        <v>1800</v>
      </c>
      <c r="D41" s="13">
        <f t="shared" si="7"/>
        <v>30</v>
      </c>
      <c r="E41" s="103">
        <f>'Determination cell counts FP'!R19</f>
        <v>9.4006406718528979</v>
      </c>
      <c r="F41" s="103">
        <f>'Determination cell counts FP'!S19</f>
        <v>2.1740007270961412E-2</v>
      </c>
    </row>
    <row r="42" spans="1:6">
      <c r="A42" s="40">
        <v>16</v>
      </c>
      <c r="B42" s="32">
        <v>1080</v>
      </c>
      <c r="C42" s="32">
        <f>C41+B42</f>
        <v>2880</v>
      </c>
      <c r="D42" s="13">
        <f t="shared" si="7"/>
        <v>48</v>
      </c>
      <c r="E42" s="103">
        <f>'Determination cell counts FP'!R20</f>
        <v>9.2293718415483283</v>
      </c>
      <c r="F42" s="103">
        <f>'Determination cell counts FP'!S20</f>
        <v>9.5772371470905469E-3</v>
      </c>
    </row>
  </sheetData>
  <mergeCells count="21">
    <mergeCell ref="O3:O4"/>
    <mergeCell ref="P3:P4"/>
    <mergeCell ref="Q3:Q4"/>
    <mergeCell ref="A24:A25"/>
    <mergeCell ref="B24:B25"/>
    <mergeCell ref="C24:C25"/>
    <mergeCell ref="D24:D25"/>
    <mergeCell ref="E24:E25"/>
    <mergeCell ref="F24:F25"/>
    <mergeCell ref="H3:H4"/>
    <mergeCell ref="I3:I4"/>
    <mergeCell ref="J3:J4"/>
    <mergeCell ref="K3:K4"/>
    <mergeCell ref="L3:L4"/>
    <mergeCell ref="M3:M4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0" sqref="H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31" t="s">
        <v>4</v>
      </c>
      <c r="B1" s="131" t="s">
        <v>117</v>
      </c>
      <c r="C1" s="131" t="s">
        <v>117</v>
      </c>
      <c r="D1" s="131" t="s">
        <v>5</v>
      </c>
      <c r="E1" s="131" t="s">
        <v>19</v>
      </c>
      <c r="F1" s="131" t="s">
        <v>24</v>
      </c>
      <c r="G1" s="130" t="s">
        <v>25</v>
      </c>
      <c r="H1" s="127" t="s">
        <v>26</v>
      </c>
      <c r="I1" s="4" t="s">
        <v>27</v>
      </c>
      <c r="J1" s="53" t="s">
        <v>27</v>
      </c>
    </row>
    <row r="2" spans="1:10">
      <c r="A2" s="132"/>
      <c r="B2" s="132"/>
      <c r="C2" s="132"/>
      <c r="D2" s="132"/>
      <c r="E2" s="132"/>
      <c r="F2" s="132"/>
      <c r="G2" s="130"/>
      <c r="H2" s="127"/>
      <c r="I2" s="5" t="s">
        <v>28</v>
      </c>
      <c r="J2" s="54" t="s">
        <v>23</v>
      </c>
    </row>
    <row r="3" spans="1:10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0">
        <v>1</v>
      </c>
      <c r="F3" s="50">
        <v>0.10100000000000001</v>
      </c>
      <c r="G3" s="50">
        <v>0.10100000000000001</v>
      </c>
      <c r="H3" s="50">
        <v>0.10100000000000001</v>
      </c>
      <c r="I3" s="51">
        <f>E3*(AVERAGE(F3:H3)*1.6007-0.0118)</f>
        <v>0.14987070000000002</v>
      </c>
      <c r="J3" s="51">
        <f>E3*(STDEV(F3:H3)*1.6007)</f>
        <v>2.7206696834821082E-17</v>
      </c>
    </row>
    <row r="4" spans="1:10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40">
        <v>1</v>
      </c>
      <c r="F4" s="50">
        <v>0.10199999999999999</v>
      </c>
      <c r="G4" s="50">
        <v>0.10199999999999999</v>
      </c>
      <c r="H4" s="50">
        <v>0.10199999999999999</v>
      </c>
      <c r="I4" s="51">
        <f>E4*(AVERAGE(F4:H4)*1.6007-0.0118)</f>
        <v>0.15147139999999998</v>
      </c>
      <c r="J4" s="51">
        <f t="shared" ref="J4:J9" si="1">E4*(STDEV(F4:H4)*1.6007)</f>
        <v>0</v>
      </c>
    </row>
    <row r="5" spans="1:10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40">
        <v>1</v>
      </c>
      <c r="F5" s="50">
        <v>0.105</v>
      </c>
      <c r="G5" s="50">
        <v>0.105</v>
      </c>
      <c r="H5" s="50">
        <v>0.105</v>
      </c>
      <c r="I5" s="51">
        <f t="shared" ref="I5:I9" si="2">E5*(AVERAGE(F5:H5)*1.6007-0.0118)</f>
        <v>0.15627349999999998</v>
      </c>
      <c r="J5" s="51">
        <f t="shared" si="1"/>
        <v>0</v>
      </c>
    </row>
    <row r="6" spans="1:10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40">
        <v>1</v>
      </c>
      <c r="F6" s="50">
        <v>0.113</v>
      </c>
      <c r="G6" s="50">
        <v>0.113</v>
      </c>
      <c r="H6" s="50">
        <v>0.113</v>
      </c>
      <c r="I6" s="51">
        <f t="shared" si="2"/>
        <v>0.16907910000000001</v>
      </c>
      <c r="J6" s="51">
        <f t="shared" si="1"/>
        <v>0</v>
      </c>
    </row>
    <row r="7" spans="1:10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40">
        <v>1</v>
      </c>
      <c r="F7" s="50">
        <v>0.127</v>
      </c>
      <c r="G7" s="50">
        <v>0.127</v>
      </c>
      <c r="H7" s="50">
        <v>0.127</v>
      </c>
      <c r="I7" s="51">
        <f t="shared" si="2"/>
        <v>0.19148889999999999</v>
      </c>
      <c r="J7" s="51">
        <f t="shared" si="1"/>
        <v>0</v>
      </c>
    </row>
    <row r="8" spans="1:10">
      <c r="A8" s="63">
        <v>4</v>
      </c>
      <c r="B8" s="32">
        <v>80</v>
      </c>
      <c r="C8" s="32">
        <f t="shared" ref="C8:C18" si="3">C7+B8</f>
        <v>360</v>
      </c>
      <c r="D8" s="13">
        <f t="shared" si="0"/>
        <v>6</v>
      </c>
      <c r="E8" s="40">
        <v>1</v>
      </c>
      <c r="F8" s="50">
        <v>0.17100000000000001</v>
      </c>
      <c r="G8" s="50">
        <v>0.17100000000000001</v>
      </c>
      <c r="H8" s="50">
        <v>0.17100000000000001</v>
      </c>
      <c r="I8" s="51">
        <f t="shared" si="2"/>
        <v>0.26191970000000003</v>
      </c>
      <c r="J8" s="51">
        <f t="shared" si="1"/>
        <v>0</v>
      </c>
    </row>
    <row r="9" spans="1:10">
      <c r="A9" s="63">
        <v>5</v>
      </c>
      <c r="B9" s="32">
        <v>80</v>
      </c>
      <c r="C9" s="32">
        <f t="shared" si="3"/>
        <v>440</v>
      </c>
      <c r="D9" s="13">
        <f t="shared" si="0"/>
        <v>7.333333333333333</v>
      </c>
      <c r="E9" s="40">
        <v>1</v>
      </c>
      <c r="F9" s="50">
        <v>0.255</v>
      </c>
      <c r="G9" s="50">
        <v>0.255</v>
      </c>
      <c r="H9" s="50">
        <v>0.255</v>
      </c>
      <c r="I9" s="51">
        <f t="shared" si="2"/>
        <v>0.39637850000000002</v>
      </c>
      <c r="J9" s="51">
        <f t="shared" si="1"/>
        <v>0</v>
      </c>
    </row>
    <row r="10" spans="1:10">
      <c r="A10" s="63">
        <v>6</v>
      </c>
      <c r="B10" s="32">
        <v>80</v>
      </c>
      <c r="C10" s="32">
        <f t="shared" si="3"/>
        <v>520</v>
      </c>
      <c r="D10" s="13">
        <f t="shared" si="0"/>
        <v>8.6666666666666661</v>
      </c>
      <c r="E10" s="40">
        <v>5</v>
      </c>
      <c r="F10" s="50">
        <v>0.125</v>
      </c>
      <c r="G10" s="50">
        <v>0.12</v>
      </c>
      <c r="H10" s="50">
        <v>0.122</v>
      </c>
      <c r="I10" s="51">
        <f t="shared" ref="I10:I20" si="4">E10*(AVERAGE(F10:H10)*1.6007-0.0118)</f>
        <v>0.92009483333333342</v>
      </c>
      <c r="J10" s="51">
        <f t="shared" ref="J10:J20" si="5">E10*(STDEV(F10:H10)*1.6007)</f>
        <v>2.0141699967563164E-2</v>
      </c>
    </row>
    <row r="11" spans="1:10">
      <c r="A11" s="63">
        <v>7</v>
      </c>
      <c r="B11" s="32">
        <v>80</v>
      </c>
      <c r="C11" s="32">
        <f t="shared" si="3"/>
        <v>600</v>
      </c>
      <c r="D11" s="13">
        <f t="shared" si="0"/>
        <v>10</v>
      </c>
      <c r="E11" s="40">
        <v>10</v>
      </c>
      <c r="F11" s="50">
        <v>0.121</v>
      </c>
      <c r="G11" s="50">
        <v>0.114</v>
      </c>
      <c r="H11" s="50">
        <v>0.115</v>
      </c>
      <c r="I11" s="51">
        <f t="shared" si="4"/>
        <v>1.7494833333333331</v>
      </c>
      <c r="J11" s="51">
        <f t="shared" si="5"/>
        <v>6.0601523927483247E-2</v>
      </c>
    </row>
    <row r="12" spans="1:10">
      <c r="A12" s="63">
        <v>8</v>
      </c>
      <c r="B12" s="32">
        <v>80</v>
      </c>
      <c r="C12" s="32">
        <f t="shared" si="3"/>
        <v>680</v>
      </c>
      <c r="D12" s="13">
        <f t="shared" si="0"/>
        <v>11.333333333333334</v>
      </c>
      <c r="E12" s="40">
        <v>10</v>
      </c>
      <c r="F12" s="50">
        <v>0.20100000000000001</v>
      </c>
      <c r="G12" s="50">
        <v>0.19800000000000001</v>
      </c>
      <c r="H12" s="50">
        <v>0.19</v>
      </c>
      <c r="I12" s="51">
        <f t="shared" si="4"/>
        <v>3.0247076666666666</v>
      </c>
      <c r="J12" s="51">
        <f t="shared" si="5"/>
        <v>9.1019654934158839E-2</v>
      </c>
    </row>
    <row r="13" spans="1:10">
      <c r="A13" s="63">
        <v>9</v>
      </c>
      <c r="B13" s="32">
        <v>80</v>
      </c>
      <c r="C13" s="32">
        <f t="shared" si="3"/>
        <v>760</v>
      </c>
      <c r="D13" s="13">
        <f t="shared" si="0"/>
        <v>12.666666666666666</v>
      </c>
      <c r="E13" s="40">
        <v>20</v>
      </c>
      <c r="F13" s="50">
        <v>0.16200000000000001</v>
      </c>
      <c r="G13" s="50">
        <v>0.158</v>
      </c>
      <c r="H13" s="50">
        <v>0.156</v>
      </c>
      <c r="I13" s="51">
        <f t="shared" si="4"/>
        <v>4.843554666666666</v>
      </c>
      <c r="J13" s="51">
        <f t="shared" si="5"/>
        <v>9.7804385532210936E-2</v>
      </c>
    </row>
    <row r="14" spans="1:10">
      <c r="A14" s="63">
        <v>10</v>
      </c>
      <c r="B14" s="32">
        <v>80</v>
      </c>
      <c r="C14" s="32">
        <f t="shared" si="3"/>
        <v>840</v>
      </c>
      <c r="D14" s="13">
        <f t="shared" si="0"/>
        <v>14</v>
      </c>
      <c r="E14" s="40">
        <v>20</v>
      </c>
      <c r="F14" s="50">
        <v>0.22800000000000001</v>
      </c>
      <c r="G14" s="50">
        <v>0.22600000000000001</v>
      </c>
      <c r="H14" s="50">
        <v>0.22800000000000001</v>
      </c>
      <c r="I14" s="51">
        <f t="shared" si="4"/>
        <v>7.0418493333333343</v>
      </c>
      <c r="J14" s="51">
        <f t="shared" si="5"/>
        <v>3.6966583035673392E-2</v>
      </c>
    </row>
    <row r="15" spans="1:10">
      <c r="A15" s="63">
        <v>11</v>
      </c>
      <c r="B15" s="32">
        <v>80</v>
      </c>
      <c r="C15" s="32">
        <f t="shared" si="3"/>
        <v>920</v>
      </c>
      <c r="D15" s="13">
        <f t="shared" si="0"/>
        <v>15.333333333333334</v>
      </c>
      <c r="E15" s="40">
        <v>20</v>
      </c>
      <c r="F15" s="50">
        <v>0.26600000000000001</v>
      </c>
      <c r="G15" s="50">
        <v>0.28299999999999997</v>
      </c>
      <c r="H15" s="50">
        <v>0.27600000000000002</v>
      </c>
      <c r="I15" s="51">
        <f t="shared" si="4"/>
        <v>8.56785</v>
      </c>
      <c r="J15" s="51">
        <f t="shared" si="5"/>
        <v>0.27352773590259483</v>
      </c>
    </row>
    <row r="16" spans="1:10">
      <c r="A16" s="63">
        <v>12</v>
      </c>
      <c r="B16" s="32">
        <v>80</v>
      </c>
      <c r="C16" s="32">
        <f t="shared" si="3"/>
        <v>1000</v>
      </c>
      <c r="D16" s="13">
        <f t="shared" si="0"/>
        <v>16.666666666666668</v>
      </c>
      <c r="E16" s="40">
        <v>20</v>
      </c>
      <c r="F16" s="50">
        <v>0.33100000000000002</v>
      </c>
      <c r="G16" s="50">
        <v>0.31900000000000001</v>
      </c>
      <c r="H16" s="50">
        <v>0.31</v>
      </c>
      <c r="I16" s="51">
        <f t="shared" si="4"/>
        <v>10.008479999999999</v>
      </c>
      <c r="J16" s="51">
        <f t="shared" si="5"/>
        <v>0.33728841924382791</v>
      </c>
    </row>
    <row r="17" spans="1:10">
      <c r="A17" s="63">
        <v>13</v>
      </c>
      <c r="B17" s="32">
        <v>80</v>
      </c>
      <c r="C17" s="32">
        <f t="shared" si="3"/>
        <v>1080</v>
      </c>
      <c r="D17" s="13">
        <f t="shared" si="0"/>
        <v>18</v>
      </c>
      <c r="E17" s="40">
        <v>20</v>
      </c>
      <c r="F17" s="50">
        <v>0.33100000000000002</v>
      </c>
      <c r="G17" s="50">
        <v>0.33400000000000002</v>
      </c>
      <c r="H17" s="50">
        <v>0.34100000000000003</v>
      </c>
      <c r="I17" s="51">
        <f t="shared" si="4"/>
        <v>10.499361333333333</v>
      </c>
      <c r="J17" s="51">
        <f t="shared" si="5"/>
        <v>0.16428308848245271</v>
      </c>
    </row>
    <row r="18" spans="1:10">
      <c r="A18" s="63">
        <v>14</v>
      </c>
      <c r="B18" s="32">
        <v>360</v>
      </c>
      <c r="C18" s="32">
        <f t="shared" si="3"/>
        <v>1440</v>
      </c>
      <c r="D18" s="13">
        <f t="shared" si="0"/>
        <v>24</v>
      </c>
      <c r="E18" s="40">
        <v>20</v>
      </c>
      <c r="F18" s="50">
        <v>0.27900000000000003</v>
      </c>
      <c r="G18" s="50">
        <v>0.307</v>
      </c>
      <c r="H18" s="50">
        <v>0.27200000000000002</v>
      </c>
      <c r="I18" s="51">
        <f>E18*(AVERAGE(F18:H18)*1.6007-0.0118)</f>
        <v>8.9200040000000023</v>
      </c>
      <c r="J18" s="51">
        <f t="shared" si="5"/>
        <v>0.5929075773069522</v>
      </c>
    </row>
    <row r="19" spans="1:10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>
        <v>20</v>
      </c>
      <c r="F19" s="50">
        <v>0.219</v>
      </c>
      <c r="G19" s="50">
        <v>0.222</v>
      </c>
      <c r="H19" s="50">
        <v>0.23899999999999999</v>
      </c>
      <c r="I19" s="51">
        <f>E19*(AVERAGE(F19:H19)*1.6007-0.0118)</f>
        <v>7.0205066666666669</v>
      </c>
      <c r="J19" s="51">
        <f t="shared" si="5"/>
        <v>0.34529638110083521</v>
      </c>
    </row>
    <row r="20" spans="1:10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10</v>
      </c>
      <c r="F20" s="50">
        <v>0.27100000000000002</v>
      </c>
      <c r="G20" s="50">
        <v>0.30299999999999999</v>
      </c>
      <c r="H20" s="50">
        <v>0.27800000000000002</v>
      </c>
      <c r="I20" s="51">
        <f t="shared" si="4"/>
        <v>4.4279880000000009</v>
      </c>
      <c r="J20" s="51">
        <f t="shared" si="5"/>
        <v>0.2692794196870601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29</v>
      </c>
      <c r="F1" s="4" t="s">
        <v>2</v>
      </c>
      <c r="G1" s="4" t="s">
        <v>32</v>
      </c>
    </row>
    <row r="2" spans="1:7">
      <c r="A2" s="132"/>
      <c r="B2" s="132"/>
      <c r="C2" s="132"/>
      <c r="D2" s="132"/>
      <c r="E2" s="5" t="s">
        <v>30</v>
      </c>
      <c r="F2" s="5" t="s">
        <v>31</v>
      </c>
      <c r="G2" s="5" t="s">
        <v>33</v>
      </c>
    </row>
    <row r="3" spans="1:7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63">
        <v>4</v>
      </c>
      <c r="B8" s="32">
        <v>80</v>
      </c>
      <c r="C8" s="32">
        <f t="shared" ref="C8:C18" si="1">C7+B8</f>
        <v>360</v>
      </c>
      <c r="D8" s="13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63">
        <v>5</v>
      </c>
      <c r="B9" s="32">
        <v>80</v>
      </c>
      <c r="C9" s="32">
        <f t="shared" si="1"/>
        <v>440</v>
      </c>
      <c r="D9" s="13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63">
        <v>6</v>
      </c>
      <c r="B10" s="32">
        <v>80</v>
      </c>
      <c r="C10" s="32">
        <f t="shared" si="1"/>
        <v>520</v>
      </c>
      <c r="D10" s="13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63">
        <v>7</v>
      </c>
      <c r="B11" s="32">
        <v>80</v>
      </c>
      <c r="C11" s="32">
        <f t="shared" si="1"/>
        <v>600</v>
      </c>
      <c r="D11" s="13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63">
        <v>8</v>
      </c>
      <c r="B12" s="32">
        <v>80</v>
      </c>
      <c r="C12" s="32">
        <f t="shared" si="1"/>
        <v>680</v>
      </c>
      <c r="D12" s="13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63">
        <v>9</v>
      </c>
      <c r="B13" s="32">
        <v>80</v>
      </c>
      <c r="C13" s="32">
        <f t="shared" si="1"/>
        <v>760</v>
      </c>
      <c r="D13" s="13">
        <f t="shared" si="0"/>
        <v>12.666666666666666</v>
      </c>
      <c r="E13" s="37"/>
      <c r="F13" s="37"/>
      <c r="G13" s="37" t="e">
        <f>(F13-$C$22)/E13*1000*Calculation!I14/Calculation!K13</f>
        <v>#DIV/0!</v>
      </c>
    </row>
    <row r="14" spans="1:7">
      <c r="A14" s="63">
        <v>10</v>
      </c>
      <c r="B14" s="32">
        <v>80</v>
      </c>
      <c r="C14" s="32">
        <f t="shared" si="1"/>
        <v>840</v>
      </c>
      <c r="D14" s="13">
        <f t="shared" si="0"/>
        <v>14</v>
      </c>
      <c r="E14" s="37"/>
      <c r="F14" s="37"/>
      <c r="G14" s="37" t="e">
        <f>(F14-$C$22)/E14*1000*Calculation!I15/Calculation!K14</f>
        <v>#DIV/0!</v>
      </c>
    </row>
    <row r="15" spans="1:7">
      <c r="A15" s="63">
        <v>11</v>
      </c>
      <c r="B15" s="32">
        <v>80</v>
      </c>
      <c r="C15" s="32">
        <f t="shared" si="1"/>
        <v>920</v>
      </c>
      <c r="D15" s="13">
        <f t="shared" si="0"/>
        <v>15.333333333333334</v>
      </c>
      <c r="E15" s="37"/>
      <c r="F15" s="37"/>
      <c r="G15" s="37" t="e">
        <f>(F15-$C$22)/E15*1000*Calculation!I16/Calculation!K15</f>
        <v>#DIV/0!</v>
      </c>
    </row>
    <row r="16" spans="1:7">
      <c r="A16" s="63">
        <v>12</v>
      </c>
      <c r="B16" s="32">
        <v>80</v>
      </c>
      <c r="C16" s="32">
        <f t="shared" si="1"/>
        <v>1000</v>
      </c>
      <c r="D16" s="13">
        <f t="shared" si="0"/>
        <v>16.666666666666668</v>
      </c>
      <c r="E16" s="37"/>
      <c r="F16" s="37"/>
      <c r="G16" s="37" t="e">
        <f>(F16-$C$22)/E16*1000*Calculation!I17/Calculation!K16</f>
        <v>#DIV/0!</v>
      </c>
    </row>
    <row r="17" spans="1:7" ht="15" customHeight="1">
      <c r="A17" s="63">
        <v>13</v>
      </c>
      <c r="B17" s="32">
        <v>80</v>
      </c>
      <c r="C17" s="32">
        <f t="shared" si="1"/>
        <v>1080</v>
      </c>
      <c r="D17" s="13">
        <f t="shared" si="0"/>
        <v>18</v>
      </c>
      <c r="E17" s="37"/>
      <c r="F17" s="37"/>
      <c r="G17" s="37" t="e">
        <f>(F17-$C$22)/E17*1000*Calculation!I18/Calculation!K17</f>
        <v>#DIV/0!</v>
      </c>
    </row>
    <row r="18" spans="1:7">
      <c r="A18" s="63">
        <v>14</v>
      </c>
      <c r="B18" s="32">
        <v>360</v>
      </c>
      <c r="C18" s="32">
        <f t="shared" si="1"/>
        <v>1440</v>
      </c>
      <c r="D18" s="13">
        <f t="shared" si="0"/>
        <v>24</v>
      </c>
      <c r="E18" s="37"/>
      <c r="F18" s="37"/>
      <c r="G18" s="37" t="e">
        <f>(F18-$C$22)/E18*1000*Calculation!I19/Calculation!K18</f>
        <v>#DIV/0!</v>
      </c>
    </row>
    <row r="19" spans="1:7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40"/>
      <c r="F19" s="40"/>
      <c r="G19" s="40" t="e">
        <f>(F19-$C$22)/E19*1000*Calculation!I21/Calculation!K19</f>
        <v>#DIV/0!</v>
      </c>
    </row>
    <row r="20" spans="1:7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40"/>
      <c r="F20" s="40"/>
      <c r="G20" s="40" t="e">
        <f>(F20-$C$22)/E20*1000*Calculation!I22/Calculation!K20</f>
        <v>#DIV/0!</v>
      </c>
    </row>
    <row r="22" spans="1:7">
      <c r="A22" s="154" t="s">
        <v>3</v>
      </c>
      <c r="B22" s="155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76" workbookViewId="0">
      <selection activeCell="I17" sqref="I17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69.3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30" t="s">
        <v>5</v>
      </c>
      <c r="B3" s="130" t="s">
        <v>36</v>
      </c>
      <c r="C3" s="130"/>
      <c r="D3" s="130" t="s">
        <v>52</v>
      </c>
      <c r="E3" s="130"/>
      <c r="F3" s="130"/>
      <c r="G3" s="23" t="s">
        <v>53</v>
      </c>
    </row>
    <row r="4" spans="1:10">
      <c r="A4" s="130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75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78">
        <v>-0.16666666666666666</v>
      </c>
      <c r="J5" t="s">
        <v>162</v>
      </c>
    </row>
    <row r="6" spans="1:10">
      <c r="A6" s="12">
        <v>0.5</v>
      </c>
      <c r="B6" s="75">
        <v>422.33</v>
      </c>
      <c r="C6" s="12">
        <f t="shared" ref="C6:C69" si="0">B6/1000</f>
        <v>0.42232999999999998</v>
      </c>
      <c r="D6" s="12">
        <f>C6/1000*$B$1</f>
        <v>2.9267468999999997E-2</v>
      </c>
      <c r="E6" s="12">
        <f>D6/22.4</f>
        <v>1.3065834375E-3</v>
      </c>
      <c r="F6" s="12">
        <f>E6/Calculation!K$4*1000</f>
        <v>8.9028579824202792E-4</v>
      </c>
      <c r="G6" s="12">
        <f>G5+(F6+F5)/2*30</f>
        <v>1.3354286973630419E-2</v>
      </c>
      <c r="I6" s="78">
        <v>0.16666666666666666</v>
      </c>
      <c r="J6" t="s">
        <v>163</v>
      </c>
    </row>
    <row r="7" spans="1:10">
      <c r="A7" s="12">
        <v>1</v>
      </c>
      <c r="B7" s="75">
        <v>462.08</v>
      </c>
      <c r="C7" s="12">
        <f t="shared" si="0"/>
        <v>0.46207999999999999</v>
      </c>
      <c r="D7" s="12">
        <f t="shared" ref="D7:D69" si="1">C7/1000*$B$1</f>
        <v>3.2022143999999995E-2</v>
      </c>
      <c r="E7" s="12">
        <f t="shared" ref="E7:E69" si="2">D7/22.4</f>
        <v>1.4295599999999999E-3</v>
      </c>
      <c r="F7" s="12">
        <f>E7/Calculation!K$4*1000</f>
        <v>9.7408013082583812E-4</v>
      </c>
      <c r="G7" s="12">
        <f t="shared" ref="G7:G70" si="3">G6+(F7+F6)/2*30</f>
        <v>4.1319775909648408E-2</v>
      </c>
      <c r="I7" s="78">
        <v>2</v>
      </c>
      <c r="J7" t="s">
        <v>164</v>
      </c>
    </row>
    <row r="8" spans="1:10">
      <c r="A8" s="12">
        <v>1.5</v>
      </c>
      <c r="B8" s="75">
        <v>467.04</v>
      </c>
      <c r="C8" s="12">
        <f t="shared" si="0"/>
        <v>0.46704000000000001</v>
      </c>
      <c r="D8" s="12">
        <f t="shared" si="1"/>
        <v>3.2365871999999997E-2</v>
      </c>
      <c r="E8" s="12">
        <f t="shared" si="2"/>
        <v>1.444905E-3</v>
      </c>
      <c r="F8" s="12">
        <f>E8/Calculation!K$4*1000</f>
        <v>9.8453597710547848E-4</v>
      </c>
      <c r="G8" s="12">
        <f t="shared" si="3"/>
        <v>7.0699017528618152E-2</v>
      </c>
      <c r="I8" s="78">
        <v>3.3333333333333335</v>
      </c>
      <c r="J8" t="s">
        <v>165</v>
      </c>
    </row>
    <row r="9" spans="1:10">
      <c r="A9" s="12">
        <v>2</v>
      </c>
      <c r="B9" s="75">
        <v>552.5</v>
      </c>
      <c r="C9" s="12">
        <f t="shared" si="0"/>
        <v>0.55249999999999999</v>
      </c>
      <c r="D9" s="12">
        <f t="shared" si="1"/>
        <v>3.8288250000000003E-2</v>
      </c>
      <c r="E9" s="12">
        <f t="shared" si="2"/>
        <v>1.7092968750000003E-3</v>
      </c>
      <c r="F9" s="12">
        <f>E9/Calculation!K$5*1000</f>
        <v>1.2032217900886952E-3</v>
      </c>
      <c r="G9" s="12">
        <f t="shared" si="3"/>
        <v>0.10351538403653077</v>
      </c>
      <c r="I9" s="78">
        <v>4.666666666666667</v>
      </c>
      <c r="J9" t="s">
        <v>166</v>
      </c>
    </row>
    <row r="10" spans="1:10">
      <c r="A10" s="12">
        <v>2.5</v>
      </c>
      <c r="B10" s="75">
        <v>580.33000000000004</v>
      </c>
      <c r="C10" s="12">
        <f t="shared" si="0"/>
        <v>0.58033000000000001</v>
      </c>
      <c r="D10" s="12">
        <f t="shared" si="1"/>
        <v>4.0216868999999995E-2</v>
      </c>
      <c r="E10" s="12">
        <f t="shared" si="2"/>
        <v>1.7953959374999999E-3</v>
      </c>
      <c r="F10" s="12">
        <f>E10/Calculation!K$5*1000</f>
        <v>1.2638293238772351E-3</v>
      </c>
      <c r="G10" s="12">
        <f t="shared" si="3"/>
        <v>0.14052115074601973</v>
      </c>
      <c r="I10" s="78">
        <v>6</v>
      </c>
      <c r="J10" t="s">
        <v>167</v>
      </c>
    </row>
    <row r="11" spans="1:10">
      <c r="A11" s="12">
        <v>3</v>
      </c>
      <c r="B11" s="75">
        <v>760.19</v>
      </c>
      <c r="C11" s="12">
        <f t="shared" si="0"/>
        <v>0.76019000000000003</v>
      </c>
      <c r="D11" s="12">
        <f t="shared" si="1"/>
        <v>5.2681167000000001E-2</v>
      </c>
      <c r="E11" s="12">
        <f t="shared" si="2"/>
        <v>2.3518378125000003E-3</v>
      </c>
      <c r="F11" s="12">
        <f>E11/Calculation!K$5*1000</f>
        <v>1.6555242943122627E-3</v>
      </c>
      <c r="G11" s="12">
        <f t="shared" si="3"/>
        <v>0.1843114550188622</v>
      </c>
      <c r="I11" s="78">
        <v>7.333333333333333</v>
      </c>
      <c r="J11" t="s">
        <v>168</v>
      </c>
    </row>
    <row r="12" spans="1:10">
      <c r="A12" s="12">
        <v>3.5</v>
      </c>
      <c r="B12" s="75">
        <v>1081.1600000000001</v>
      </c>
      <c r="C12" s="12">
        <f t="shared" si="0"/>
        <v>1.0811600000000001</v>
      </c>
      <c r="D12" s="12">
        <f t="shared" si="1"/>
        <v>7.4924387999999995E-2</v>
      </c>
      <c r="E12" s="12">
        <f t="shared" si="2"/>
        <v>3.3448387499999998E-3</v>
      </c>
      <c r="F12" s="12">
        <f>E12/Calculation!K$6*1000</f>
        <v>2.4457727040070195E-3</v>
      </c>
      <c r="G12" s="12">
        <f t="shared" si="3"/>
        <v>0.24583090999365143</v>
      </c>
      <c r="I12" s="78">
        <v>8.6666666666666661</v>
      </c>
      <c r="J12" t="s">
        <v>169</v>
      </c>
    </row>
    <row r="13" spans="1:10">
      <c r="A13" s="12">
        <v>4</v>
      </c>
      <c r="B13" s="75">
        <v>1476.65</v>
      </c>
      <c r="C13" s="12">
        <f t="shared" si="0"/>
        <v>1.47665</v>
      </c>
      <c r="D13" s="12">
        <f t="shared" si="1"/>
        <v>0.10233184499999999</v>
      </c>
      <c r="E13" s="12">
        <f t="shared" si="2"/>
        <v>4.5683859374999998E-3</v>
      </c>
      <c r="F13" s="12">
        <f>E13/Calculation!K$6*1000</f>
        <v>3.3404401414887392E-3</v>
      </c>
      <c r="G13" s="12">
        <f t="shared" si="3"/>
        <v>0.33262410267608783</v>
      </c>
      <c r="I13" s="78">
        <v>10</v>
      </c>
      <c r="J13" t="s">
        <v>170</v>
      </c>
    </row>
    <row r="14" spans="1:10">
      <c r="A14" s="12">
        <v>4.5</v>
      </c>
      <c r="B14" s="75">
        <v>2318.3200000000002</v>
      </c>
      <c r="C14" s="12">
        <f t="shared" si="0"/>
        <v>2.3183200000000004</v>
      </c>
      <c r="D14" s="12">
        <f t="shared" si="1"/>
        <v>0.16065957600000003</v>
      </c>
      <c r="E14" s="12">
        <f t="shared" si="2"/>
        <v>7.1723025000000017E-3</v>
      </c>
      <c r="F14" s="12">
        <f>E14/Calculation!K$6*1000</f>
        <v>5.244444647557767E-3</v>
      </c>
      <c r="G14" s="12">
        <f t="shared" si="3"/>
        <v>0.46139737451178542</v>
      </c>
      <c r="I14" s="78">
        <v>11.333333333333334</v>
      </c>
      <c r="J14" t="s">
        <v>171</v>
      </c>
    </row>
    <row r="15" spans="1:10">
      <c r="A15" s="12">
        <v>5</v>
      </c>
      <c r="B15" s="75">
        <v>2910.58</v>
      </c>
      <c r="C15" s="12">
        <f t="shared" si="0"/>
        <v>2.9105799999999999</v>
      </c>
      <c r="D15" s="12">
        <f t="shared" si="1"/>
        <v>0.20170319399999997</v>
      </c>
      <c r="E15" s="12">
        <f t="shared" si="2"/>
        <v>9.0046068749999996E-3</v>
      </c>
      <c r="F15" s="12">
        <f>E15/Calculation!K$7*1000</f>
        <v>6.7877332089552244E-3</v>
      </c>
      <c r="G15" s="12">
        <f t="shared" si="3"/>
        <v>0.64188004235948026</v>
      </c>
      <c r="I15" s="78">
        <v>12.666666666666666</v>
      </c>
      <c r="J15" t="s">
        <v>172</v>
      </c>
    </row>
    <row r="16" spans="1:10">
      <c r="A16" s="12">
        <v>5.5</v>
      </c>
      <c r="B16" s="75">
        <v>3805.91</v>
      </c>
      <c r="C16" s="12">
        <f t="shared" si="0"/>
        <v>3.8059099999999999</v>
      </c>
      <c r="D16" s="12">
        <f t="shared" si="1"/>
        <v>0.26374956299999996</v>
      </c>
      <c r="E16" s="12">
        <f t="shared" si="2"/>
        <v>1.17745340625E-2</v>
      </c>
      <c r="F16" s="12">
        <f>E16/Calculation!K$7*1000</f>
        <v>8.875722947761195E-3</v>
      </c>
      <c r="G16" s="12">
        <f t="shared" si="3"/>
        <v>0.87683188471022655</v>
      </c>
      <c r="I16" s="78">
        <v>14</v>
      </c>
      <c r="J16" t="s">
        <v>173</v>
      </c>
    </row>
    <row r="17" spans="1:10">
      <c r="A17" s="12">
        <v>6</v>
      </c>
      <c r="B17" s="75">
        <v>4877.13</v>
      </c>
      <c r="C17" s="12">
        <f t="shared" si="0"/>
        <v>4.8771300000000002</v>
      </c>
      <c r="D17" s="12">
        <f t="shared" si="1"/>
        <v>0.33798510900000001</v>
      </c>
      <c r="E17" s="12">
        <f t="shared" si="2"/>
        <v>1.5088620937500002E-2</v>
      </c>
      <c r="F17" s="12">
        <f>E17/Calculation!K$8*1000</f>
        <v>1.1828289864811149E-2</v>
      </c>
      <c r="G17" s="12">
        <f t="shared" si="3"/>
        <v>1.1873920768988118</v>
      </c>
      <c r="I17" s="78">
        <v>15.333333333333334</v>
      </c>
      <c r="J17" t="s">
        <v>174</v>
      </c>
    </row>
    <row r="18" spans="1:10">
      <c r="A18" s="12">
        <v>6.5</v>
      </c>
      <c r="B18" s="75">
        <v>6159.01</v>
      </c>
      <c r="C18" s="12">
        <f t="shared" si="0"/>
        <v>6.1590100000000003</v>
      </c>
      <c r="D18" s="12">
        <f t="shared" si="1"/>
        <v>0.42681939299999999</v>
      </c>
      <c r="E18" s="12">
        <f t="shared" si="2"/>
        <v>1.9054437187500002E-2</v>
      </c>
      <c r="F18" s="12">
        <f>E18/Calculation!K$8*1000</f>
        <v>1.4937177307201267E-2</v>
      </c>
      <c r="G18" s="12">
        <f t="shared" si="3"/>
        <v>1.5888740844789981</v>
      </c>
      <c r="I18" s="78">
        <v>16.666666666666668</v>
      </c>
      <c r="J18" t="s">
        <v>175</v>
      </c>
    </row>
    <row r="19" spans="1:10">
      <c r="A19" s="12">
        <v>7</v>
      </c>
      <c r="B19" s="75">
        <v>8304.43</v>
      </c>
      <c r="C19" s="12">
        <f t="shared" si="0"/>
        <v>8.30443</v>
      </c>
      <c r="D19" s="12">
        <f t="shared" si="1"/>
        <v>0.57549699899999995</v>
      </c>
      <c r="E19" s="12">
        <f t="shared" si="2"/>
        <v>2.56918303125E-2</v>
      </c>
      <c r="F19" s="12">
        <f>E19/Calculation!K$8*1000</f>
        <v>2.0140370505201552E-2</v>
      </c>
      <c r="G19" s="12">
        <f t="shared" si="3"/>
        <v>2.1150373016650406</v>
      </c>
      <c r="I19" s="78">
        <v>18</v>
      </c>
      <c r="J19" t="s">
        <v>176</v>
      </c>
    </row>
    <row r="20" spans="1:10">
      <c r="A20" s="12">
        <v>7.5</v>
      </c>
      <c r="B20" s="75">
        <v>11110.67</v>
      </c>
      <c r="C20" s="12">
        <f t="shared" si="0"/>
        <v>11.110670000000001</v>
      </c>
      <c r="D20" s="12">
        <f t="shared" si="1"/>
        <v>0.76996943100000004</v>
      </c>
      <c r="E20" s="12">
        <f t="shared" si="2"/>
        <v>3.4373635312500005E-2</v>
      </c>
      <c r="F20" s="12">
        <f>E20/Calculation!K$9*1000</f>
        <v>2.7976208840212572E-2</v>
      </c>
      <c r="G20" s="12">
        <f t="shared" si="3"/>
        <v>2.8367859918462521</v>
      </c>
      <c r="I20" s="78">
        <v>24</v>
      </c>
      <c r="J20" t="s">
        <v>177</v>
      </c>
    </row>
    <row r="21" spans="1:10">
      <c r="A21" s="12">
        <v>8</v>
      </c>
      <c r="B21" s="75">
        <v>14543.94</v>
      </c>
      <c r="C21" s="12">
        <f t="shared" si="0"/>
        <v>14.543940000000001</v>
      </c>
      <c r="D21" s="12">
        <f t="shared" si="1"/>
        <v>1.0078950420000001</v>
      </c>
      <c r="E21" s="12">
        <f t="shared" si="2"/>
        <v>4.4995314375000012E-2</v>
      </c>
      <c r="F21" s="12">
        <f>E21/Calculation!K$9*1000</f>
        <v>3.6621041107288879E-2</v>
      </c>
      <c r="G21" s="12">
        <f t="shared" si="3"/>
        <v>3.8057447410587737</v>
      </c>
      <c r="I21" s="78">
        <v>30</v>
      </c>
      <c r="J21" t="s">
        <v>178</v>
      </c>
    </row>
    <row r="22" spans="1:10">
      <c r="A22" s="12">
        <v>8.5</v>
      </c>
      <c r="B22" s="75">
        <v>18245.509999999998</v>
      </c>
      <c r="C22" s="12">
        <f t="shared" si="0"/>
        <v>18.245509999999999</v>
      </c>
      <c r="D22" s="12">
        <f t="shared" si="1"/>
        <v>1.2644138429999998</v>
      </c>
      <c r="E22" s="12">
        <f t="shared" si="2"/>
        <v>5.6447046562499999E-2</v>
      </c>
      <c r="F22" s="12">
        <f>E22/Calculation!K$9*1000</f>
        <v>4.594144170929268E-2</v>
      </c>
      <c r="G22" s="12">
        <f t="shared" si="3"/>
        <v>5.0441819833074968</v>
      </c>
      <c r="I22" s="78">
        <v>48</v>
      </c>
      <c r="J22" t="s">
        <v>179</v>
      </c>
    </row>
    <row r="23" spans="1:10">
      <c r="A23" s="12">
        <v>9</v>
      </c>
      <c r="B23" s="75">
        <v>21271.35</v>
      </c>
      <c r="C23" s="12">
        <f t="shared" si="0"/>
        <v>21.271349999999998</v>
      </c>
      <c r="D23" s="12">
        <f t="shared" si="1"/>
        <v>1.4741045549999998</v>
      </c>
      <c r="E23" s="12">
        <f t="shared" si="2"/>
        <v>6.5808239062499996E-2</v>
      </c>
      <c r="F23" s="12">
        <f>E23/Calculation!K$10*1000</f>
        <v>5.5966875976360707E-2</v>
      </c>
      <c r="G23" s="12">
        <f t="shared" si="3"/>
        <v>6.5728067485922974</v>
      </c>
    </row>
    <row r="24" spans="1:10">
      <c r="A24" s="12">
        <v>9.5</v>
      </c>
      <c r="B24" s="75">
        <v>25625.79</v>
      </c>
      <c r="C24" s="12">
        <f t="shared" si="0"/>
        <v>25.625790000000002</v>
      </c>
      <c r="D24" s="12">
        <f t="shared" si="1"/>
        <v>1.7758672470000001</v>
      </c>
      <c r="E24" s="12">
        <f t="shared" si="2"/>
        <v>7.9279787812500016E-2</v>
      </c>
      <c r="F24" s="12">
        <f>E24/Calculation!K$10*1000</f>
        <v>6.7423807643909067E-2</v>
      </c>
      <c r="G24" s="12">
        <f t="shared" si="3"/>
        <v>8.4236670028963445</v>
      </c>
    </row>
    <row r="25" spans="1:10">
      <c r="A25" s="12">
        <v>10</v>
      </c>
      <c r="B25" s="75">
        <v>30714.58</v>
      </c>
      <c r="C25" s="12">
        <f t="shared" si="0"/>
        <v>30.714580000000002</v>
      </c>
      <c r="D25" s="12">
        <f t="shared" si="1"/>
        <v>2.1285203940000001</v>
      </c>
      <c r="E25" s="12">
        <f t="shared" si="2"/>
        <v>9.5023231875000017E-2</v>
      </c>
      <c r="F25" s="12">
        <f>E25/Calculation!K$11*1000</f>
        <v>8.4154607328695813E-2</v>
      </c>
      <c r="G25" s="12">
        <f t="shared" si="3"/>
        <v>10.697343227485417</v>
      </c>
    </row>
    <row r="26" spans="1:10">
      <c r="A26" s="12">
        <v>10.5</v>
      </c>
      <c r="B26" s="75">
        <v>34708.300000000003</v>
      </c>
      <c r="C26" s="12">
        <f t="shared" si="0"/>
        <v>34.708300000000001</v>
      </c>
      <c r="D26" s="12">
        <f t="shared" si="1"/>
        <v>2.4052851900000003</v>
      </c>
      <c r="E26" s="12">
        <f t="shared" si="2"/>
        <v>0.10737880312500002</v>
      </c>
      <c r="F26" s="12">
        <f>E26/Calculation!K$11*1000</f>
        <v>9.5096965595706434E-2</v>
      </c>
      <c r="G26" s="12">
        <f t="shared" si="3"/>
        <v>13.38611682135145</v>
      </c>
    </row>
    <row r="27" spans="1:10">
      <c r="A27" s="12">
        <v>11</v>
      </c>
      <c r="B27" s="75">
        <v>41182.31</v>
      </c>
      <c r="C27" s="12">
        <f t="shared" si="0"/>
        <v>41.182310000000001</v>
      </c>
      <c r="D27" s="12">
        <f t="shared" si="1"/>
        <v>2.853934083</v>
      </c>
      <c r="E27" s="12">
        <f t="shared" si="2"/>
        <v>0.12740777156249999</v>
      </c>
      <c r="F27" s="12">
        <f>E27/Calculation!K$11*1000</f>
        <v>0.1128350485970709</v>
      </c>
      <c r="G27" s="12">
        <f t="shared" si="3"/>
        <v>16.505097034243111</v>
      </c>
    </row>
    <row r="28" spans="1:10">
      <c r="A28" s="12">
        <v>11.5</v>
      </c>
      <c r="B28" s="75">
        <v>37323.74</v>
      </c>
      <c r="C28" s="12">
        <f t="shared" si="0"/>
        <v>37.323740000000001</v>
      </c>
      <c r="D28" s="12">
        <f t="shared" si="1"/>
        <v>2.586535182</v>
      </c>
      <c r="E28" s="12">
        <f t="shared" si="2"/>
        <v>0.11547032062500001</v>
      </c>
      <c r="F28" s="12">
        <f>E28/Calculation!K$12*1000</f>
        <v>0.10703638248633315</v>
      </c>
      <c r="G28" s="12">
        <f t="shared" si="3"/>
        <v>19.803168500494174</v>
      </c>
    </row>
    <row r="29" spans="1:10">
      <c r="A29" s="12">
        <v>12</v>
      </c>
      <c r="B29" s="75">
        <v>30724.51</v>
      </c>
      <c r="C29" s="12">
        <f t="shared" si="0"/>
        <v>30.724509999999999</v>
      </c>
      <c r="D29" s="12">
        <f t="shared" si="1"/>
        <v>2.1292085429999998</v>
      </c>
      <c r="E29" s="12">
        <f t="shared" si="2"/>
        <v>9.5053952812499995E-2</v>
      </c>
      <c r="F29" s="12">
        <f>E29/Calculation!K$12*1000</f>
        <v>8.8111223689404314E-2</v>
      </c>
      <c r="G29" s="12">
        <f t="shared" si="3"/>
        <v>22.730382593130237</v>
      </c>
    </row>
    <row r="30" spans="1:10">
      <c r="A30" s="12">
        <v>12.5</v>
      </c>
      <c r="B30" s="75">
        <v>28641.7</v>
      </c>
      <c r="C30" s="12">
        <f t="shared" si="0"/>
        <v>28.6417</v>
      </c>
      <c r="D30" s="12">
        <f t="shared" si="1"/>
        <v>1.98486981</v>
      </c>
      <c r="E30" s="12">
        <f t="shared" si="2"/>
        <v>8.8610259375E-2</v>
      </c>
      <c r="F30" s="12">
        <f>E30/Calculation!K$12*1000</f>
        <v>8.2138176834872609E-2</v>
      </c>
      <c r="G30" s="12">
        <f t="shared" si="3"/>
        <v>25.284123600994391</v>
      </c>
    </row>
    <row r="31" spans="1:10">
      <c r="A31" s="12">
        <v>13</v>
      </c>
      <c r="B31" s="75">
        <v>34165.730000000003</v>
      </c>
      <c r="C31" s="12">
        <f t="shared" si="0"/>
        <v>34.165730000000003</v>
      </c>
      <c r="D31" s="12">
        <f t="shared" si="1"/>
        <v>2.3676850890000001</v>
      </c>
      <c r="E31" s="12">
        <f t="shared" si="2"/>
        <v>0.10570022718750001</v>
      </c>
      <c r="F31" s="12">
        <f>E31/Calculation!K$13*1000</f>
        <v>0.10274073262929566</v>
      </c>
      <c r="G31" s="12">
        <f t="shared" si="3"/>
        <v>28.057307242956917</v>
      </c>
    </row>
    <row r="32" spans="1:10">
      <c r="A32" s="12">
        <v>13.5</v>
      </c>
      <c r="B32" s="75">
        <v>41062.080000000002</v>
      </c>
      <c r="C32" s="12">
        <f t="shared" si="0"/>
        <v>41.062080000000002</v>
      </c>
      <c r="D32" s="12">
        <f t="shared" si="1"/>
        <v>2.8456021439999999</v>
      </c>
      <c r="E32" s="12">
        <f t="shared" si="2"/>
        <v>0.12703581</v>
      </c>
      <c r="F32" s="12">
        <f>E32/Calculation!K$13*1000</f>
        <v>0.12347894169048192</v>
      </c>
      <c r="G32" s="12">
        <f t="shared" si="3"/>
        <v>31.450602357753581</v>
      </c>
    </row>
    <row r="33" spans="1:7">
      <c r="A33" s="12">
        <v>14</v>
      </c>
      <c r="B33" s="75">
        <v>48361.87</v>
      </c>
      <c r="C33" s="12">
        <f t="shared" si="0"/>
        <v>48.361870000000003</v>
      </c>
      <c r="D33" s="12">
        <f t="shared" si="1"/>
        <v>3.3514775910000001</v>
      </c>
      <c r="E33" s="12">
        <f t="shared" si="2"/>
        <v>0.14961953531250002</v>
      </c>
      <c r="F33" s="12">
        <f>E33/Calculation!K$14*1000</f>
        <v>0.15202387698081643</v>
      </c>
      <c r="G33" s="12">
        <f t="shared" si="3"/>
        <v>35.583144637823054</v>
      </c>
    </row>
    <row r="34" spans="1:7">
      <c r="A34" s="12">
        <v>14.5</v>
      </c>
      <c r="B34" s="75">
        <v>45905.42</v>
      </c>
      <c r="C34" s="12">
        <f t="shared" si="0"/>
        <v>45.905419999999999</v>
      </c>
      <c r="D34" s="12">
        <f t="shared" si="1"/>
        <v>3.1812456060000001</v>
      </c>
      <c r="E34" s="12">
        <f t="shared" si="2"/>
        <v>0.14201989312500002</v>
      </c>
      <c r="F34" s="12">
        <f>E34/Calculation!K$14*1000</f>
        <v>0.1443021107916776</v>
      </c>
      <c r="G34" s="12">
        <f t="shared" si="3"/>
        <v>40.028034454410466</v>
      </c>
    </row>
    <row r="35" spans="1:7">
      <c r="A35" s="12">
        <v>15</v>
      </c>
      <c r="B35" s="75">
        <v>43212.46</v>
      </c>
      <c r="C35" s="12">
        <f t="shared" si="0"/>
        <v>43.21246</v>
      </c>
      <c r="D35" s="12">
        <f t="shared" si="1"/>
        <v>2.9946234779999998</v>
      </c>
      <c r="E35" s="12">
        <f t="shared" si="2"/>
        <v>0.133688548125</v>
      </c>
      <c r="F35" s="12">
        <f>E35/Calculation!K$14*1000</f>
        <v>0.13583688354231235</v>
      </c>
      <c r="G35" s="12">
        <f t="shared" si="3"/>
        <v>44.230119369420315</v>
      </c>
    </row>
    <row r="36" spans="1:7">
      <c r="A36" s="12">
        <v>15.5</v>
      </c>
      <c r="B36" s="75">
        <v>51060.78</v>
      </c>
      <c r="C36" s="12">
        <f t="shared" si="0"/>
        <v>51.060780000000001</v>
      </c>
      <c r="D36" s="12">
        <f t="shared" si="1"/>
        <v>3.5385120539999999</v>
      </c>
      <c r="E36" s="12">
        <f t="shared" si="2"/>
        <v>0.157969288125</v>
      </c>
      <c r="F36" s="12">
        <f>E36/Calculation!K$15*1000</f>
        <v>0.16856939311594088</v>
      </c>
      <c r="G36" s="12">
        <f t="shared" si="3"/>
        <v>48.796213519294113</v>
      </c>
    </row>
    <row r="37" spans="1:7">
      <c r="A37" s="12">
        <v>16</v>
      </c>
      <c r="B37" s="75">
        <v>56444.7</v>
      </c>
      <c r="C37" s="12">
        <f t="shared" si="0"/>
        <v>56.444699999999997</v>
      </c>
      <c r="D37" s="12">
        <f t="shared" si="1"/>
        <v>3.9116177099999998</v>
      </c>
      <c r="E37" s="12">
        <f t="shared" si="2"/>
        <v>0.174625790625</v>
      </c>
      <c r="F37" s="12">
        <f>E37/Calculation!K$15*1000</f>
        <v>0.18634358549969954</v>
      </c>
      <c r="G37" s="12">
        <f t="shared" si="3"/>
        <v>54.119908198528719</v>
      </c>
    </row>
    <row r="38" spans="1:7">
      <c r="A38" s="12">
        <v>16.5</v>
      </c>
      <c r="B38" s="75">
        <v>58552.36</v>
      </c>
      <c r="C38" s="12">
        <f t="shared" si="0"/>
        <v>58.55236</v>
      </c>
      <c r="D38" s="12">
        <f t="shared" si="1"/>
        <v>4.0576785479999993</v>
      </c>
      <c r="E38" s="12">
        <f t="shared" si="2"/>
        <v>0.18114636374999998</v>
      </c>
      <c r="F38" s="12">
        <f>E38/Calculation!K$15*1000</f>
        <v>0.19330170417894305</v>
      </c>
      <c r="G38" s="12">
        <f t="shared" si="3"/>
        <v>59.814587543708356</v>
      </c>
    </row>
    <row r="39" spans="1:7">
      <c r="A39" s="12">
        <v>17</v>
      </c>
      <c r="B39" s="75">
        <v>48250.57</v>
      </c>
      <c r="C39" s="12">
        <f t="shared" si="0"/>
        <v>48.250569999999996</v>
      </c>
      <c r="D39" s="12">
        <f t="shared" si="1"/>
        <v>3.3437645009999999</v>
      </c>
      <c r="E39" s="12">
        <f t="shared" si="2"/>
        <v>0.14927520093749999</v>
      </c>
      <c r="F39" s="12">
        <f>E39/Calculation!K$16*1000</f>
        <v>0.16709867578826756</v>
      </c>
      <c r="G39" s="12">
        <f t="shared" si="3"/>
        <v>65.220593243216513</v>
      </c>
    </row>
    <row r="40" spans="1:7">
      <c r="A40" s="12">
        <v>17.5</v>
      </c>
      <c r="B40" s="75">
        <v>37842.46</v>
      </c>
      <c r="C40" s="12">
        <f t="shared" si="0"/>
        <v>37.842460000000003</v>
      </c>
      <c r="D40" s="12">
        <f t="shared" si="1"/>
        <v>2.6224824779999998</v>
      </c>
      <c r="E40" s="12">
        <f t="shared" si="2"/>
        <v>0.11707511062499999</v>
      </c>
      <c r="F40" s="12">
        <f>E40/Calculation!K$16*1000</f>
        <v>0.13105389127155356</v>
      </c>
      <c r="G40" s="12">
        <f t="shared" si="3"/>
        <v>69.692881749113823</v>
      </c>
    </row>
    <row r="41" spans="1:7">
      <c r="A41" s="12">
        <v>18</v>
      </c>
      <c r="B41" s="75">
        <v>37476.769999999997</v>
      </c>
      <c r="C41" s="12">
        <f t="shared" si="0"/>
        <v>37.476769999999995</v>
      </c>
      <c r="D41" s="12">
        <f t="shared" si="1"/>
        <v>2.5971401609999996</v>
      </c>
      <c r="E41" s="12">
        <f t="shared" si="2"/>
        <v>0.11594375718749998</v>
      </c>
      <c r="F41" s="12">
        <f>E41/Calculation!K$17*1000</f>
        <v>0.13719475062168612</v>
      </c>
      <c r="G41" s="12">
        <f t="shared" si="3"/>
        <v>73.716611377512422</v>
      </c>
    </row>
    <row r="42" spans="1:7">
      <c r="A42" s="12">
        <v>18.5</v>
      </c>
      <c r="B42" s="75">
        <v>32303.52</v>
      </c>
      <c r="C42" s="12">
        <f t="shared" si="0"/>
        <v>32.303519999999999</v>
      </c>
      <c r="D42" s="12">
        <f t="shared" si="1"/>
        <v>2.2386339360000003</v>
      </c>
      <c r="E42" s="12">
        <f t="shared" si="2"/>
        <v>9.993901500000002E-2</v>
      </c>
      <c r="F42" s="12">
        <f>E42/Calculation!K$17*1000</f>
        <v>0.11825654587101962</v>
      </c>
      <c r="G42" s="12">
        <f t="shared" si="3"/>
        <v>77.548380824903006</v>
      </c>
    </row>
    <row r="43" spans="1:7">
      <c r="A43" s="12">
        <v>19</v>
      </c>
      <c r="B43" s="75">
        <v>23600.61</v>
      </c>
      <c r="C43" s="12">
        <f t="shared" si="0"/>
        <v>23.60061</v>
      </c>
      <c r="D43" s="12">
        <f t="shared" si="1"/>
        <v>1.6355222730000001</v>
      </c>
      <c r="E43" s="12">
        <f t="shared" si="2"/>
        <v>7.3014387187500002E-2</v>
      </c>
      <c r="F43" s="12">
        <f>E43/Calculation!K$17*1000</f>
        <v>8.6396981475982931E-2</v>
      </c>
      <c r="G43" s="12">
        <f t="shared" si="3"/>
        <v>80.618183735108047</v>
      </c>
    </row>
    <row r="44" spans="1:7">
      <c r="A44" s="12">
        <v>19.5</v>
      </c>
      <c r="B44" s="75">
        <v>18452.2</v>
      </c>
      <c r="C44" s="12">
        <f t="shared" si="0"/>
        <v>18.452200000000001</v>
      </c>
      <c r="D44" s="12">
        <f t="shared" si="1"/>
        <v>1.2787374600000001</v>
      </c>
      <c r="E44" s="12">
        <f t="shared" si="2"/>
        <v>5.7086493750000009E-2</v>
      </c>
      <c r="F44" s="12">
        <f>E44/Calculation!K$17*1000</f>
        <v>6.754971085879273E-2</v>
      </c>
      <c r="G44" s="12">
        <f t="shared" si="3"/>
        <v>82.927384120129688</v>
      </c>
    </row>
    <row r="45" spans="1:7">
      <c r="A45" s="12">
        <v>20</v>
      </c>
      <c r="B45" s="75">
        <v>10567.11</v>
      </c>
      <c r="C45" s="12">
        <f t="shared" si="0"/>
        <v>10.567110000000001</v>
      </c>
      <c r="D45" s="12">
        <f t="shared" si="1"/>
        <v>0.73230072300000004</v>
      </c>
      <c r="E45" s="12">
        <f t="shared" si="2"/>
        <v>3.2691996562500006E-2</v>
      </c>
      <c r="F45" s="12">
        <f>E45/Calculation!K$17*1000</f>
        <v>3.8684017359071399E-2</v>
      </c>
      <c r="G45" s="12">
        <f t="shared" si="3"/>
        <v>84.520890043397657</v>
      </c>
    </row>
    <row r="46" spans="1:7">
      <c r="A46" s="12">
        <v>20.5</v>
      </c>
      <c r="B46" s="75">
        <v>4598.8900000000003</v>
      </c>
      <c r="C46" s="12">
        <f t="shared" si="0"/>
        <v>4.5988899999999999</v>
      </c>
      <c r="D46" s="12">
        <f t="shared" si="1"/>
        <v>0.31870307699999995</v>
      </c>
      <c r="E46" s="12">
        <f t="shared" si="2"/>
        <v>1.4227815937499999E-2</v>
      </c>
      <c r="F46" s="12">
        <f>E46/Calculation!K$17*1000</f>
        <v>1.6835590865663351E-2</v>
      </c>
      <c r="G46" s="12">
        <f t="shared" si="3"/>
        <v>85.353684166768673</v>
      </c>
    </row>
    <row r="47" spans="1:7">
      <c r="A47" s="12">
        <v>21</v>
      </c>
      <c r="B47" s="75">
        <v>1666.45</v>
      </c>
      <c r="C47" s="12">
        <f t="shared" si="0"/>
        <v>1.66645</v>
      </c>
      <c r="D47" s="12">
        <f t="shared" si="1"/>
        <v>0.115484985</v>
      </c>
      <c r="E47" s="12">
        <f t="shared" si="2"/>
        <v>5.1555796875E-3</v>
      </c>
      <c r="F47" s="12">
        <f>E47/Calculation!K$17*1000</f>
        <v>6.1005308668145332E-3</v>
      </c>
      <c r="G47" s="12">
        <f t="shared" si="3"/>
        <v>85.697725992755835</v>
      </c>
    </row>
    <row r="48" spans="1:7">
      <c r="A48" s="12">
        <v>21.5</v>
      </c>
      <c r="B48" s="75">
        <v>547.53</v>
      </c>
      <c r="C48" s="12">
        <f t="shared" si="0"/>
        <v>0.54752999999999996</v>
      </c>
      <c r="D48" s="12">
        <f t="shared" si="1"/>
        <v>3.7943828999999998E-2</v>
      </c>
      <c r="E48" s="12">
        <f t="shared" si="2"/>
        <v>1.6939209375E-3</v>
      </c>
      <c r="F48" s="12">
        <f>E48/Calculation!K$17*1000</f>
        <v>2.0043947706243578E-3</v>
      </c>
      <c r="G48" s="12">
        <f t="shared" si="3"/>
        <v>85.81929987731742</v>
      </c>
    </row>
    <row r="49" spans="1:7">
      <c r="A49" s="12">
        <v>22</v>
      </c>
      <c r="B49" s="75">
        <v>307.06</v>
      </c>
      <c r="C49" s="12">
        <f t="shared" si="0"/>
        <v>0.30706</v>
      </c>
      <c r="D49" s="12">
        <f t="shared" si="1"/>
        <v>2.1279257999999999E-2</v>
      </c>
      <c r="E49" s="12">
        <f t="shared" si="2"/>
        <v>9.4996687499999998E-4</v>
      </c>
      <c r="F49" s="12">
        <f>E49/Calculation!K$17*1000</f>
        <v>1.1240835356380752E-3</v>
      </c>
      <c r="G49" s="12">
        <f t="shared" si="3"/>
        <v>85.866227051911352</v>
      </c>
    </row>
    <row r="50" spans="1:7">
      <c r="A50" s="12">
        <v>22.5</v>
      </c>
      <c r="B50" s="75">
        <v>312.02</v>
      </c>
      <c r="C50" s="12">
        <f t="shared" si="0"/>
        <v>0.31201999999999996</v>
      </c>
      <c r="D50" s="12">
        <f t="shared" si="1"/>
        <v>2.1622985999999997E-2</v>
      </c>
      <c r="E50" s="12">
        <f t="shared" si="2"/>
        <v>9.6531187499999992E-4</v>
      </c>
      <c r="F50" s="12">
        <f>E50/Calculation!K$17*1000</f>
        <v>1.1422410759779596E-3</v>
      </c>
      <c r="G50" s="12">
        <f t="shared" si="3"/>
        <v>85.900221921085588</v>
      </c>
    </row>
    <row r="51" spans="1:7">
      <c r="A51" s="12">
        <v>23</v>
      </c>
      <c r="B51" s="75">
        <v>313.02</v>
      </c>
      <c r="C51" s="12">
        <f t="shared" si="0"/>
        <v>0.31301999999999996</v>
      </c>
      <c r="D51" s="12">
        <f t="shared" si="1"/>
        <v>2.1692285999999995E-2</v>
      </c>
      <c r="E51" s="12">
        <f t="shared" si="2"/>
        <v>9.6840562499999987E-4</v>
      </c>
      <c r="F51" s="12">
        <f>E51/Calculation!K$17*1000</f>
        <v>1.145901870401323E-3</v>
      </c>
      <c r="G51" s="12">
        <f t="shared" si="3"/>
        <v>85.934544065281273</v>
      </c>
    </row>
    <row r="52" spans="1:7">
      <c r="A52" s="12">
        <v>23.5</v>
      </c>
      <c r="B52" s="75">
        <v>412.39</v>
      </c>
      <c r="C52" s="12">
        <f t="shared" si="0"/>
        <v>0.41238999999999998</v>
      </c>
      <c r="D52" s="12">
        <f t="shared" si="1"/>
        <v>2.8578626999999999E-2</v>
      </c>
      <c r="E52" s="12">
        <f t="shared" si="2"/>
        <v>1.2758315625E-3</v>
      </c>
      <c r="F52" s="12">
        <f>E52/Calculation!K$17*1000</f>
        <v>1.5096750122509798E-3</v>
      </c>
      <c r="G52" s="12">
        <f t="shared" si="3"/>
        <v>85.974377718521055</v>
      </c>
    </row>
    <row r="53" spans="1:7">
      <c r="A53" s="12">
        <v>24</v>
      </c>
      <c r="B53" s="75">
        <v>590.26</v>
      </c>
      <c r="C53" s="12">
        <f t="shared" si="0"/>
        <v>0.59026000000000001</v>
      </c>
      <c r="D53" s="12">
        <f t="shared" si="1"/>
        <v>4.0905018000000001E-2</v>
      </c>
      <c r="E53" s="12">
        <f t="shared" si="2"/>
        <v>1.8261168750000002E-3</v>
      </c>
      <c r="F53" s="12">
        <f>E53/Calculation!K$18*1000</f>
        <v>2.3323142081072864E-3</v>
      </c>
      <c r="G53" s="12">
        <f t="shared" si="3"/>
        <v>86.032007556826429</v>
      </c>
    </row>
    <row r="54" spans="1:7">
      <c r="A54" s="12">
        <v>24.5</v>
      </c>
      <c r="B54" s="75">
        <v>978.8</v>
      </c>
      <c r="C54" s="12">
        <f t="shared" si="0"/>
        <v>0.9788</v>
      </c>
      <c r="D54" s="12">
        <f t="shared" si="1"/>
        <v>6.7830839999999989E-2</v>
      </c>
      <c r="E54" s="12">
        <f t="shared" si="2"/>
        <v>3.0281624999999998E-3</v>
      </c>
      <c r="F54" s="12">
        <f>E54/Calculation!K$18*1000</f>
        <v>3.867565389651021E-3</v>
      </c>
      <c r="G54" s="12">
        <f t="shared" si="3"/>
        <v>86.125005750792809</v>
      </c>
    </row>
    <row r="55" spans="1:7">
      <c r="A55" s="12">
        <v>25</v>
      </c>
      <c r="B55" s="75">
        <v>914.21</v>
      </c>
      <c r="C55" s="12">
        <f t="shared" si="0"/>
        <v>0.91421000000000008</v>
      </c>
      <c r="D55" s="12">
        <f t="shared" si="1"/>
        <v>6.3354753E-2</v>
      </c>
      <c r="E55" s="12">
        <f t="shared" si="2"/>
        <v>2.8283371875000001E-3</v>
      </c>
      <c r="F55" s="12">
        <f>E55/Calculation!K$18*1000</f>
        <v>3.6123487483376176E-3</v>
      </c>
      <c r="G55" s="12">
        <f t="shared" si="3"/>
        <v>86.237204462862636</v>
      </c>
    </row>
    <row r="56" spans="1:7">
      <c r="A56" s="12">
        <v>25.5</v>
      </c>
      <c r="B56" s="75">
        <v>729.38</v>
      </c>
      <c r="C56" s="12">
        <f t="shared" si="0"/>
        <v>0.72938000000000003</v>
      </c>
      <c r="D56" s="12">
        <f t="shared" si="1"/>
        <v>5.0546034000000004E-2</v>
      </c>
      <c r="E56" s="12">
        <f t="shared" si="2"/>
        <v>2.2565193750000005E-3</v>
      </c>
      <c r="F56" s="12">
        <f>E56/Calculation!K$18*1000</f>
        <v>2.8820237473474275E-3</v>
      </c>
      <c r="G56" s="12">
        <f t="shared" si="3"/>
        <v>86.334620050297914</v>
      </c>
    </row>
    <row r="57" spans="1:7">
      <c r="A57" s="12">
        <v>26</v>
      </c>
      <c r="B57" s="75">
        <v>598.21</v>
      </c>
      <c r="C57" s="12">
        <f t="shared" si="0"/>
        <v>0.59821000000000002</v>
      </c>
      <c r="D57" s="12">
        <f t="shared" si="1"/>
        <v>4.1455953000000004E-2</v>
      </c>
      <c r="E57" s="12">
        <f t="shared" si="2"/>
        <v>1.8507121875000004E-3</v>
      </c>
      <c r="F57" s="12">
        <f>E57/Calculation!K$18*1000</f>
        <v>2.3637273107306269E-3</v>
      </c>
      <c r="G57" s="12">
        <f t="shared" si="3"/>
        <v>86.413306316169084</v>
      </c>
    </row>
    <row r="58" spans="1:7">
      <c r="A58" s="12">
        <v>26.5</v>
      </c>
      <c r="B58" s="75">
        <v>590.26</v>
      </c>
      <c r="C58" s="12">
        <f t="shared" si="0"/>
        <v>0.59026000000000001</v>
      </c>
      <c r="D58" s="12">
        <f t="shared" si="1"/>
        <v>4.0905018000000001E-2</v>
      </c>
      <c r="E58" s="12">
        <f t="shared" si="2"/>
        <v>1.8261168750000002E-3</v>
      </c>
      <c r="F58" s="12">
        <f>E58/Calculation!K$18*1000</f>
        <v>2.3323142081072864E-3</v>
      </c>
      <c r="G58" s="12">
        <f t="shared" si="3"/>
        <v>86.483746938951654</v>
      </c>
    </row>
    <row r="59" spans="1:7">
      <c r="A59" s="12">
        <v>27</v>
      </c>
      <c r="B59" s="75">
        <v>633.99</v>
      </c>
      <c r="C59" s="12">
        <f t="shared" si="0"/>
        <v>0.63399000000000005</v>
      </c>
      <c r="D59" s="12">
        <f t="shared" si="1"/>
        <v>4.3935507000000006E-2</v>
      </c>
      <c r="E59" s="12">
        <f t="shared" si="2"/>
        <v>1.9614065625000003E-3</v>
      </c>
      <c r="F59" s="12">
        <f>E59/Calculation!K$18*1000</f>
        <v>2.5051060292039752E-3</v>
      </c>
      <c r="G59" s="12">
        <f t="shared" si="3"/>
        <v>86.556308242511321</v>
      </c>
    </row>
    <row r="60" spans="1:7">
      <c r="A60" s="12">
        <v>27.5</v>
      </c>
      <c r="B60" s="75">
        <v>496.85</v>
      </c>
      <c r="C60" s="12">
        <f t="shared" si="0"/>
        <v>0.49685000000000001</v>
      </c>
      <c r="D60" s="12">
        <f t="shared" si="1"/>
        <v>3.4431704999999993E-2</v>
      </c>
      <c r="E60" s="12">
        <f t="shared" si="2"/>
        <v>1.5371296874999998E-3</v>
      </c>
      <c r="F60" s="12">
        <f>E60/Calculation!K$18*1000</f>
        <v>1.963220130617194E-3</v>
      </c>
      <c r="G60" s="12">
        <f t="shared" si="3"/>
        <v>86.623333134908634</v>
      </c>
    </row>
    <row r="61" spans="1:7">
      <c r="A61" s="12">
        <v>28</v>
      </c>
      <c r="B61" s="75">
        <v>512.75</v>
      </c>
      <c r="C61" s="12">
        <f t="shared" si="0"/>
        <v>0.51275000000000004</v>
      </c>
      <c r="D61" s="12">
        <f t="shared" si="1"/>
        <v>3.5533575000000005E-2</v>
      </c>
      <c r="E61" s="12">
        <f t="shared" si="2"/>
        <v>1.5863203125000003E-3</v>
      </c>
      <c r="F61" s="12">
        <f>E61/Calculation!K$18*1000</f>
        <v>2.0260463358638754E-3</v>
      </c>
      <c r="G61" s="12">
        <f t="shared" si="3"/>
        <v>86.683172131905849</v>
      </c>
    </row>
    <row r="62" spans="1:7">
      <c r="A62" s="12">
        <v>28.5</v>
      </c>
      <c r="B62" s="75">
        <v>698.58</v>
      </c>
      <c r="C62" s="12">
        <f t="shared" si="0"/>
        <v>0.69858000000000009</v>
      </c>
      <c r="D62" s="12">
        <f t="shared" si="1"/>
        <v>4.8411594000000002E-2</v>
      </c>
      <c r="E62" s="12">
        <f t="shared" si="2"/>
        <v>2.1612318750000004E-3</v>
      </c>
      <c r="F62" s="12">
        <f>E62/Calculation!K$18*1000</f>
        <v>2.760322670517379E-3</v>
      </c>
      <c r="G62" s="12">
        <f t="shared" si="3"/>
        <v>86.754967667001566</v>
      </c>
    </row>
    <row r="63" spans="1:7">
      <c r="A63" s="12">
        <v>29</v>
      </c>
      <c r="B63" s="75">
        <v>485.92</v>
      </c>
      <c r="C63" s="12">
        <f t="shared" si="0"/>
        <v>0.48592000000000002</v>
      </c>
      <c r="D63" s="12">
        <f t="shared" si="1"/>
        <v>3.3674256E-2</v>
      </c>
      <c r="E63" s="12">
        <f t="shared" si="2"/>
        <v>1.5033150000000001E-3</v>
      </c>
      <c r="F63" s="12">
        <f>E63/Calculation!K$18*1000</f>
        <v>1.9200320536771804E-3</v>
      </c>
      <c r="G63" s="12">
        <f t="shared" si="3"/>
        <v>86.825172987864491</v>
      </c>
    </row>
    <row r="64" spans="1:7">
      <c r="A64" s="12">
        <v>29.5</v>
      </c>
      <c r="B64" s="75">
        <v>508.78</v>
      </c>
      <c r="C64" s="12">
        <f t="shared" si="0"/>
        <v>0.50878000000000001</v>
      </c>
      <c r="D64" s="12">
        <f t="shared" si="1"/>
        <v>3.5258454000000002E-2</v>
      </c>
      <c r="E64" s="12">
        <f t="shared" si="2"/>
        <v>1.5740381250000002E-3</v>
      </c>
      <c r="F64" s="12">
        <f>E64/Calculation!K$18*1000</f>
        <v>2.0103595412205217E-3</v>
      </c>
      <c r="G64" s="12">
        <f t="shared" si="3"/>
        <v>86.884128861787957</v>
      </c>
    </row>
    <row r="65" spans="1:7">
      <c r="A65" s="12">
        <v>30</v>
      </c>
      <c r="B65" s="75">
        <v>0</v>
      </c>
      <c r="C65" s="12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E65/Calculation!K$19*1000</f>
        <v>0</v>
      </c>
      <c r="G65" s="12">
        <f t="shared" si="3"/>
        <v>86.914284254906264</v>
      </c>
    </row>
    <row r="66" spans="1:7">
      <c r="A66" s="12">
        <v>30.5</v>
      </c>
      <c r="B66" s="75">
        <v>472.01</v>
      </c>
      <c r="C66" s="12">
        <f t="shared" si="0"/>
        <v>0.47200999999999999</v>
      </c>
      <c r="D66" s="12">
        <f t="shared" si="1"/>
        <v>3.2710292999999994E-2</v>
      </c>
      <c r="E66" s="12">
        <f t="shared" si="2"/>
        <v>1.4602809374999999E-3</v>
      </c>
      <c r="F66" s="12">
        <f>E66/Calculation!K$19*1000</f>
        <v>1.9944213349798383E-3</v>
      </c>
      <c r="G66" s="12">
        <f t="shared" si="3"/>
        <v>86.94420057493096</v>
      </c>
    </row>
    <row r="67" spans="1:7">
      <c r="A67" s="12">
        <v>31</v>
      </c>
      <c r="B67" s="75">
        <v>478.97</v>
      </c>
      <c r="C67" s="12">
        <f t="shared" si="0"/>
        <v>0.47897000000000001</v>
      </c>
      <c r="D67" s="12">
        <f t="shared" si="1"/>
        <v>3.3192620999999999E-2</v>
      </c>
      <c r="E67" s="12">
        <f t="shared" si="2"/>
        <v>1.4818134375E-3</v>
      </c>
      <c r="F67" s="12">
        <f>E67/Calculation!K$19*1000</f>
        <v>2.02382997566851E-3</v>
      </c>
      <c r="G67" s="12">
        <f t="shared" si="3"/>
        <v>87.00447434459069</v>
      </c>
    </row>
    <row r="68" spans="1:7">
      <c r="A68" s="12">
        <v>31.5</v>
      </c>
      <c r="B68" s="75">
        <v>470.02</v>
      </c>
      <c r="C68" s="12">
        <f t="shared" si="0"/>
        <v>0.47001999999999999</v>
      </c>
      <c r="D68" s="12">
        <f t="shared" si="1"/>
        <v>3.2572385999999995E-2</v>
      </c>
      <c r="E68" s="12">
        <f t="shared" si="2"/>
        <v>1.4541243749999998E-3</v>
      </c>
      <c r="F68" s="12">
        <f>E68/Calculation!K$19*1000</f>
        <v>1.9860128299553472E-3</v>
      </c>
      <c r="G68" s="12">
        <f t="shared" si="3"/>
        <v>87.06462198667505</v>
      </c>
    </row>
    <row r="69" spans="1:7">
      <c r="A69" s="12">
        <v>32</v>
      </c>
      <c r="B69" s="75">
        <v>497.85</v>
      </c>
      <c r="C69" s="12">
        <f t="shared" si="0"/>
        <v>0.49785000000000001</v>
      </c>
      <c r="D69" s="12">
        <f t="shared" si="1"/>
        <v>3.4501004999999994E-2</v>
      </c>
      <c r="E69" s="12">
        <f t="shared" si="2"/>
        <v>1.5402234374999998E-3</v>
      </c>
      <c r="F69" s="12">
        <f>E69/Calculation!K$19*1000</f>
        <v>2.1036051389159392E-3</v>
      </c>
      <c r="G69" s="12">
        <f t="shared" si="3"/>
        <v>87.125966256208116</v>
      </c>
    </row>
    <row r="70" spans="1:7">
      <c r="A70" s="12">
        <v>32.5</v>
      </c>
      <c r="B70" s="75">
        <v>484.93</v>
      </c>
      <c r="C70" s="12">
        <f t="shared" ref="C70:C101" si="4">B70/1000</f>
        <v>0.48493000000000003</v>
      </c>
      <c r="D70" s="12">
        <f t="shared" ref="D70:D101" si="5">C70/1000*$B$1</f>
        <v>3.3605649000000001E-2</v>
      </c>
      <c r="E70" s="12">
        <f t="shared" ref="E70:E101" si="6">D70/22.4</f>
        <v>1.5002521875000002E-3</v>
      </c>
      <c r="F70" s="12">
        <f>E70/Calculation!K$19*1000</f>
        <v>2.049013236947889E-3</v>
      </c>
      <c r="G70" s="12">
        <f t="shared" si="3"/>
        <v>87.188255531846067</v>
      </c>
    </row>
    <row r="71" spans="1:7">
      <c r="A71" s="12">
        <v>33</v>
      </c>
      <c r="B71" s="75">
        <v>442.2</v>
      </c>
      <c r="C71" s="12">
        <f t="shared" si="4"/>
        <v>0.44219999999999998</v>
      </c>
      <c r="D71" s="12">
        <f t="shared" si="5"/>
        <v>3.0644459999999995E-2</v>
      </c>
      <c r="E71" s="12">
        <f t="shared" si="6"/>
        <v>1.36805625E-3</v>
      </c>
      <c r="F71" s="12">
        <f>E71/Calculation!K$19*1000</f>
        <v>1.8684627747888487E-3</v>
      </c>
      <c r="G71" s="12">
        <f t="shared" ref="G71:G101" si="7">G70+(F71+F70)/2*30</f>
        <v>87.247017672022125</v>
      </c>
    </row>
    <row r="72" spans="1:7">
      <c r="A72" s="12">
        <v>33.5</v>
      </c>
      <c r="B72" s="75">
        <v>535.61</v>
      </c>
      <c r="C72" s="12">
        <f t="shared" si="4"/>
        <v>0.53561000000000003</v>
      </c>
      <c r="D72" s="12">
        <f t="shared" si="5"/>
        <v>3.7117773E-2</v>
      </c>
      <c r="E72" s="12">
        <f t="shared" si="6"/>
        <v>1.6570434375000002E-3</v>
      </c>
      <c r="F72" s="12">
        <f>E72/Calculation!K$19*1000</f>
        <v>2.2631554654107995E-3</v>
      </c>
      <c r="G72" s="12">
        <f t="shared" si="7"/>
        <v>87.308991945625124</v>
      </c>
    </row>
    <row r="73" spans="1:7">
      <c r="A73" s="12">
        <v>34</v>
      </c>
      <c r="B73" s="75">
        <v>482.94</v>
      </c>
      <c r="C73" s="12">
        <f t="shared" si="4"/>
        <v>0.48293999999999998</v>
      </c>
      <c r="D73" s="12">
        <f t="shared" si="5"/>
        <v>3.3467741999999995E-2</v>
      </c>
      <c r="E73" s="12">
        <f t="shared" si="6"/>
        <v>1.4940956249999999E-3</v>
      </c>
      <c r="F73" s="12">
        <f>E73/Calculation!K$19*1000</f>
        <v>2.0406047319233979E-3</v>
      </c>
      <c r="G73" s="12">
        <f t="shared" si="7"/>
        <v>87.373548348585132</v>
      </c>
    </row>
    <row r="74" spans="1:7">
      <c r="A74" s="12">
        <v>34.5</v>
      </c>
      <c r="B74" s="75">
        <v>427.3</v>
      </c>
      <c r="C74" s="12">
        <f t="shared" si="4"/>
        <v>0.42730000000000001</v>
      </c>
      <c r="D74" s="12">
        <f t="shared" si="5"/>
        <v>2.9611890000000002E-2</v>
      </c>
      <c r="E74" s="12">
        <f t="shared" si="6"/>
        <v>1.3219593750000002E-3</v>
      </c>
      <c r="F74" s="12">
        <f>E74/Calculation!K$19*1000</f>
        <v>1.8055046215904008E-3</v>
      </c>
      <c r="G74" s="12">
        <f t="shared" si="7"/>
        <v>87.431239988887839</v>
      </c>
    </row>
    <row r="75" spans="1:7">
      <c r="A75" s="12">
        <v>35</v>
      </c>
      <c r="B75" s="75">
        <v>445.18</v>
      </c>
      <c r="C75" s="12">
        <f t="shared" si="4"/>
        <v>0.44518000000000002</v>
      </c>
      <c r="D75" s="12">
        <f t="shared" si="5"/>
        <v>3.0850974000000003E-2</v>
      </c>
      <c r="E75" s="12">
        <f t="shared" si="6"/>
        <v>1.3772756250000002E-3</v>
      </c>
      <c r="F75" s="12">
        <f>E75/Calculation!K$19*1000</f>
        <v>1.8810544054285387E-3</v>
      </c>
      <c r="G75" s="12">
        <f t="shared" si="7"/>
        <v>87.486538374293119</v>
      </c>
    </row>
    <row r="76" spans="1:7">
      <c r="A76" s="12">
        <v>35.5</v>
      </c>
      <c r="B76" s="75">
        <v>474</v>
      </c>
      <c r="C76" s="12">
        <f t="shared" si="4"/>
        <v>0.47399999999999998</v>
      </c>
      <c r="D76" s="12">
        <f t="shared" si="5"/>
        <v>3.2848199999999994E-2</v>
      </c>
      <c r="E76" s="12">
        <f t="shared" si="6"/>
        <v>1.4664374999999999E-3</v>
      </c>
      <c r="F76" s="12">
        <f>E76/Calculation!K$19*1000</f>
        <v>2.0028298400043289E-3</v>
      </c>
      <c r="G76" s="12">
        <f t="shared" si="7"/>
        <v>87.544796637974613</v>
      </c>
    </row>
    <row r="77" spans="1:7">
      <c r="A77" s="12">
        <v>36</v>
      </c>
      <c r="B77" s="75">
        <v>507.79</v>
      </c>
      <c r="C77" s="12">
        <f t="shared" si="4"/>
        <v>0.50779000000000007</v>
      </c>
      <c r="D77" s="12">
        <f t="shared" si="5"/>
        <v>3.5189847000000003E-2</v>
      </c>
      <c r="E77" s="12">
        <f t="shared" si="6"/>
        <v>1.5709753125000003E-3</v>
      </c>
      <c r="F77" s="12">
        <f>E77/Calculation!K$19*1000</f>
        <v>2.1456054102443004E-3</v>
      </c>
      <c r="G77" s="12">
        <f t="shared" si="7"/>
        <v>87.607023166728339</v>
      </c>
    </row>
    <row r="78" spans="1:7">
      <c r="A78" s="12">
        <v>36.5</v>
      </c>
      <c r="B78" s="75">
        <v>422.33</v>
      </c>
      <c r="C78" s="12">
        <f t="shared" si="4"/>
        <v>0.42232999999999998</v>
      </c>
      <c r="D78" s="12">
        <f t="shared" si="5"/>
        <v>2.9267468999999997E-2</v>
      </c>
      <c r="E78" s="12">
        <f t="shared" si="6"/>
        <v>1.3065834375E-3</v>
      </c>
      <c r="F78" s="12">
        <f>E78/Calculation!K$19*1000</f>
        <v>1.7845044859262202E-3</v>
      </c>
      <c r="G78" s="12">
        <f t="shared" si="7"/>
        <v>87.665974815170898</v>
      </c>
    </row>
    <row r="79" spans="1:7">
      <c r="A79" s="12">
        <v>37</v>
      </c>
      <c r="B79" s="75">
        <v>449.16</v>
      </c>
      <c r="C79" s="12">
        <f t="shared" si="4"/>
        <v>0.44916</v>
      </c>
      <c r="D79" s="12">
        <f t="shared" si="5"/>
        <v>3.1126787999999999E-2</v>
      </c>
      <c r="E79" s="12">
        <f t="shared" si="6"/>
        <v>1.38958875E-3</v>
      </c>
      <c r="F79" s="12">
        <f>E79/Calculation!K$19*1000</f>
        <v>1.89787141547752E-3</v>
      </c>
      <c r="G79" s="12">
        <f t="shared" si="7"/>
        <v>87.721210453691953</v>
      </c>
    </row>
    <row r="80" spans="1:7">
      <c r="A80" s="12">
        <v>37.5</v>
      </c>
      <c r="B80" s="75">
        <v>478.97</v>
      </c>
      <c r="C80" s="12">
        <f t="shared" si="4"/>
        <v>0.47897000000000001</v>
      </c>
      <c r="D80" s="12">
        <f t="shared" si="5"/>
        <v>3.3192620999999999E-2</v>
      </c>
      <c r="E80" s="12">
        <f t="shared" si="6"/>
        <v>1.4818134375E-3</v>
      </c>
      <c r="F80" s="12">
        <f>E80/Calculation!K$19*1000</f>
        <v>2.02382997566851E-3</v>
      </c>
      <c r="G80" s="12">
        <f t="shared" si="7"/>
        <v>87.780035974559141</v>
      </c>
    </row>
    <row r="81" spans="1:7">
      <c r="A81" s="12">
        <v>38</v>
      </c>
      <c r="B81" s="75">
        <v>438.23</v>
      </c>
      <c r="C81" s="12">
        <f t="shared" si="4"/>
        <v>0.43823000000000001</v>
      </c>
      <c r="D81" s="12">
        <f t="shared" si="5"/>
        <v>3.0369338999999999E-2</v>
      </c>
      <c r="E81" s="12">
        <f t="shared" si="6"/>
        <v>1.3557740625000001E-3</v>
      </c>
      <c r="F81" s="12">
        <f>E81/Calculation!K$19*1000</f>
        <v>1.8516880185339604E-3</v>
      </c>
      <c r="G81" s="12">
        <f t="shared" si="7"/>
        <v>87.838168744472185</v>
      </c>
    </row>
    <row r="82" spans="1:7">
      <c r="A82" s="12">
        <v>38.5</v>
      </c>
      <c r="B82" s="75">
        <v>438.23</v>
      </c>
      <c r="C82" s="12">
        <f t="shared" si="4"/>
        <v>0.43823000000000001</v>
      </c>
      <c r="D82" s="12">
        <f t="shared" si="5"/>
        <v>3.0369338999999999E-2</v>
      </c>
      <c r="E82" s="12">
        <f t="shared" si="6"/>
        <v>1.3557740625000001E-3</v>
      </c>
      <c r="F82" s="12">
        <f>E82/Calculation!K$19*1000</f>
        <v>1.8516880185339604E-3</v>
      </c>
      <c r="G82" s="12">
        <f t="shared" si="7"/>
        <v>87.893719385028206</v>
      </c>
    </row>
    <row r="83" spans="1:7">
      <c r="A83" s="12">
        <v>39</v>
      </c>
      <c r="B83" s="75">
        <v>474.99</v>
      </c>
      <c r="C83" s="12">
        <f t="shared" si="4"/>
        <v>0.47499000000000002</v>
      </c>
      <c r="D83" s="12">
        <f t="shared" si="5"/>
        <v>3.2916806999999999E-2</v>
      </c>
      <c r="E83" s="12">
        <f t="shared" si="6"/>
        <v>1.4695003125000002E-3</v>
      </c>
      <c r="F83" s="12">
        <f>E83/Calculation!K$19*1000</f>
        <v>2.0070129656195282E-3</v>
      </c>
      <c r="G83" s="12">
        <f t="shared" si="7"/>
        <v>87.951599899790509</v>
      </c>
    </row>
    <row r="84" spans="1:7">
      <c r="A84" s="12">
        <v>39.5</v>
      </c>
      <c r="B84" s="75">
        <v>482.94</v>
      </c>
      <c r="C84" s="12">
        <f t="shared" si="4"/>
        <v>0.48293999999999998</v>
      </c>
      <c r="D84" s="12">
        <f t="shared" si="5"/>
        <v>3.3467741999999995E-2</v>
      </c>
      <c r="E84" s="12">
        <f t="shared" si="6"/>
        <v>1.4940956249999999E-3</v>
      </c>
      <c r="F84" s="12">
        <f>E84/Calculation!K$19*1000</f>
        <v>2.0406047319233979E-3</v>
      </c>
      <c r="G84" s="12">
        <f t="shared" si="7"/>
        <v>88.012314165253656</v>
      </c>
    </row>
    <row r="85" spans="1:7">
      <c r="A85" s="12">
        <v>40</v>
      </c>
      <c r="B85" s="75">
        <v>406.43</v>
      </c>
      <c r="C85" s="12">
        <f t="shared" si="4"/>
        <v>0.40643000000000001</v>
      </c>
      <c r="D85" s="12">
        <f t="shared" si="5"/>
        <v>2.8165598999999999E-2</v>
      </c>
      <c r="E85" s="12">
        <f t="shared" si="6"/>
        <v>1.2573928125E-3</v>
      </c>
      <c r="F85" s="12">
        <f>E85/Calculation!K$19*1000</f>
        <v>1.71732095331848E-3</v>
      </c>
      <c r="G85" s="12">
        <f t="shared" si="7"/>
        <v>88.068683050532286</v>
      </c>
    </row>
    <row r="86" spans="1:7">
      <c r="A86" s="12">
        <v>40.5</v>
      </c>
      <c r="B86" s="75">
        <v>448.16</v>
      </c>
      <c r="C86" s="12">
        <f t="shared" si="4"/>
        <v>0.44816</v>
      </c>
      <c r="D86" s="12">
        <f t="shared" si="5"/>
        <v>3.1057488000000001E-2</v>
      </c>
      <c r="E86" s="12">
        <f t="shared" si="6"/>
        <v>1.3864950000000002E-3</v>
      </c>
      <c r="F86" s="12">
        <f>E86/Calculation!K$19*1000</f>
        <v>1.8936460360682284E-3</v>
      </c>
      <c r="G86" s="12">
        <f t="shared" si="7"/>
        <v>88.122847555373085</v>
      </c>
    </row>
    <row r="87" spans="1:7">
      <c r="A87" s="12">
        <v>41</v>
      </c>
      <c r="B87" s="75">
        <v>498.84</v>
      </c>
      <c r="C87" s="12">
        <f t="shared" si="4"/>
        <v>0.49883999999999995</v>
      </c>
      <c r="D87" s="12">
        <f t="shared" si="5"/>
        <v>3.4569611999999993E-2</v>
      </c>
      <c r="E87" s="12">
        <f t="shared" si="6"/>
        <v>1.5432862499999997E-3</v>
      </c>
      <c r="F87" s="12">
        <f>E87/Calculation!K$19*1000</f>
        <v>2.1077882645311381E-3</v>
      </c>
      <c r="G87" s="12">
        <f t="shared" si="7"/>
        <v>88.182869069882074</v>
      </c>
    </row>
    <row r="88" spans="1:7">
      <c r="A88" s="12">
        <v>41.5</v>
      </c>
      <c r="B88" s="75">
        <v>430.28</v>
      </c>
      <c r="C88" s="12">
        <f t="shared" si="4"/>
        <v>0.43028</v>
      </c>
      <c r="D88" s="12">
        <f t="shared" si="5"/>
        <v>2.9818404E-2</v>
      </c>
      <c r="E88" s="12">
        <f t="shared" si="6"/>
        <v>1.3311787500000002E-3</v>
      </c>
      <c r="F88" s="12">
        <f>E88/Calculation!K$19*1000</f>
        <v>1.8180962522300903E-3</v>
      </c>
      <c r="G88" s="12">
        <f t="shared" si="7"/>
        <v>88.241757337633487</v>
      </c>
    </row>
    <row r="89" spans="1:7">
      <c r="A89" s="12">
        <v>42</v>
      </c>
      <c r="B89" s="75">
        <v>223.58</v>
      </c>
      <c r="C89" s="12">
        <f t="shared" si="4"/>
        <v>0.22358</v>
      </c>
      <c r="D89" s="12">
        <f t="shared" si="5"/>
        <v>1.5494094E-2</v>
      </c>
      <c r="E89" s="12">
        <f t="shared" si="6"/>
        <v>6.9170062500000006E-4</v>
      </c>
      <c r="F89" s="12">
        <f>E89/Calculation!K$19*1000</f>
        <v>9.4471032832946819E-4</v>
      </c>
      <c r="G89" s="12">
        <f t="shared" si="7"/>
        <v>88.283199436341874</v>
      </c>
    </row>
    <row r="90" spans="1:7">
      <c r="A90" s="12">
        <v>42.5</v>
      </c>
      <c r="B90" s="75">
        <v>397.48</v>
      </c>
      <c r="C90" s="12">
        <f t="shared" si="4"/>
        <v>0.39748</v>
      </c>
      <c r="D90" s="12">
        <f t="shared" si="5"/>
        <v>2.7545363999999999E-2</v>
      </c>
      <c r="E90" s="12">
        <f t="shared" si="6"/>
        <v>1.22970375E-3</v>
      </c>
      <c r="F90" s="12">
        <f>E90/Calculation!K$19*1000</f>
        <v>1.6795038076053181E-3</v>
      </c>
      <c r="G90" s="12">
        <f t="shared" si="7"/>
        <v>88.322562648380895</v>
      </c>
    </row>
    <row r="91" spans="1:7">
      <c r="A91" s="12">
        <v>43</v>
      </c>
      <c r="B91" s="75">
        <v>411.4</v>
      </c>
      <c r="C91" s="12">
        <f t="shared" si="4"/>
        <v>0.41139999999999999</v>
      </c>
      <c r="D91" s="12">
        <f t="shared" si="5"/>
        <v>2.8510019999999997E-2</v>
      </c>
      <c r="E91" s="12">
        <f t="shared" si="6"/>
        <v>1.2727687499999999E-3</v>
      </c>
      <c r="F91" s="12">
        <f>E91/Calculation!K$19*1000</f>
        <v>1.7383210889826604E-3</v>
      </c>
      <c r="G91" s="12">
        <f t="shared" si="7"/>
        <v>88.373830021829718</v>
      </c>
    </row>
    <row r="92" spans="1:7">
      <c r="A92" s="12">
        <v>43.5</v>
      </c>
      <c r="B92" s="75">
        <v>422.33</v>
      </c>
      <c r="C92" s="12">
        <f t="shared" si="4"/>
        <v>0.42232999999999998</v>
      </c>
      <c r="D92" s="12">
        <f t="shared" si="5"/>
        <v>2.9267468999999997E-2</v>
      </c>
      <c r="E92" s="12">
        <f t="shared" si="6"/>
        <v>1.3065834375E-3</v>
      </c>
      <c r="F92" s="12">
        <f>E92/Calculation!K$19*1000</f>
        <v>1.7845044859262202E-3</v>
      </c>
      <c r="G92" s="12">
        <f t="shared" si="7"/>
        <v>88.426672405453346</v>
      </c>
    </row>
    <row r="93" spans="1:7">
      <c r="A93" s="12">
        <v>44</v>
      </c>
      <c r="B93" s="75">
        <v>409.41</v>
      </c>
      <c r="C93" s="12">
        <f t="shared" si="4"/>
        <v>0.40941000000000005</v>
      </c>
      <c r="D93" s="12">
        <f t="shared" si="5"/>
        <v>2.8372113000000001E-2</v>
      </c>
      <c r="E93" s="12">
        <f t="shared" si="6"/>
        <v>1.2666121875000002E-3</v>
      </c>
      <c r="F93" s="12">
        <f>E93/Calculation!K$19*1000</f>
        <v>1.7299125839581699E-3</v>
      </c>
      <c r="G93" s="12">
        <f t="shared" si="7"/>
        <v>88.479388661501616</v>
      </c>
    </row>
    <row r="94" spans="1:7">
      <c r="A94" s="12">
        <v>44.5</v>
      </c>
      <c r="B94" s="75">
        <v>435.24</v>
      </c>
      <c r="C94" s="12">
        <f t="shared" si="4"/>
        <v>0.43524000000000002</v>
      </c>
      <c r="D94" s="12">
        <f t="shared" si="5"/>
        <v>3.0162132000000001E-2</v>
      </c>
      <c r="E94" s="12">
        <f t="shared" si="6"/>
        <v>1.3465237500000001E-3</v>
      </c>
      <c r="F94" s="12">
        <f>E94/Calculation!K$19*1000</f>
        <v>1.8390541341001779E-3</v>
      </c>
      <c r="G94" s="12">
        <f t="shared" si="7"/>
        <v>88.532923162272496</v>
      </c>
    </row>
    <row r="95" spans="1:7">
      <c r="A95" s="12">
        <v>45</v>
      </c>
      <c r="B95" s="75">
        <v>387.55</v>
      </c>
      <c r="C95" s="12">
        <f t="shared" si="4"/>
        <v>0.38755000000000001</v>
      </c>
      <c r="D95" s="12">
        <f t="shared" si="5"/>
        <v>2.6857215E-2</v>
      </c>
      <c r="E95" s="12">
        <f t="shared" si="6"/>
        <v>1.1989828125000001E-3</v>
      </c>
      <c r="F95" s="12">
        <f>E95/Calculation!K$19*1000</f>
        <v>1.6375457900710503E-3</v>
      </c>
      <c r="G95" s="12">
        <f t="shared" si="7"/>
        <v>88.585072161135059</v>
      </c>
    </row>
    <row r="96" spans="1:7">
      <c r="A96" s="12">
        <v>45.5</v>
      </c>
      <c r="B96" s="75">
        <v>391.52</v>
      </c>
      <c r="C96" s="12">
        <f t="shared" si="4"/>
        <v>0.39151999999999998</v>
      </c>
      <c r="D96" s="12">
        <f t="shared" si="5"/>
        <v>2.7132335999999996E-2</v>
      </c>
      <c r="E96" s="12">
        <f t="shared" si="6"/>
        <v>1.211265E-3</v>
      </c>
      <c r="F96" s="12">
        <f>E96/Calculation!K$19*1000</f>
        <v>1.6543205463259386E-3</v>
      </c>
      <c r="G96" s="12">
        <f t="shared" si="7"/>
        <v>88.634450156181018</v>
      </c>
    </row>
    <row r="97" spans="1:7">
      <c r="A97" s="12">
        <v>46</v>
      </c>
      <c r="B97" s="75">
        <v>372.64</v>
      </c>
      <c r="C97" s="12">
        <f t="shared" si="4"/>
        <v>0.37263999999999997</v>
      </c>
      <c r="D97" s="12">
        <f t="shared" si="5"/>
        <v>2.5823951999999997E-2</v>
      </c>
      <c r="E97" s="12">
        <f t="shared" si="6"/>
        <v>1.1528549999999999E-3</v>
      </c>
      <c r="F97" s="12">
        <f>E97/Calculation!K$19*1000</f>
        <v>1.5745453830785089E-3</v>
      </c>
      <c r="G97" s="12">
        <f t="shared" si="7"/>
        <v>88.682883145122091</v>
      </c>
    </row>
    <row r="98" spans="1:7">
      <c r="A98" s="12">
        <v>46.5</v>
      </c>
      <c r="B98" s="75">
        <v>409.41</v>
      </c>
      <c r="C98" s="12">
        <f t="shared" si="4"/>
        <v>0.40941000000000005</v>
      </c>
      <c r="D98" s="12">
        <f t="shared" si="5"/>
        <v>2.8372113000000001E-2</v>
      </c>
      <c r="E98" s="12">
        <f t="shared" si="6"/>
        <v>1.2666121875000002E-3</v>
      </c>
      <c r="F98" s="12">
        <f>E98/Calculation!K$19*1000</f>
        <v>1.7299125839581699E-3</v>
      </c>
      <c r="G98" s="12">
        <f t="shared" si="7"/>
        <v>88.732450014627645</v>
      </c>
    </row>
    <row r="99" spans="1:7">
      <c r="A99" s="12">
        <v>47</v>
      </c>
      <c r="B99" s="75">
        <v>390.53</v>
      </c>
      <c r="C99" s="12">
        <f t="shared" si="4"/>
        <v>0.39052999999999999</v>
      </c>
      <c r="D99" s="12">
        <f t="shared" si="5"/>
        <v>2.7063728999999998E-2</v>
      </c>
      <c r="E99" s="12">
        <f t="shared" si="6"/>
        <v>1.2082021874999999E-3</v>
      </c>
      <c r="F99" s="12">
        <f>E99/Calculation!K$19*1000</f>
        <v>1.6501374207107398E-3</v>
      </c>
      <c r="G99" s="12">
        <f t="shared" si="7"/>
        <v>88.78315076469768</v>
      </c>
    </row>
    <row r="100" spans="1:7">
      <c r="A100" s="12">
        <v>47.5</v>
      </c>
      <c r="B100" s="75">
        <v>407.42</v>
      </c>
      <c r="C100" s="12">
        <f t="shared" si="4"/>
        <v>0.40742</v>
      </c>
      <c r="D100" s="12">
        <f t="shared" si="5"/>
        <v>2.8234206000000001E-2</v>
      </c>
      <c r="E100" s="12">
        <f t="shared" si="6"/>
        <v>1.2604556250000001E-3</v>
      </c>
      <c r="F100" s="12">
        <f>E100/Calculation!K$19*1000</f>
        <v>1.721504078933679E-3</v>
      </c>
      <c r="G100" s="12">
        <f t="shared" si="7"/>
        <v>88.833725387192345</v>
      </c>
    </row>
    <row r="101" spans="1:7">
      <c r="A101" s="12">
        <v>48</v>
      </c>
      <c r="B101" s="75">
        <v>397.48</v>
      </c>
      <c r="C101" s="12">
        <f t="shared" si="4"/>
        <v>0.39748</v>
      </c>
      <c r="D101" s="12">
        <f t="shared" si="5"/>
        <v>2.7545363999999999E-2</v>
      </c>
      <c r="E101" s="12">
        <f t="shared" si="6"/>
        <v>1.22970375E-3</v>
      </c>
      <c r="F101" s="12">
        <f>E101/Calculation!K$20*1000</f>
        <v>1.9705570593753778E-3</v>
      </c>
      <c r="G101" s="12">
        <f t="shared" si="7"/>
        <v>88.889106304266974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6" zoomScale="98" zoomScaleNormal="98" zoomScalePageLayoutView="98" workbookViewId="0">
      <selection activeCell="E9" sqref="E9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69.3</v>
      </c>
      <c r="C1" s="9" t="s">
        <v>51</v>
      </c>
    </row>
    <row r="3" spans="1:12">
      <c r="A3" s="130" t="s">
        <v>5</v>
      </c>
      <c r="B3" s="130" t="s">
        <v>36</v>
      </c>
      <c r="C3" s="130"/>
      <c r="D3" s="130" t="s">
        <v>52</v>
      </c>
      <c r="E3" s="130"/>
      <c r="F3" s="130"/>
      <c r="G3" s="8" t="s">
        <v>53</v>
      </c>
    </row>
    <row r="4" spans="1:12">
      <c r="A4" s="130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5">
        <v>0</v>
      </c>
      <c r="B5" s="75">
        <v>0</v>
      </c>
      <c r="C5" s="36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5">
        <v>0.5</v>
      </c>
      <c r="B6" s="75">
        <v>194.4</v>
      </c>
      <c r="C6" s="36">
        <f t="shared" ref="C6:C69" si="0">B6/1000</f>
        <v>0.19440000000000002</v>
      </c>
      <c r="D6" s="12">
        <f>C6/1000*$B$1</f>
        <v>1.347192E-2</v>
      </c>
      <c r="E6" s="12">
        <f t="shared" ref="E6:E69" si="1">D6/22.4</f>
        <v>6.0142500000000005E-4</v>
      </c>
      <c r="F6" s="12">
        <f>E6/Calculation!K$4*1000</f>
        <v>4.0980171708912512E-4</v>
      </c>
      <c r="G6" s="12">
        <f>G5+(F6+F5)/2*30</f>
        <v>6.1470257563368763E-3</v>
      </c>
    </row>
    <row r="7" spans="1:12">
      <c r="A7" s="35">
        <v>1</v>
      </c>
      <c r="B7" s="75">
        <v>238.44</v>
      </c>
      <c r="C7" s="36">
        <f t="shared" si="0"/>
        <v>0.23843999999999999</v>
      </c>
      <c r="D7" s="12">
        <f t="shared" ref="D7:D69" si="2">C7/1000*$B$1</f>
        <v>1.6523891999999998E-2</v>
      </c>
      <c r="E7" s="12">
        <f t="shared" si="1"/>
        <v>7.3767374999999993E-4</v>
      </c>
      <c r="F7" s="12">
        <f>E7/Calculation!K$4*1000</f>
        <v>5.0263951349141457E-4</v>
      </c>
      <c r="G7" s="12">
        <f>G6+(F7+F6)/2*30</f>
        <v>1.9833644215044972E-2</v>
      </c>
    </row>
    <row r="8" spans="1:12">
      <c r="A8" s="35">
        <v>1.5</v>
      </c>
      <c r="B8" s="75">
        <v>218.66</v>
      </c>
      <c r="C8" s="36">
        <f t="shared" si="0"/>
        <v>0.21865999999999999</v>
      </c>
      <c r="D8" s="12">
        <f t="shared" si="2"/>
        <v>1.5153138E-2</v>
      </c>
      <c r="E8" s="12">
        <f t="shared" si="1"/>
        <v>6.7647937500000003E-4</v>
      </c>
      <c r="F8" s="12">
        <f>E8/Calculation!K$4*1000</f>
        <v>4.6094261038430093E-4</v>
      </c>
      <c r="G8" s="12">
        <f t="shared" ref="G8:G70" si="3">G7+(F8+F7)/2*30</f>
        <v>3.4287376073180706E-2</v>
      </c>
      <c r="K8" s="2">
        <f>0.001977/44.01</f>
        <v>4.492160872528971E-5</v>
      </c>
      <c r="L8" s="2">
        <f>1/K8</f>
        <v>22261.001517450681</v>
      </c>
    </row>
    <row r="9" spans="1:12">
      <c r="A9" s="35">
        <v>2</v>
      </c>
      <c r="B9" s="75">
        <v>209.54</v>
      </c>
      <c r="C9" s="36">
        <f t="shared" si="0"/>
        <v>0.20954</v>
      </c>
      <c r="D9" s="12">
        <f t="shared" si="2"/>
        <v>1.4521121999999999E-2</v>
      </c>
      <c r="E9" s="12">
        <f t="shared" si="1"/>
        <v>6.4826437499999998E-4</v>
      </c>
      <c r="F9" s="12">
        <f>E9/Calculation!K$5*1000</f>
        <v>4.5633139166549347E-4</v>
      </c>
      <c r="G9" s="12">
        <f t="shared" si="3"/>
        <v>4.8046486103927623E-2</v>
      </c>
    </row>
    <row r="10" spans="1:12">
      <c r="A10" s="35">
        <v>2.5</v>
      </c>
      <c r="B10" s="75">
        <v>215.22</v>
      </c>
      <c r="C10" s="36">
        <f t="shared" si="0"/>
        <v>0.21521999999999999</v>
      </c>
      <c r="D10" s="12">
        <f t="shared" si="2"/>
        <v>1.4914745999999998E-2</v>
      </c>
      <c r="E10" s="12">
        <f t="shared" si="1"/>
        <v>6.6583687499999992E-4</v>
      </c>
      <c r="F10" s="12">
        <f>E10/Calculation!K$5*1000</f>
        <v>4.6870116500070388E-4</v>
      </c>
      <c r="G10" s="12">
        <f t="shared" si="3"/>
        <v>6.1921974453920586E-2</v>
      </c>
    </row>
    <row r="11" spans="1:12">
      <c r="A11" s="35">
        <v>3</v>
      </c>
      <c r="B11" s="75">
        <v>209.88</v>
      </c>
      <c r="C11" s="36">
        <f t="shared" si="0"/>
        <v>0.20987999999999998</v>
      </c>
      <c r="D11" s="12">
        <f t="shared" si="2"/>
        <v>1.4544683999999999E-2</v>
      </c>
      <c r="E11" s="12">
        <f t="shared" si="1"/>
        <v>6.4931625000000002E-4</v>
      </c>
      <c r="F11" s="12">
        <f>E11/Calculation!K$5*1000</f>
        <v>4.5707183584400959E-4</v>
      </c>
      <c r="G11" s="12">
        <f t="shared" si="3"/>
        <v>7.5808569466591286E-2</v>
      </c>
    </row>
    <row r="12" spans="1:12">
      <c r="A12" s="35">
        <v>3.5</v>
      </c>
      <c r="B12" s="75">
        <v>225.19</v>
      </c>
      <c r="C12" s="36">
        <f t="shared" si="0"/>
        <v>0.22519</v>
      </c>
      <c r="D12" s="12">
        <f t="shared" si="2"/>
        <v>1.5605667E-2</v>
      </c>
      <c r="E12" s="12">
        <f t="shared" si="1"/>
        <v>6.9668156250000002E-4</v>
      </c>
      <c r="F12" s="12">
        <f>E12/Calculation!K$6*1000</f>
        <v>5.0941910097981869E-4</v>
      </c>
      <c r="G12" s="12">
        <f t="shared" si="3"/>
        <v>9.0305933518948708E-2</v>
      </c>
    </row>
    <row r="13" spans="1:12">
      <c r="A13" s="35">
        <v>4</v>
      </c>
      <c r="B13" s="75">
        <v>271.3</v>
      </c>
      <c r="C13" s="36">
        <f t="shared" si="0"/>
        <v>0.27129999999999999</v>
      </c>
      <c r="D13" s="12">
        <f t="shared" si="2"/>
        <v>1.8801089999999999E-2</v>
      </c>
      <c r="E13" s="12">
        <f t="shared" si="1"/>
        <v>8.3933437499999998E-4</v>
      </c>
      <c r="F13" s="12">
        <f>E13/Calculation!K$6*1000</f>
        <v>6.1372797236033938E-4</v>
      </c>
      <c r="G13" s="12">
        <f t="shared" si="3"/>
        <v>0.10715313961905108</v>
      </c>
    </row>
    <row r="14" spans="1:12">
      <c r="A14" s="35">
        <v>4.5</v>
      </c>
      <c r="B14" s="75">
        <v>337.7</v>
      </c>
      <c r="C14" s="36">
        <f t="shared" si="0"/>
        <v>0.3377</v>
      </c>
      <c r="D14" s="12">
        <f t="shared" si="2"/>
        <v>2.3402610000000001E-2</v>
      </c>
      <c r="E14" s="12">
        <f t="shared" si="1"/>
        <v>1.0447593750000002E-3</v>
      </c>
      <c r="F14" s="12">
        <f>E14/Calculation!K$6*1000</f>
        <v>7.6393636662766909E-4</v>
      </c>
      <c r="G14" s="12">
        <f t="shared" si="3"/>
        <v>0.1278181047038712</v>
      </c>
    </row>
    <row r="15" spans="1:12">
      <c r="A15" s="35">
        <v>5</v>
      </c>
      <c r="B15" s="75">
        <v>435.76</v>
      </c>
      <c r="C15" s="36">
        <f t="shared" si="0"/>
        <v>0.43575999999999998</v>
      </c>
      <c r="D15" s="12">
        <f t="shared" si="2"/>
        <v>3.0198167999999997E-2</v>
      </c>
      <c r="E15" s="12">
        <f t="shared" si="1"/>
        <v>1.3481324999999999E-3</v>
      </c>
      <c r="F15" s="12">
        <f>E15/Calculation!K$7*1000</f>
        <v>1.0162313432835822E-3</v>
      </c>
      <c r="G15" s="12">
        <f t="shared" si="3"/>
        <v>0.15452062035253997</v>
      </c>
    </row>
    <row r="16" spans="1:12">
      <c r="A16" s="35">
        <v>5.5</v>
      </c>
      <c r="B16" s="75">
        <v>574.25</v>
      </c>
      <c r="C16" s="36">
        <f t="shared" si="0"/>
        <v>0.57425000000000004</v>
      </c>
      <c r="D16" s="12">
        <f t="shared" si="2"/>
        <v>3.9795524999999998E-2</v>
      </c>
      <c r="E16" s="12">
        <f t="shared" si="1"/>
        <v>1.7765859375E-3</v>
      </c>
      <c r="F16" s="12">
        <f>E16/Calculation!K$7*1000</f>
        <v>1.3392024253731343E-3</v>
      </c>
      <c r="G16" s="12">
        <f t="shared" si="3"/>
        <v>0.18985212688239073</v>
      </c>
    </row>
    <row r="17" spans="1:7">
      <c r="A17" s="35">
        <v>6</v>
      </c>
      <c r="B17" s="75">
        <v>772.78</v>
      </c>
      <c r="C17" s="36">
        <f t="shared" si="0"/>
        <v>0.77278000000000002</v>
      </c>
      <c r="D17" s="12">
        <f t="shared" si="2"/>
        <v>5.3553653999999999E-2</v>
      </c>
      <c r="E17" s="12">
        <f t="shared" si="1"/>
        <v>2.390788125E-3</v>
      </c>
      <c r="F17" s="12">
        <f>E17/Calculation!K$8*1000</f>
        <v>1.8741895011469367E-3</v>
      </c>
      <c r="G17" s="12">
        <f t="shared" si="3"/>
        <v>0.23805300578019178</v>
      </c>
    </row>
    <row r="18" spans="1:7">
      <c r="A18" s="35">
        <v>6.5</v>
      </c>
      <c r="B18" s="75">
        <v>1041.8399999999999</v>
      </c>
      <c r="C18" s="36">
        <f t="shared" si="0"/>
        <v>1.0418399999999999</v>
      </c>
      <c r="D18" s="12">
        <f t="shared" si="2"/>
        <v>7.219951199999998E-2</v>
      </c>
      <c r="E18" s="12">
        <f t="shared" si="1"/>
        <v>3.2231924999999995E-3</v>
      </c>
      <c r="F18" s="12">
        <f>E18/Calculation!K$8*1000</f>
        <v>2.5267289395105E-3</v>
      </c>
      <c r="G18" s="12">
        <f t="shared" si="3"/>
        <v>0.30406678239005336</v>
      </c>
    </row>
    <row r="19" spans="1:7">
      <c r="A19" s="35">
        <v>7</v>
      </c>
      <c r="B19" s="75">
        <v>1605.94</v>
      </c>
      <c r="C19" s="36">
        <f t="shared" si="0"/>
        <v>1.6059400000000001</v>
      </c>
      <c r="D19" s="12">
        <f t="shared" si="2"/>
        <v>0.11129164200000001</v>
      </c>
      <c r="E19" s="12">
        <f t="shared" si="1"/>
        <v>4.9683768750000004E-3</v>
      </c>
      <c r="F19" s="12">
        <f>E19/Calculation!K$8*1000</f>
        <v>3.894815972814917E-3</v>
      </c>
      <c r="G19" s="12">
        <f t="shared" si="3"/>
        <v>0.40038995607493461</v>
      </c>
    </row>
    <row r="20" spans="1:7">
      <c r="A20" s="35">
        <v>7.5</v>
      </c>
      <c r="B20" s="75">
        <v>2352.0500000000002</v>
      </c>
      <c r="C20" s="36">
        <f t="shared" si="0"/>
        <v>2.3520500000000002</v>
      </c>
      <c r="D20" s="12">
        <f t="shared" si="2"/>
        <v>0.162997065</v>
      </c>
      <c r="E20" s="12">
        <f t="shared" si="1"/>
        <v>7.2766546875000001E-3</v>
      </c>
      <c r="F20" s="12">
        <f>E20/Calculation!K$9*1000</f>
        <v>5.9223648981224335E-3</v>
      </c>
      <c r="G20" s="12">
        <f t="shared" si="3"/>
        <v>0.54764766913899487</v>
      </c>
    </row>
    <row r="21" spans="1:7">
      <c r="A21" s="35">
        <v>8</v>
      </c>
      <c r="B21" s="75">
        <v>3196.74</v>
      </c>
      <c r="C21" s="36">
        <f t="shared" si="0"/>
        <v>3.1967399999999997</v>
      </c>
      <c r="D21" s="12">
        <f t="shared" si="2"/>
        <v>0.22153408199999997</v>
      </c>
      <c r="E21" s="12">
        <f t="shared" si="1"/>
        <v>9.8899143749999995E-3</v>
      </c>
      <c r="F21" s="12">
        <f>E21/Calculation!K$9*1000</f>
        <v>8.0492594819089325E-3</v>
      </c>
      <c r="G21" s="12">
        <f t="shared" si="3"/>
        <v>0.75722203483946537</v>
      </c>
    </row>
    <row r="22" spans="1:7">
      <c r="A22" s="35">
        <v>8.5</v>
      </c>
      <c r="B22" s="75">
        <v>4278.67</v>
      </c>
      <c r="C22" s="36">
        <f t="shared" si="0"/>
        <v>4.27867</v>
      </c>
      <c r="D22" s="12">
        <f t="shared" si="2"/>
        <v>0.296511831</v>
      </c>
      <c r="E22" s="12">
        <f t="shared" si="1"/>
        <v>1.32371353125E-2</v>
      </c>
      <c r="F22" s="12">
        <f>E22/Calculation!K$9*1000</f>
        <v>1.0773514601581392E-2</v>
      </c>
      <c r="G22" s="12">
        <f t="shared" si="3"/>
        <v>1.0395636460918203</v>
      </c>
    </row>
    <row r="23" spans="1:7">
      <c r="A23" s="35">
        <v>9</v>
      </c>
      <c r="B23" s="75">
        <v>5668.02</v>
      </c>
      <c r="C23" s="36">
        <f t="shared" si="0"/>
        <v>5.6680200000000003</v>
      </c>
      <c r="D23" s="12">
        <f t="shared" si="2"/>
        <v>0.39279378599999998</v>
      </c>
      <c r="E23" s="12">
        <f t="shared" si="1"/>
        <v>1.7535436875000001E-2</v>
      </c>
      <c r="F23" s="12">
        <f>E23/Calculation!K$10*1000</f>
        <v>1.4913081321661864E-2</v>
      </c>
      <c r="G23" s="12">
        <f t="shared" si="3"/>
        <v>1.424862584940469</v>
      </c>
    </row>
    <row r="24" spans="1:7">
      <c r="A24" s="35">
        <v>9.5</v>
      </c>
      <c r="B24" s="75">
        <v>7314.9</v>
      </c>
      <c r="C24" s="36">
        <f t="shared" si="0"/>
        <v>7.3148999999999997</v>
      </c>
      <c r="D24" s="12">
        <f t="shared" si="2"/>
        <v>0.50692256999999996</v>
      </c>
      <c r="E24" s="12">
        <f t="shared" si="1"/>
        <v>2.2630471874999999E-2</v>
      </c>
      <c r="F24" s="12">
        <f>E24/Calculation!K$10*1000</f>
        <v>1.9246173894909395E-2</v>
      </c>
      <c r="G24" s="12">
        <f t="shared" si="3"/>
        <v>1.9372514131890379</v>
      </c>
    </row>
    <row r="25" spans="1:7">
      <c r="A25" s="35">
        <v>10</v>
      </c>
      <c r="B25" s="75">
        <v>9414.41</v>
      </c>
      <c r="C25" s="36">
        <f t="shared" si="0"/>
        <v>9.4144100000000002</v>
      </c>
      <c r="D25" s="12">
        <f t="shared" si="2"/>
        <v>0.65241861299999993</v>
      </c>
      <c r="E25" s="12">
        <f t="shared" si="1"/>
        <v>2.91258309375E-2</v>
      </c>
      <c r="F25" s="12">
        <f>E25/Calculation!K$11*1000</f>
        <v>2.5794459073877847E-2</v>
      </c>
      <c r="G25" s="12">
        <f t="shared" si="3"/>
        <v>2.6128609077208464</v>
      </c>
    </row>
    <row r="26" spans="1:7">
      <c r="A26" s="35">
        <v>10.5</v>
      </c>
      <c r="B26" s="75">
        <v>11477.45</v>
      </c>
      <c r="C26" s="36">
        <f t="shared" si="0"/>
        <v>11.477450000000001</v>
      </c>
      <c r="D26" s="12">
        <f t="shared" si="2"/>
        <v>0.79538728500000011</v>
      </c>
      <c r="E26" s="12">
        <f t="shared" si="1"/>
        <v>3.5508360937500004E-2</v>
      </c>
      <c r="F26" s="12">
        <f>E26/Calculation!K$11*1000</f>
        <v>3.1446964206729822E-2</v>
      </c>
      <c r="G26" s="12">
        <f t="shared" si="3"/>
        <v>3.4714822569299617</v>
      </c>
    </row>
    <row r="27" spans="1:7">
      <c r="A27" s="35">
        <v>11</v>
      </c>
      <c r="B27" s="75">
        <v>13567.32</v>
      </c>
      <c r="C27" s="36">
        <f t="shared" si="0"/>
        <v>13.56732</v>
      </c>
      <c r="D27" s="12">
        <f t="shared" si="2"/>
        <v>0.94021527599999999</v>
      </c>
      <c r="E27" s="12">
        <f t="shared" si="1"/>
        <v>4.1973896250000003E-2</v>
      </c>
      <c r="F27" s="12">
        <f>E27/Calculation!K$11*1000</f>
        <v>3.7172980620368605E-2</v>
      </c>
      <c r="G27" s="12">
        <f t="shared" si="3"/>
        <v>4.5007814293364383</v>
      </c>
    </row>
    <row r="28" spans="1:7">
      <c r="A28" s="35">
        <v>11.5</v>
      </c>
      <c r="B28" s="75">
        <v>16163.49</v>
      </c>
      <c r="C28" s="36">
        <f t="shared" si="0"/>
        <v>16.163489999999999</v>
      </c>
      <c r="D28" s="12">
        <f t="shared" si="2"/>
        <v>1.1201298569999998</v>
      </c>
      <c r="E28" s="12">
        <f t="shared" si="1"/>
        <v>5.0005797187499992E-2</v>
      </c>
      <c r="F28" s="12">
        <f>E28/Calculation!K$12*1000</f>
        <v>4.6353379858342723E-2</v>
      </c>
      <c r="G28" s="12">
        <f t="shared" si="3"/>
        <v>5.7536768365171085</v>
      </c>
    </row>
    <row r="29" spans="1:7">
      <c r="A29" s="35">
        <v>12</v>
      </c>
      <c r="B29" s="75">
        <v>18019.57</v>
      </c>
      <c r="C29" s="36">
        <f t="shared" si="0"/>
        <v>18.019569999999998</v>
      </c>
      <c r="D29" s="12">
        <f t="shared" si="2"/>
        <v>1.248756201</v>
      </c>
      <c r="E29" s="12">
        <f t="shared" si="1"/>
        <v>5.5748044687500005E-2</v>
      </c>
      <c r="F29" s="12">
        <f>E29/Calculation!K$12*1000</f>
        <v>5.167621430111919E-2</v>
      </c>
      <c r="G29" s="12">
        <f t="shared" si="3"/>
        <v>7.2241207489090371</v>
      </c>
    </row>
    <row r="30" spans="1:7">
      <c r="A30" s="35">
        <v>12.5</v>
      </c>
      <c r="B30" s="75">
        <v>19942.23</v>
      </c>
      <c r="C30" s="36">
        <f t="shared" si="0"/>
        <v>19.942229999999999</v>
      </c>
      <c r="D30" s="12">
        <f t="shared" si="2"/>
        <v>1.3819965389999997</v>
      </c>
      <c r="E30" s="12">
        <f t="shared" si="1"/>
        <v>6.1696274062499994E-2</v>
      </c>
      <c r="F30" s="12">
        <f>E30/Calculation!K$12*1000</f>
        <v>5.7189985727861874E-2</v>
      </c>
      <c r="G30" s="12">
        <f t="shared" si="3"/>
        <v>8.8571137493437533</v>
      </c>
    </row>
    <row r="31" spans="1:7">
      <c r="A31" s="35">
        <v>13</v>
      </c>
      <c r="B31" s="75">
        <v>22116.06</v>
      </c>
      <c r="C31" s="36">
        <f t="shared" si="0"/>
        <v>22.116060000000001</v>
      </c>
      <c r="D31" s="12">
        <f t="shared" si="2"/>
        <v>1.5326429579999998</v>
      </c>
      <c r="E31" s="12">
        <f t="shared" si="1"/>
        <v>6.8421560625000002E-2</v>
      </c>
      <c r="F31" s="12">
        <f>E31/Calculation!K$13*1000</f>
        <v>6.6505829299519148E-2</v>
      </c>
      <c r="G31" s="12">
        <f t="shared" si="3"/>
        <v>10.712550974754469</v>
      </c>
    </row>
    <row r="32" spans="1:7">
      <c r="A32" s="35">
        <v>13.5</v>
      </c>
      <c r="B32" s="75">
        <v>24010.67</v>
      </c>
      <c r="C32" s="36">
        <f t="shared" si="0"/>
        <v>24.010669999999998</v>
      </c>
      <c r="D32" s="12">
        <f t="shared" si="2"/>
        <v>1.6639394309999997</v>
      </c>
      <c r="E32" s="12">
        <f t="shared" si="1"/>
        <v>7.4283010312499995E-2</v>
      </c>
      <c r="F32" s="12">
        <f>E32/Calculation!K$13*1000</f>
        <v>7.2203164595641606E-2</v>
      </c>
      <c r="G32" s="12">
        <f t="shared" si="3"/>
        <v>12.793185883181881</v>
      </c>
    </row>
    <row r="33" spans="1:7">
      <c r="A33" s="35">
        <v>14</v>
      </c>
      <c r="B33" s="75">
        <v>24901.81</v>
      </c>
      <c r="C33" s="36">
        <f t="shared" si="0"/>
        <v>24.901810000000001</v>
      </c>
      <c r="D33" s="12">
        <f t="shared" si="2"/>
        <v>1.7256954329999998</v>
      </c>
      <c r="E33" s="12">
        <f t="shared" si="1"/>
        <v>7.7039974687499999E-2</v>
      </c>
      <c r="F33" s="12">
        <f>E33/Calculation!K$14*1000</f>
        <v>7.8277984288855337E-2</v>
      </c>
      <c r="G33" s="12">
        <f t="shared" si="3"/>
        <v>15.050403116449335</v>
      </c>
    </row>
    <row r="34" spans="1:7">
      <c r="A34" s="35">
        <v>14.5</v>
      </c>
      <c r="B34" s="75">
        <v>25956.9</v>
      </c>
      <c r="C34" s="36">
        <f t="shared" si="0"/>
        <v>25.956900000000001</v>
      </c>
      <c r="D34" s="12">
        <f t="shared" si="2"/>
        <v>1.7988131700000001</v>
      </c>
      <c r="E34" s="12">
        <f t="shared" si="1"/>
        <v>8.0304159375000003E-2</v>
      </c>
      <c r="F34" s="12">
        <f>E34/Calculation!K$14*1000</f>
        <v>8.1594623458591517E-2</v>
      </c>
      <c r="G34" s="12">
        <f t="shared" si="3"/>
        <v>17.448492232661039</v>
      </c>
    </row>
    <row r="35" spans="1:7">
      <c r="A35" s="35">
        <v>15</v>
      </c>
      <c r="B35" s="75">
        <v>26098.65</v>
      </c>
      <c r="C35" s="36">
        <f t="shared" si="0"/>
        <v>26.098650000000003</v>
      </c>
      <c r="D35" s="12">
        <f t="shared" si="2"/>
        <v>1.8086364450000003</v>
      </c>
      <c r="E35" s="12">
        <f t="shared" si="1"/>
        <v>8.0742698437500024E-2</v>
      </c>
      <c r="F35" s="12">
        <f>E35/Calculation!K$14*1000</f>
        <v>8.2040209714086432E-2</v>
      </c>
      <c r="G35" s="12">
        <f t="shared" si="3"/>
        <v>19.903014730251208</v>
      </c>
    </row>
    <row r="36" spans="1:7">
      <c r="A36" s="35">
        <v>15.5</v>
      </c>
      <c r="B36" s="75">
        <v>25878.959999999999</v>
      </c>
      <c r="C36" s="36">
        <f t="shared" si="0"/>
        <v>25.878959999999999</v>
      </c>
      <c r="D36" s="12">
        <f t="shared" si="2"/>
        <v>1.7934119279999998</v>
      </c>
      <c r="E36" s="12">
        <f t="shared" si="1"/>
        <v>8.0063032499999992E-2</v>
      </c>
      <c r="F36" s="12">
        <f>E36/Calculation!K$15*1000</f>
        <v>8.5435447356497662E-2</v>
      </c>
      <c r="G36" s="12">
        <f t="shared" si="3"/>
        <v>22.415149586309969</v>
      </c>
    </row>
    <row r="37" spans="1:7">
      <c r="A37" s="35">
        <v>16</v>
      </c>
      <c r="B37" s="75">
        <v>25489.82</v>
      </c>
      <c r="C37" s="36">
        <f t="shared" si="0"/>
        <v>25.489819999999998</v>
      </c>
      <c r="D37" s="12">
        <f t="shared" si="2"/>
        <v>1.7664445259999999</v>
      </c>
      <c r="E37" s="12">
        <f t="shared" si="1"/>
        <v>7.8859130624999996E-2</v>
      </c>
      <c r="F37" s="12">
        <f>E37/Calculation!K$15*1000</f>
        <v>8.4150760878203806E-2</v>
      </c>
      <c r="G37" s="12">
        <f t="shared" si="3"/>
        <v>24.958942709830492</v>
      </c>
    </row>
    <row r="38" spans="1:7">
      <c r="A38" s="35">
        <v>16.5</v>
      </c>
      <c r="B38" s="75">
        <v>24686.080000000002</v>
      </c>
      <c r="C38" s="36">
        <f t="shared" si="0"/>
        <v>24.68608</v>
      </c>
      <c r="D38" s="12">
        <f t="shared" si="2"/>
        <v>1.7107453439999998</v>
      </c>
      <c r="E38" s="12">
        <f t="shared" si="1"/>
        <v>7.6372559999999992E-2</v>
      </c>
      <c r="F38" s="12">
        <f>E38/Calculation!K$15*1000</f>
        <v>8.1497335606928942E-2</v>
      </c>
      <c r="G38" s="12">
        <f t="shared" si="3"/>
        <v>27.443664157107484</v>
      </c>
    </row>
    <row r="39" spans="1:7">
      <c r="A39" s="35">
        <v>17</v>
      </c>
      <c r="B39" s="75">
        <v>24408.93</v>
      </c>
      <c r="C39" s="36">
        <f t="shared" si="0"/>
        <v>24.408930000000002</v>
      </c>
      <c r="D39" s="12">
        <f t="shared" si="2"/>
        <v>1.6915388490000001</v>
      </c>
      <c r="E39" s="12">
        <f t="shared" si="1"/>
        <v>7.5515127187500003E-2</v>
      </c>
      <c r="F39" s="12">
        <f>E39/Calculation!K$16*1000</f>
        <v>8.4531641396329987E-2</v>
      </c>
      <c r="G39" s="12">
        <f>G38+(F39+F38)/2*30</f>
        <v>29.934098812156368</v>
      </c>
    </row>
    <row r="40" spans="1:7">
      <c r="A40" s="35">
        <v>17.5</v>
      </c>
      <c r="B40" s="75">
        <v>24032.35</v>
      </c>
      <c r="C40" s="36">
        <f t="shared" si="0"/>
        <v>24.032349999999997</v>
      </c>
      <c r="D40" s="12">
        <f t="shared" si="2"/>
        <v>1.6654418549999999</v>
      </c>
      <c r="E40" s="12">
        <f t="shared" si="1"/>
        <v>7.4350082812499996E-2</v>
      </c>
      <c r="F40" s="12">
        <f>E40/Calculation!K$16*1000</f>
        <v>8.3227490599181969E-2</v>
      </c>
      <c r="G40" s="12">
        <f t="shared" si="3"/>
        <v>32.450485792089047</v>
      </c>
    </row>
    <row r="41" spans="1:7">
      <c r="A41" s="35">
        <v>18</v>
      </c>
      <c r="B41" s="75">
        <v>23032.83</v>
      </c>
      <c r="C41" s="36">
        <f t="shared" si="0"/>
        <v>23.032830000000001</v>
      </c>
      <c r="D41" s="12">
        <f t="shared" si="2"/>
        <v>1.596175119</v>
      </c>
      <c r="E41" s="12">
        <f t="shared" si="1"/>
        <v>7.1257817812499999E-2</v>
      </c>
      <c r="F41" s="12">
        <f>E41/Calculation!K$17*1000</f>
        <v>8.4318455618285451E-2</v>
      </c>
      <c r="G41" s="12">
        <f t="shared" si="3"/>
        <v>34.963674985351062</v>
      </c>
    </row>
    <row r="42" spans="1:7">
      <c r="A42" s="35">
        <v>18.5</v>
      </c>
      <c r="B42" s="75">
        <v>22064.27</v>
      </c>
      <c r="C42" s="36">
        <f t="shared" si="0"/>
        <v>22.06427</v>
      </c>
      <c r="D42" s="12">
        <f t="shared" si="2"/>
        <v>1.5290539109999999</v>
      </c>
      <c r="E42" s="12">
        <f t="shared" si="1"/>
        <v>6.8261335312500004E-2</v>
      </c>
      <c r="F42" s="12">
        <f>E42/Calculation!K$17*1000</f>
        <v>8.0772756571592261E-2</v>
      </c>
      <c r="G42" s="12">
        <f t="shared" si="3"/>
        <v>37.440043168199225</v>
      </c>
    </row>
    <row r="43" spans="1:7">
      <c r="A43" s="35">
        <v>19</v>
      </c>
      <c r="B43" s="75">
        <v>20940.37</v>
      </c>
      <c r="C43" s="36">
        <f t="shared" si="0"/>
        <v>20.940369999999998</v>
      </c>
      <c r="D43" s="12">
        <f t="shared" si="2"/>
        <v>1.4511676409999996</v>
      </c>
      <c r="E43" s="12">
        <f t="shared" si="1"/>
        <v>6.4784269687499993E-2</v>
      </c>
      <c r="F43" s="12">
        <f>E43/Calculation!K$17*1000</f>
        <v>7.6658389719173714E-2</v>
      </c>
      <c r="G43" s="12">
        <f t="shared" si="3"/>
        <v>39.801510362560713</v>
      </c>
    </row>
    <row r="44" spans="1:7">
      <c r="A44" s="35">
        <v>19.5</v>
      </c>
      <c r="B44" s="75">
        <v>19551.37</v>
      </c>
      <c r="C44" s="36">
        <f t="shared" si="0"/>
        <v>19.551369999999999</v>
      </c>
      <c r="D44" s="12">
        <f t="shared" si="2"/>
        <v>1.3549099409999998</v>
      </c>
      <c r="E44" s="12">
        <f t="shared" si="1"/>
        <v>6.0487050937499995E-2</v>
      </c>
      <c r="F44" s="12">
        <f>E44/Calculation!K$17*1000</f>
        <v>7.1573546265121468E-2</v>
      </c>
      <c r="G44" s="12">
        <f t="shared" si="3"/>
        <v>42.02498940232514</v>
      </c>
    </row>
    <row r="45" spans="1:7">
      <c r="A45" s="35">
        <v>20</v>
      </c>
      <c r="B45" s="75">
        <v>16611.990000000002</v>
      </c>
      <c r="C45" s="36">
        <f t="shared" si="0"/>
        <v>16.611990000000002</v>
      </c>
      <c r="D45" s="12">
        <f t="shared" si="2"/>
        <v>1.1512109070000003</v>
      </c>
      <c r="E45" s="12">
        <f t="shared" si="1"/>
        <v>5.1393344062500013E-2</v>
      </c>
      <c r="F45" s="12">
        <f>E45/Calculation!K$17*1000</f>
        <v>6.0813080352974523E-2</v>
      </c>
      <c r="G45" s="12">
        <f t="shared" si="3"/>
        <v>44.010788801596583</v>
      </c>
    </row>
    <row r="46" spans="1:7">
      <c r="A46" s="35">
        <v>20.5</v>
      </c>
      <c r="B46" s="75">
        <v>12995.82</v>
      </c>
      <c r="C46" s="36">
        <f t="shared" si="0"/>
        <v>12.99582</v>
      </c>
      <c r="D46" s="12">
        <f t="shared" si="2"/>
        <v>0.90061032599999991</v>
      </c>
      <c r="E46" s="12">
        <f t="shared" si="1"/>
        <v>4.0205818125000001E-2</v>
      </c>
      <c r="F46" s="12">
        <f>E46/Calculation!K$17*1000</f>
        <v>4.7575025383039191E-2</v>
      </c>
      <c r="G46" s="12">
        <f t="shared" si="3"/>
        <v>45.636610387636786</v>
      </c>
    </row>
    <row r="47" spans="1:7">
      <c r="A47" s="35">
        <v>21</v>
      </c>
      <c r="B47" s="75">
        <v>10254.459999999999</v>
      </c>
      <c r="C47" s="36">
        <f t="shared" si="0"/>
        <v>10.25446</v>
      </c>
      <c r="D47" s="12">
        <f t="shared" si="2"/>
        <v>0.710634078</v>
      </c>
      <c r="E47" s="12">
        <f t="shared" si="1"/>
        <v>3.1724735625E-2</v>
      </c>
      <c r="F47" s="12">
        <f>E47/Calculation!K$17*1000</f>
        <v>3.753946998260671E-2</v>
      </c>
      <c r="G47" s="12">
        <f t="shared" si="3"/>
        <v>46.913327818121473</v>
      </c>
    </row>
    <row r="48" spans="1:7">
      <c r="A48" s="35">
        <v>21.5</v>
      </c>
      <c r="B48" s="75">
        <v>8286.73</v>
      </c>
      <c r="C48" s="36">
        <f t="shared" si="0"/>
        <v>8.2867300000000004</v>
      </c>
      <c r="D48" s="12">
        <f t="shared" si="2"/>
        <v>0.57427038900000005</v>
      </c>
      <c r="E48" s="12">
        <f t="shared" si="1"/>
        <v>2.5637070937500003E-2</v>
      </c>
      <c r="F48" s="12">
        <f>E48/Calculation!K$17*1000</f>
        <v>3.0336014971921153E-2</v>
      </c>
      <c r="G48" s="12">
        <f t="shared" si="3"/>
        <v>47.931460092439394</v>
      </c>
    </row>
    <row r="49" spans="1:7">
      <c r="A49" s="35">
        <v>22</v>
      </c>
      <c r="B49" s="75">
        <v>6644.14</v>
      </c>
      <c r="C49" s="36">
        <f t="shared" si="0"/>
        <v>6.6441400000000002</v>
      </c>
      <c r="D49" s="12">
        <f t="shared" si="2"/>
        <v>0.46043890199999998</v>
      </c>
      <c r="E49" s="12">
        <f t="shared" si="1"/>
        <v>2.0555308125000001E-2</v>
      </c>
      <c r="F49" s="12">
        <f>E49/Calculation!K$17*1000</f>
        <v>2.4322830660048075E-2</v>
      </c>
      <c r="G49" s="12">
        <f t="shared" si="3"/>
        <v>48.751342776918932</v>
      </c>
    </row>
    <row r="50" spans="1:7">
      <c r="A50" s="35">
        <v>22.5</v>
      </c>
      <c r="B50" s="75">
        <v>5416.16</v>
      </c>
      <c r="C50" s="36">
        <f t="shared" si="0"/>
        <v>5.4161599999999996</v>
      </c>
      <c r="D50" s="12">
        <f t="shared" si="2"/>
        <v>0.37533988799999995</v>
      </c>
      <c r="E50" s="12">
        <f t="shared" si="1"/>
        <v>1.6756244999999999E-2</v>
      </c>
      <c r="F50" s="12">
        <f>E50/Calculation!K$17*1000</f>
        <v>1.9827448324045847E-2</v>
      </c>
      <c r="G50" s="12">
        <f t="shared" si="3"/>
        <v>49.413596961680341</v>
      </c>
    </row>
    <row r="51" spans="1:7">
      <c r="A51" s="35">
        <v>23</v>
      </c>
      <c r="B51" s="75">
        <v>4426.2700000000004</v>
      </c>
      <c r="C51" s="36">
        <f t="shared" si="0"/>
        <v>4.4262700000000006</v>
      </c>
      <c r="D51" s="12">
        <f t="shared" si="2"/>
        <v>0.30674051099999999</v>
      </c>
      <c r="E51" s="12">
        <f t="shared" si="1"/>
        <v>1.3693772812500001E-2</v>
      </c>
      <c r="F51" s="12">
        <f>E51/Calculation!K$17*1000</f>
        <v>1.6203664532302299E-2</v>
      </c>
      <c r="G51" s="12">
        <f t="shared" si="3"/>
        <v>49.954063654525562</v>
      </c>
    </row>
    <row r="52" spans="1:7">
      <c r="A52" s="35">
        <v>23.5</v>
      </c>
      <c r="B52" s="75">
        <v>3627.69</v>
      </c>
      <c r="C52" s="36">
        <f t="shared" si="0"/>
        <v>3.6276899999999999</v>
      </c>
      <c r="D52" s="12">
        <f t="shared" si="2"/>
        <v>0.251398917</v>
      </c>
      <c r="E52" s="12">
        <f t="shared" si="1"/>
        <v>1.1223165937500001E-2</v>
      </c>
      <c r="F52" s="12">
        <f>E52/Calculation!K$17*1000</f>
        <v>1.328022732169247E-2</v>
      </c>
      <c r="G52" s="12">
        <f t="shared" si="3"/>
        <v>50.396322032335483</v>
      </c>
    </row>
    <row r="53" spans="1:7">
      <c r="A53" s="35">
        <v>24</v>
      </c>
      <c r="B53" s="75">
        <v>3066.34</v>
      </c>
      <c r="C53" s="36">
        <f t="shared" si="0"/>
        <v>3.0663400000000003</v>
      </c>
      <c r="D53" s="12">
        <f t="shared" si="2"/>
        <v>0.21249736200000002</v>
      </c>
      <c r="E53" s="12">
        <f t="shared" si="1"/>
        <v>9.4864893750000023E-3</v>
      </c>
      <c r="F53" s="12">
        <f>E53/Calculation!K$18*1000</f>
        <v>1.2116132465163991E-2</v>
      </c>
      <c r="G53" s="12">
        <f t="shared" si="3"/>
        <v>50.777267429138327</v>
      </c>
    </row>
    <row r="54" spans="1:7">
      <c r="A54" s="35">
        <v>24.5</v>
      </c>
      <c r="B54" s="75">
        <v>2751.35</v>
      </c>
      <c r="C54" s="36">
        <f t="shared" si="0"/>
        <v>2.75135</v>
      </c>
      <c r="D54" s="12">
        <f t="shared" si="2"/>
        <v>0.19066855499999999</v>
      </c>
      <c r="E54" s="12">
        <f t="shared" si="1"/>
        <v>8.5119890624999993E-3</v>
      </c>
      <c r="F54" s="12">
        <f>E54/Calculation!K$18*1000</f>
        <v>1.0871501874556943E-2</v>
      </c>
      <c r="G54" s="12">
        <f t="shared" si="3"/>
        <v>51.122081944234139</v>
      </c>
    </row>
    <row r="55" spans="1:7">
      <c r="A55" s="35">
        <v>25</v>
      </c>
      <c r="B55" s="75">
        <v>2346.7199999999998</v>
      </c>
      <c r="C55" s="36">
        <f t="shared" si="0"/>
        <v>2.3467199999999999</v>
      </c>
      <c r="D55" s="12">
        <f t="shared" si="2"/>
        <v>0.16262769599999999</v>
      </c>
      <c r="E55" s="12">
        <f t="shared" si="1"/>
        <v>7.2601649999999998E-3</v>
      </c>
      <c r="F55" s="12">
        <f>E55/Calculation!K$18*1000</f>
        <v>9.2726737343704971E-3</v>
      </c>
      <c r="G55" s="12">
        <f t="shared" si="3"/>
        <v>51.424244578368054</v>
      </c>
    </row>
    <row r="56" spans="1:7">
      <c r="A56" s="35">
        <v>25.5</v>
      </c>
      <c r="B56" s="75">
        <v>2007.81</v>
      </c>
      <c r="C56" s="36">
        <f t="shared" si="0"/>
        <v>2.0078100000000001</v>
      </c>
      <c r="D56" s="12">
        <f t="shared" si="2"/>
        <v>0.139141233</v>
      </c>
      <c r="E56" s="12">
        <f t="shared" si="1"/>
        <v>6.2116621875000005E-3</v>
      </c>
      <c r="F56" s="12">
        <f>E56/Calculation!K$18*1000</f>
        <v>7.9335272425370019E-3</v>
      </c>
      <c r="G56" s="12">
        <f t="shared" si="3"/>
        <v>51.682337593021664</v>
      </c>
    </row>
    <row r="57" spans="1:7">
      <c r="A57" s="35">
        <v>26</v>
      </c>
      <c r="B57" s="75">
        <v>1734.79</v>
      </c>
      <c r="C57" s="36">
        <f t="shared" si="0"/>
        <v>1.7347900000000001</v>
      </c>
      <c r="D57" s="12">
        <f t="shared" si="2"/>
        <v>0.12022094700000001</v>
      </c>
      <c r="E57" s="12">
        <f t="shared" si="1"/>
        <v>5.3670065625000011E-3</v>
      </c>
      <c r="F57" s="12">
        <f>E57/Calculation!K$18*1000</f>
        <v>6.8547341257792146E-3</v>
      </c>
      <c r="G57" s="12">
        <f t="shared" si="3"/>
        <v>51.904161513546406</v>
      </c>
    </row>
    <row r="58" spans="1:7">
      <c r="A58" s="35">
        <v>26.5</v>
      </c>
      <c r="B58" s="75">
        <v>1536.44</v>
      </c>
      <c r="C58" s="36">
        <f t="shared" si="0"/>
        <v>1.53644</v>
      </c>
      <c r="D58" s="12">
        <f t="shared" si="2"/>
        <v>0.106475292</v>
      </c>
      <c r="E58" s="12">
        <f t="shared" si="1"/>
        <v>4.7533612500000001E-3</v>
      </c>
      <c r="F58" s="12">
        <f>E58/Calculation!K$18*1000</f>
        <v>6.0709870936610285E-3</v>
      </c>
      <c r="G58" s="12">
        <f t="shared" si="3"/>
        <v>52.098047331838011</v>
      </c>
    </row>
    <row r="59" spans="1:7">
      <c r="A59" s="35">
        <v>27</v>
      </c>
      <c r="B59" s="75">
        <v>1330.17</v>
      </c>
      <c r="C59" s="36">
        <f t="shared" si="0"/>
        <v>1.3301700000000001</v>
      </c>
      <c r="D59" s="12">
        <f t="shared" si="2"/>
        <v>9.2180781000000003E-2</v>
      </c>
      <c r="E59" s="12">
        <f t="shared" si="1"/>
        <v>4.1152134375000001E-3</v>
      </c>
      <c r="F59" s="12">
        <f>E59/Calculation!K$18*1000</f>
        <v>5.2559454989294018E-3</v>
      </c>
      <c r="G59" s="12">
        <f t="shared" si="3"/>
        <v>52.267951320726866</v>
      </c>
    </row>
    <row r="60" spans="1:7">
      <c r="A60" s="35">
        <v>27.5</v>
      </c>
      <c r="B60" s="75">
        <v>1168.46</v>
      </c>
      <c r="C60" s="36">
        <f t="shared" si="0"/>
        <v>1.1684600000000001</v>
      </c>
      <c r="D60" s="12">
        <f t="shared" si="2"/>
        <v>8.0974277999999997E-2</v>
      </c>
      <c r="E60" s="12">
        <f t="shared" si="1"/>
        <v>3.6149231250000003E-3</v>
      </c>
      <c r="F60" s="12">
        <f>E60/Calculation!K$18*1000</f>
        <v>4.6169753322350144E-3</v>
      </c>
      <c r="G60" s="12">
        <f t="shared" si="3"/>
        <v>52.416045133194331</v>
      </c>
    </row>
    <row r="61" spans="1:7">
      <c r="A61" s="35">
        <v>28</v>
      </c>
      <c r="B61" s="75">
        <v>1006.75</v>
      </c>
      <c r="C61" s="36">
        <f t="shared" si="0"/>
        <v>1.00675</v>
      </c>
      <c r="D61" s="12">
        <f t="shared" si="2"/>
        <v>6.9767775000000004E-2</v>
      </c>
      <c r="E61" s="12">
        <f t="shared" si="1"/>
        <v>3.1146328125000004E-3</v>
      </c>
      <c r="F61" s="12">
        <f>E61/Calculation!K$18*1000</f>
        <v>3.9780051655406269E-3</v>
      </c>
      <c r="G61" s="12">
        <f t="shared" si="3"/>
        <v>52.544969840660968</v>
      </c>
    </row>
    <row r="62" spans="1:7">
      <c r="A62" s="35">
        <v>28.5</v>
      </c>
      <c r="B62" s="75">
        <v>920.21</v>
      </c>
      <c r="C62" s="36">
        <f t="shared" si="0"/>
        <v>0.92021000000000008</v>
      </c>
      <c r="D62" s="12">
        <f t="shared" si="2"/>
        <v>6.3770553000000008E-2</v>
      </c>
      <c r="E62" s="12">
        <f t="shared" si="1"/>
        <v>2.8468996875000005E-3</v>
      </c>
      <c r="F62" s="12">
        <f>E62/Calculation!K$18*1000</f>
        <v>3.6360567503174973E-3</v>
      </c>
      <c r="G62" s="12">
        <f t="shared" si="3"/>
        <v>52.659180769398837</v>
      </c>
    </row>
    <row r="63" spans="1:7">
      <c r="A63" s="35">
        <v>29</v>
      </c>
      <c r="B63" s="75">
        <v>802.54</v>
      </c>
      <c r="C63" s="36">
        <f t="shared" si="0"/>
        <v>0.80253999999999992</v>
      </c>
      <c r="D63" s="12">
        <f t="shared" si="2"/>
        <v>5.5616021999999994E-2</v>
      </c>
      <c r="E63" s="12">
        <f t="shared" si="1"/>
        <v>2.482858125E-3</v>
      </c>
      <c r="F63" s="12">
        <f>E63/Calculation!K$18*1000</f>
        <v>3.1711033181554254E-3</v>
      </c>
      <c r="G63" s="12">
        <f t="shared" si="3"/>
        <v>52.761288170425928</v>
      </c>
    </row>
    <row r="64" spans="1:7">
      <c r="A64" s="35">
        <v>29.5</v>
      </c>
      <c r="B64" s="75">
        <v>701.21</v>
      </c>
      <c r="C64" s="36">
        <f t="shared" si="0"/>
        <v>0.70121</v>
      </c>
      <c r="D64" s="12">
        <f t="shared" si="2"/>
        <v>4.8593852999999992E-2</v>
      </c>
      <c r="E64" s="12">
        <f t="shared" si="1"/>
        <v>2.1693684374999998E-3</v>
      </c>
      <c r="F64" s="12">
        <f>E64/Calculation!K$18*1000</f>
        <v>2.7707146780518925E-3</v>
      </c>
      <c r="G64" s="12">
        <f t="shared" si="3"/>
        <v>52.850415440369041</v>
      </c>
    </row>
    <row r="65" spans="1:7">
      <c r="A65" s="35">
        <v>30</v>
      </c>
      <c r="B65" s="75">
        <v>408.75</v>
      </c>
      <c r="C65" s="36">
        <f t="shared" si="0"/>
        <v>0.40875</v>
      </c>
      <c r="D65" s="12">
        <f t="shared" si="2"/>
        <v>2.8326374999999997E-2</v>
      </c>
      <c r="E65" s="12">
        <f t="shared" si="1"/>
        <v>1.2645703125000001E-3</v>
      </c>
      <c r="F65" s="12">
        <f>E65/Calculation!K$19*1000</f>
        <v>1.7271238335480371E-3</v>
      </c>
      <c r="G65" s="12">
        <f t="shared" si="3"/>
        <v>52.917883018043042</v>
      </c>
    </row>
    <row r="66" spans="1:7">
      <c r="A66" s="35">
        <v>30.5</v>
      </c>
      <c r="B66" s="75">
        <v>619.66999999999996</v>
      </c>
      <c r="C66" s="36">
        <f t="shared" si="0"/>
        <v>0.61966999999999994</v>
      </c>
      <c r="D66" s="12">
        <f t="shared" si="2"/>
        <v>4.2943130999999989E-2</v>
      </c>
      <c r="E66" s="12">
        <f t="shared" si="1"/>
        <v>1.9171040624999995E-3</v>
      </c>
      <c r="F66" s="12">
        <f>E66/Calculation!K$19*1000</f>
        <v>2.6183408585558699E-3</v>
      </c>
      <c r="G66" s="12">
        <f t="shared" si="3"/>
        <v>52.983064988424601</v>
      </c>
    </row>
    <row r="67" spans="1:7">
      <c r="A67" s="35">
        <v>31</v>
      </c>
      <c r="B67" s="75">
        <v>538.98</v>
      </c>
      <c r="C67" s="36">
        <f t="shared" si="0"/>
        <v>0.53898000000000001</v>
      </c>
      <c r="D67" s="12">
        <f t="shared" si="2"/>
        <v>3.7351313999999997E-2</v>
      </c>
      <c r="E67" s="12">
        <f t="shared" si="1"/>
        <v>1.667469375E-3</v>
      </c>
      <c r="F67" s="12">
        <f>E67/Calculation!K$19*1000</f>
        <v>2.2773949940201126E-3</v>
      </c>
      <c r="G67" s="12">
        <f t="shared" si="3"/>
        <v>53.05650102621324</v>
      </c>
    </row>
    <row r="68" spans="1:7">
      <c r="A68" s="35">
        <v>31.5</v>
      </c>
      <c r="B68" s="75">
        <v>449.87</v>
      </c>
      <c r="C68" s="36">
        <f t="shared" si="0"/>
        <v>0.44986999999999999</v>
      </c>
      <c r="D68" s="12">
        <f t="shared" si="2"/>
        <v>3.1175991E-2</v>
      </c>
      <c r="E68" s="12">
        <f t="shared" si="1"/>
        <v>1.3917853125E-3</v>
      </c>
      <c r="F68" s="12">
        <f>E68/Calculation!K$19*1000</f>
        <v>1.9008714348581173E-3</v>
      </c>
      <c r="G68" s="12">
        <f t="shared" si="3"/>
        <v>53.119175022646417</v>
      </c>
    </row>
    <row r="69" spans="1:7">
      <c r="A69" s="35">
        <v>32</v>
      </c>
      <c r="B69" s="75">
        <v>396.71</v>
      </c>
      <c r="C69" s="36">
        <f t="shared" si="0"/>
        <v>0.39671000000000001</v>
      </c>
      <c r="D69" s="12">
        <f t="shared" si="2"/>
        <v>2.7492002999999997E-2</v>
      </c>
      <c r="E69" s="12">
        <f t="shared" si="1"/>
        <v>1.2273215624999999E-3</v>
      </c>
      <c r="F69" s="12">
        <f>E69/Calculation!K$19*1000</f>
        <v>1.6762502654601632E-3</v>
      </c>
      <c r="G69" s="12">
        <f t="shared" si="3"/>
        <v>53.172831848151191</v>
      </c>
    </row>
    <row r="70" spans="1:7">
      <c r="A70" s="35">
        <v>32.5</v>
      </c>
      <c r="B70" s="75">
        <v>326.69</v>
      </c>
      <c r="C70" s="36">
        <f t="shared" ref="C70:C101" si="4">B70/1000</f>
        <v>0.32668999999999998</v>
      </c>
      <c r="D70" s="12">
        <f t="shared" ref="D70:D101" si="5">C70/1000*$B$1</f>
        <v>2.2639616999999997E-2</v>
      </c>
      <c r="E70" s="12">
        <f t="shared" ref="E70:E101" si="6">D70/22.4</f>
        <v>1.0106971875E-3</v>
      </c>
      <c r="F70" s="12">
        <f>E70/Calculation!K$19*1000</f>
        <v>1.3803891992215491E-3</v>
      </c>
      <c r="G70" s="12">
        <f t="shared" si="3"/>
        <v>53.218681440121415</v>
      </c>
    </row>
    <row r="71" spans="1:7">
      <c r="A71" s="35">
        <v>33</v>
      </c>
      <c r="B71" s="75">
        <v>296.93</v>
      </c>
      <c r="C71" s="36">
        <f t="shared" si="4"/>
        <v>0.29693000000000003</v>
      </c>
      <c r="D71" s="12">
        <f t="shared" si="5"/>
        <v>2.0577249000000002E-2</v>
      </c>
      <c r="E71" s="12">
        <f t="shared" si="6"/>
        <v>9.1862718750000021E-4</v>
      </c>
      <c r="F71" s="12">
        <f>E71/Calculation!K$19*1000</f>
        <v>1.2546419080010245E-3</v>
      </c>
      <c r="G71" s="12">
        <f t="shared" ref="G71:G101" si="7">G70+(F71+F70)/2*30</f>
        <v>53.258206906729754</v>
      </c>
    </row>
    <row r="72" spans="1:7">
      <c r="A72" s="35">
        <v>33.5</v>
      </c>
      <c r="B72" s="75">
        <v>258.74</v>
      </c>
      <c r="C72" s="36">
        <f t="shared" si="4"/>
        <v>0.25874000000000003</v>
      </c>
      <c r="D72" s="12">
        <f t="shared" si="5"/>
        <v>1.7930682E-2</v>
      </c>
      <c r="E72" s="12">
        <f t="shared" si="6"/>
        <v>8.0047687500000003E-4</v>
      </c>
      <c r="F72" s="12">
        <f>E72/Calculation!K$19*1000</f>
        <v>1.0932746683601691E-3</v>
      </c>
      <c r="G72" s="12">
        <f t="shared" si="7"/>
        <v>53.293425655375174</v>
      </c>
    </row>
    <row r="73" spans="1:7">
      <c r="A73" s="35">
        <v>34</v>
      </c>
      <c r="B73" s="75">
        <v>227.43</v>
      </c>
      <c r="C73" s="36">
        <f t="shared" si="4"/>
        <v>0.22742999999999999</v>
      </c>
      <c r="D73" s="12">
        <f t="shared" si="5"/>
        <v>1.5760898999999998E-2</v>
      </c>
      <c r="E73" s="12">
        <f t="shared" si="6"/>
        <v>7.0361156249999996E-4</v>
      </c>
      <c r="F73" s="12">
        <f>E73/Calculation!K$19*1000</f>
        <v>9.609780390552416E-4</v>
      </c>
      <c r="G73" s="12">
        <f t="shared" si="7"/>
        <v>53.324239445986407</v>
      </c>
    </row>
    <row r="74" spans="1:7">
      <c r="A74" s="35">
        <v>34.5</v>
      </c>
      <c r="B74" s="75">
        <v>206.61</v>
      </c>
      <c r="C74" s="36">
        <f t="shared" si="4"/>
        <v>0.20661000000000002</v>
      </c>
      <c r="D74" s="12">
        <f t="shared" si="5"/>
        <v>1.4318073000000001E-2</v>
      </c>
      <c r="E74" s="12">
        <f t="shared" si="6"/>
        <v>6.3919968750000009E-4</v>
      </c>
      <c r="F74" s="12">
        <f>E74/Calculation!K$19*1000</f>
        <v>8.7300563975378591E-4</v>
      </c>
      <c r="G74" s="12">
        <f t="shared" si="7"/>
        <v>53.351749201168545</v>
      </c>
    </row>
    <row r="75" spans="1:7">
      <c r="A75" s="35">
        <v>35</v>
      </c>
      <c r="B75" s="75">
        <v>196.12</v>
      </c>
      <c r="C75" s="36">
        <f t="shared" si="4"/>
        <v>0.19612000000000002</v>
      </c>
      <c r="D75" s="12">
        <f t="shared" si="5"/>
        <v>1.3591116E-2</v>
      </c>
      <c r="E75" s="12">
        <f t="shared" si="6"/>
        <v>6.0674625E-4</v>
      </c>
      <c r="F75" s="12">
        <f>E75/Calculation!K$19*1000</f>
        <v>8.2868140975031436E-4</v>
      </c>
      <c r="G75" s="12">
        <f t="shared" si="7"/>
        <v>53.377274506911107</v>
      </c>
    </row>
    <row r="76" spans="1:7">
      <c r="A76" s="35">
        <v>35.5</v>
      </c>
      <c r="B76" s="75">
        <v>171.86</v>
      </c>
      <c r="C76" s="36">
        <f t="shared" si="4"/>
        <v>0.17186000000000001</v>
      </c>
      <c r="D76" s="12">
        <f t="shared" si="5"/>
        <v>1.1909898000000002E-2</v>
      </c>
      <c r="E76" s="12">
        <f t="shared" si="6"/>
        <v>5.3169187500000012E-4</v>
      </c>
      <c r="F76" s="12">
        <f>E76/Calculation!K$19*1000</f>
        <v>7.2617370528089465E-4</v>
      </c>
      <c r="G76" s="12">
        <f t="shared" si="7"/>
        <v>53.400597333636576</v>
      </c>
    </row>
    <row r="77" spans="1:7">
      <c r="A77" s="35">
        <v>36</v>
      </c>
      <c r="B77" s="75">
        <v>192.85</v>
      </c>
      <c r="C77" s="36">
        <f t="shared" si="4"/>
        <v>0.19284999999999999</v>
      </c>
      <c r="D77" s="12">
        <f t="shared" si="5"/>
        <v>1.3364504999999999E-2</v>
      </c>
      <c r="E77" s="12">
        <f t="shared" si="6"/>
        <v>5.9662968749999996E-4</v>
      </c>
      <c r="F77" s="12">
        <f>E77/Calculation!K$19*1000</f>
        <v>8.1486441908193007E-4</v>
      </c>
      <c r="G77" s="12">
        <f t="shared" si="7"/>
        <v>53.423712905502015</v>
      </c>
    </row>
    <row r="78" spans="1:7">
      <c r="A78" s="35">
        <v>36.5</v>
      </c>
      <c r="B78" s="75">
        <v>162.74</v>
      </c>
      <c r="C78" s="36">
        <f t="shared" si="4"/>
        <v>0.16274</v>
      </c>
      <c r="D78" s="12">
        <f t="shared" si="5"/>
        <v>1.1277881999999999E-2</v>
      </c>
      <c r="E78" s="12">
        <f t="shared" si="6"/>
        <v>5.0347687499999996E-4</v>
      </c>
      <c r="F78" s="12">
        <f>E78/Calculation!K$19*1000</f>
        <v>6.8763824506815291E-4</v>
      </c>
      <c r="G78" s="12">
        <f t="shared" si="7"/>
        <v>53.446250445464266</v>
      </c>
    </row>
    <row r="79" spans="1:7">
      <c r="A79" s="35">
        <v>37</v>
      </c>
      <c r="B79" s="75">
        <v>0</v>
      </c>
      <c r="C79" s="36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53.456565019140285</v>
      </c>
    </row>
    <row r="80" spans="1:7">
      <c r="A80" s="35">
        <v>37.5</v>
      </c>
      <c r="B80" s="75">
        <v>0</v>
      </c>
      <c r="C80" s="36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53.456565019140285</v>
      </c>
    </row>
    <row r="81" spans="1:7">
      <c r="A81" s="35">
        <v>38</v>
      </c>
      <c r="B81" s="75">
        <v>0</v>
      </c>
      <c r="C81" s="36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53.456565019140285</v>
      </c>
    </row>
    <row r="82" spans="1:7">
      <c r="A82" s="35">
        <v>38.5</v>
      </c>
      <c r="B82" s="75">
        <v>0</v>
      </c>
      <c r="C82" s="36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53.456565019140285</v>
      </c>
    </row>
    <row r="83" spans="1:7">
      <c r="A83" s="35">
        <v>39</v>
      </c>
      <c r="B83" s="75">
        <v>0</v>
      </c>
      <c r="C83" s="36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53.456565019140285</v>
      </c>
    </row>
    <row r="84" spans="1:7">
      <c r="A84" s="35">
        <v>39.5</v>
      </c>
      <c r="B84" s="75">
        <v>0</v>
      </c>
      <c r="C84" s="36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53.456565019140285</v>
      </c>
    </row>
    <row r="85" spans="1:7">
      <c r="A85" s="35">
        <v>40</v>
      </c>
      <c r="B85" s="75">
        <v>0</v>
      </c>
      <c r="C85" s="36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53.456565019140285</v>
      </c>
    </row>
    <row r="86" spans="1:7">
      <c r="A86" s="35">
        <v>40.5</v>
      </c>
      <c r="B86" s="75">
        <v>0</v>
      </c>
      <c r="C86" s="36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53.456565019140285</v>
      </c>
    </row>
    <row r="87" spans="1:7">
      <c r="A87" s="35">
        <v>41</v>
      </c>
      <c r="B87" s="75">
        <v>0</v>
      </c>
      <c r="C87" s="36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E87/Calculation!K$19*1000</f>
        <v>0</v>
      </c>
      <c r="G87" s="12">
        <f t="shared" si="7"/>
        <v>53.456565019140285</v>
      </c>
    </row>
    <row r="88" spans="1:7">
      <c r="A88" s="35">
        <v>41.5</v>
      </c>
      <c r="B88" s="75">
        <v>0</v>
      </c>
      <c r="C88" s="36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53.456565019140285</v>
      </c>
    </row>
    <row r="89" spans="1:7">
      <c r="A89" s="35">
        <v>42</v>
      </c>
      <c r="B89" s="75">
        <v>0</v>
      </c>
      <c r="C89" s="36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53.456565019140285</v>
      </c>
    </row>
    <row r="90" spans="1:7">
      <c r="A90" s="35">
        <v>42.5</v>
      </c>
      <c r="B90" s="75">
        <v>0</v>
      </c>
      <c r="C90" s="36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E90/Calculation!K$19*1000</f>
        <v>0</v>
      </c>
      <c r="G90" s="12">
        <f t="shared" si="7"/>
        <v>53.456565019140285</v>
      </c>
    </row>
    <row r="91" spans="1:7">
      <c r="A91" s="35">
        <v>43</v>
      </c>
      <c r="B91" s="75">
        <v>0</v>
      </c>
      <c r="C91" s="36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53.456565019140285</v>
      </c>
    </row>
    <row r="92" spans="1:7">
      <c r="A92" s="35">
        <v>43.5</v>
      </c>
      <c r="B92" s="75">
        <v>0</v>
      </c>
      <c r="C92" s="36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53.456565019140285</v>
      </c>
    </row>
    <row r="93" spans="1:7">
      <c r="A93" s="35">
        <v>44</v>
      </c>
      <c r="B93" s="75">
        <v>0</v>
      </c>
      <c r="C93" s="36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53.456565019140285</v>
      </c>
    </row>
    <row r="94" spans="1:7">
      <c r="A94" s="35">
        <v>44.5</v>
      </c>
      <c r="B94" s="75">
        <v>0</v>
      </c>
      <c r="C94" s="36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53.456565019140285</v>
      </c>
    </row>
    <row r="95" spans="1:7">
      <c r="A95" s="35">
        <v>45</v>
      </c>
      <c r="B95" s="75">
        <v>0</v>
      </c>
      <c r="C95" s="36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53.456565019140285</v>
      </c>
    </row>
    <row r="96" spans="1:7">
      <c r="A96" s="35">
        <v>45.5</v>
      </c>
      <c r="B96" s="75">
        <v>0</v>
      </c>
      <c r="C96" s="36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53.456565019140285</v>
      </c>
    </row>
    <row r="97" spans="1:7">
      <c r="A97" s="35">
        <v>46</v>
      </c>
      <c r="B97" s="75">
        <v>0</v>
      </c>
      <c r="C97" s="36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53.456565019140285</v>
      </c>
    </row>
    <row r="98" spans="1:7">
      <c r="A98" s="35">
        <v>46.5</v>
      </c>
      <c r="B98" s="75">
        <v>0</v>
      </c>
      <c r="C98" s="36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53.456565019140285</v>
      </c>
    </row>
    <row r="99" spans="1:7">
      <c r="A99" s="35">
        <v>47</v>
      </c>
      <c r="B99" s="75">
        <v>0</v>
      </c>
      <c r="C99" s="36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53.456565019140285</v>
      </c>
    </row>
    <row r="100" spans="1:7">
      <c r="A100" s="35">
        <v>47.5</v>
      </c>
      <c r="B100" s="75">
        <v>0</v>
      </c>
      <c r="C100" s="36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53.456565019140285</v>
      </c>
    </row>
    <row r="101" spans="1:7">
      <c r="A101" s="35">
        <v>48</v>
      </c>
      <c r="B101" s="75">
        <v>0</v>
      </c>
      <c r="C101" s="36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53.456565019140285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J3" sqref="J3:K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30" t="s">
        <v>41</v>
      </c>
      <c r="B1" s="130"/>
      <c r="D1" s="158" t="s">
        <v>4</v>
      </c>
      <c r="E1" s="158" t="s">
        <v>5</v>
      </c>
      <c r="F1" s="130" t="s">
        <v>142</v>
      </c>
      <c r="G1" s="130"/>
      <c r="H1" s="130"/>
      <c r="I1" s="130"/>
      <c r="J1" s="130" t="s">
        <v>42</v>
      </c>
      <c r="K1" s="130"/>
      <c r="L1" s="130"/>
      <c r="M1" s="130"/>
      <c r="N1" s="156" t="s">
        <v>43</v>
      </c>
      <c r="O1" s="128"/>
      <c r="P1" s="128"/>
      <c r="Q1" s="157"/>
      <c r="R1" s="130" t="s">
        <v>65</v>
      </c>
      <c r="S1" s="130"/>
      <c r="T1" s="130"/>
      <c r="U1" s="130"/>
    </row>
    <row r="2" spans="1:21">
      <c r="A2" s="130" t="s">
        <v>34</v>
      </c>
      <c r="B2" s="130"/>
      <c r="D2" s="158"/>
      <c r="E2" s="158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30" t="s">
        <v>35</v>
      </c>
      <c r="B3" s="14" t="s">
        <v>38</v>
      </c>
      <c r="D3" s="16">
        <v>0</v>
      </c>
      <c r="E3" s="62">
        <v>-0.16666666666666666</v>
      </c>
      <c r="F3" s="52">
        <v>52.240600947306106</v>
      </c>
      <c r="G3" s="52">
        <v>0.16664195158670508</v>
      </c>
      <c r="H3" s="13">
        <f>F3*Calculation!I3/Calculation!F22</f>
        <v>52.240600947306106</v>
      </c>
      <c r="I3" s="13">
        <f>G3*Calculation!I3/Calculation!F22</f>
        <v>0.16664195158670508</v>
      </c>
      <c r="J3" s="13">
        <v>2.053730017761989</v>
      </c>
      <c r="K3" s="13">
        <v>2.2202486678508014E-2</v>
      </c>
      <c r="L3" s="13">
        <f>J3*Calculation!I3/Calculation!F22</f>
        <v>2.053730017761989</v>
      </c>
      <c r="M3" s="13">
        <f>K3*Calculation!I3/Calculation!F22</f>
        <v>2.2202486678508014E-2</v>
      </c>
      <c r="N3" s="13">
        <v>1.4876491812378574</v>
      </c>
      <c r="O3" s="13">
        <v>0.13356879728577259</v>
      </c>
      <c r="P3" s="13">
        <f>N3*Calculation!I3/Calculation!F22</f>
        <v>1.4876491812378574</v>
      </c>
      <c r="Q3" s="13">
        <f>O3*Calculation!I3/Calculation!F22</f>
        <v>0.13356879728577259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130"/>
      <c r="B4" s="14" t="s">
        <v>39</v>
      </c>
      <c r="D4" s="16">
        <v>0</v>
      </c>
      <c r="E4" s="64">
        <v>0.16666666666666666</v>
      </c>
      <c r="F4" s="52">
        <v>51.520870337477788</v>
      </c>
      <c r="G4" s="52">
        <v>0.56746793601829615</v>
      </c>
      <c r="H4" s="13">
        <f>F4*Calculation!I4/Calculation!K3</f>
        <v>51.520870337477795</v>
      </c>
      <c r="I4" s="13">
        <f>G4*Calculation!I4/Calculation!K3</f>
        <v>0.56746793601829615</v>
      </c>
      <c r="J4" s="13">
        <v>2.068531675547661</v>
      </c>
      <c r="K4" s="13">
        <v>1.6957429303418606E-2</v>
      </c>
      <c r="L4" s="13">
        <f>J4*Calculation!I4/Calculation!K3</f>
        <v>2.068531675547661</v>
      </c>
      <c r="M4" s="13">
        <f>K4*Calculation!I4/Calculation!K3</f>
        <v>1.6957429303418606E-2</v>
      </c>
      <c r="N4" s="13">
        <v>1.6486261448792676</v>
      </c>
      <c r="O4" s="13">
        <v>0.20799327221975994</v>
      </c>
      <c r="P4" s="13">
        <f>N4*Calculation!I4/Calculation!K3</f>
        <v>1.6486261448792676</v>
      </c>
      <c r="Q4" s="13">
        <f>O4*Calculation!I4/Calculation!K3</f>
        <v>0.20799327221975994</v>
      </c>
      <c r="R4" s="13">
        <v>6.4161054384821501</v>
      </c>
      <c r="S4" s="13">
        <v>0.62412807376103252</v>
      </c>
      <c r="T4" s="13">
        <f>R4*Calculation!I4/Calculation!K3</f>
        <v>6.4161054384821501</v>
      </c>
      <c r="U4" s="13">
        <f>S4*Calculation!I4/Calculation!K3</f>
        <v>0.62412807376103252</v>
      </c>
    </row>
    <row r="5" spans="1:21">
      <c r="A5" s="15" t="s">
        <v>37</v>
      </c>
      <c r="B5" s="15">
        <v>180.16</v>
      </c>
      <c r="D5" s="16">
        <v>1</v>
      </c>
      <c r="E5" s="64">
        <v>2</v>
      </c>
      <c r="F5" s="52">
        <v>51.903863232682063</v>
      </c>
      <c r="G5" s="52">
        <v>0.36701321613713661</v>
      </c>
      <c r="H5" s="13">
        <f>F5*Calculation!I5/Calculation!K4</f>
        <v>51.903863232682063</v>
      </c>
      <c r="I5" s="13">
        <f>G5*Calculation!I5/Calculation!K4</f>
        <v>0.36701321613713661</v>
      </c>
      <c r="J5" s="13">
        <v>2.0574304322084074</v>
      </c>
      <c r="K5" s="13">
        <v>3.3914858606837212E-2</v>
      </c>
      <c r="L5" s="13">
        <f>J5*Calculation!I5/Calculation!K4</f>
        <v>2.0574304322084074</v>
      </c>
      <c r="M5" s="13">
        <f>K5*Calculation!I5/Calculation!K4</f>
        <v>3.3914858606837212E-2</v>
      </c>
      <c r="N5" s="13">
        <v>1.6930335831251737</v>
      </c>
      <c r="O5" s="13">
        <v>0.1856866909095502</v>
      </c>
      <c r="P5" s="13">
        <f>N5*Calculation!I5/Calculation!K4</f>
        <v>1.6930335831251737</v>
      </c>
      <c r="Q5" s="13">
        <f>O5*Calculation!I5/Calculation!K4</f>
        <v>0.1856866909095502</v>
      </c>
      <c r="R5" s="13">
        <v>6.0395394308059958</v>
      </c>
      <c r="S5" s="13">
        <v>0.71791056449525548</v>
      </c>
      <c r="T5" s="13">
        <f>R5*Calculation!I5/Calculation!K4</f>
        <v>6.0395394308059949</v>
      </c>
      <c r="U5" s="13">
        <f>S5*Calculation!I5/Calculation!K4</f>
        <v>0.71791056449525548</v>
      </c>
    </row>
    <row r="6" spans="1:21">
      <c r="A6" s="15" t="s">
        <v>40</v>
      </c>
      <c r="B6" s="15">
        <v>180.16</v>
      </c>
      <c r="D6" s="16">
        <v>2</v>
      </c>
      <c r="E6" s="64">
        <v>3.3333333333333335</v>
      </c>
      <c r="F6" s="52">
        <v>51.204484902309062</v>
      </c>
      <c r="G6" s="52">
        <v>0.25814866683466881</v>
      </c>
      <c r="H6" s="13">
        <f>F6*Calculation!I6/Calculation!K5</f>
        <v>51.204484902309055</v>
      </c>
      <c r="I6" s="13">
        <f>G6*Calculation!I6/Calculation!K5</f>
        <v>0.25814866683466881</v>
      </c>
      <c r="J6" s="13">
        <v>2.0500296033155716</v>
      </c>
      <c r="K6" s="13">
        <v>2.3109080811124939E-2</v>
      </c>
      <c r="L6" s="13">
        <f>J6*Calculation!I6/Calculation!K5</f>
        <v>2.0500296033155716</v>
      </c>
      <c r="M6" s="13">
        <f>K6*Calculation!I6/Calculation!K5</f>
        <v>2.3109080811124939E-2</v>
      </c>
      <c r="N6" s="13">
        <v>1.8762142658895369</v>
      </c>
      <c r="O6" s="13">
        <v>6.7301446866401063E-2</v>
      </c>
      <c r="P6" s="13">
        <f>N6*Calculation!I6/Calculation!K5</f>
        <v>1.8762142658895369</v>
      </c>
      <c r="Q6" s="13">
        <f>O6*Calculation!I6/Calculation!K5</f>
        <v>6.7301446866401063E-2</v>
      </c>
      <c r="R6" s="13">
        <v>6.6333550582953151</v>
      </c>
      <c r="S6" s="13">
        <v>0.78250084201550296</v>
      </c>
      <c r="T6" s="13">
        <f>R6*Calculation!I6/Calculation!K5</f>
        <v>6.633355058295316</v>
      </c>
      <c r="U6" s="13">
        <f>S6*Calculation!I6/Calculation!K5</f>
        <v>0.78250084201550296</v>
      </c>
    </row>
    <row r="7" spans="1:21">
      <c r="A7" s="32" t="s">
        <v>116</v>
      </c>
      <c r="B7" s="32">
        <v>46.03</v>
      </c>
      <c r="D7" s="16">
        <v>3</v>
      </c>
      <c r="E7" s="64">
        <v>4.666666666666667</v>
      </c>
      <c r="F7" s="52">
        <v>51.391355831853176</v>
      </c>
      <c r="G7" s="52">
        <v>0.33819338552501599</v>
      </c>
      <c r="H7" s="13">
        <f>F7*Calculation!I7/Calculation!K6</f>
        <v>51.391355831853168</v>
      </c>
      <c r="I7" s="13">
        <f>G7*Calculation!I7/Calculation!K6</f>
        <v>0.33819338552501599</v>
      </c>
      <c r="J7" s="13">
        <v>2.0241267021906451</v>
      </c>
      <c r="K7" s="13">
        <v>2.7937516412339981E-2</v>
      </c>
      <c r="L7" s="13">
        <f>J7*Calculation!I7/Calculation!K6</f>
        <v>2.0241267021906451</v>
      </c>
      <c r="M7" s="13">
        <f>K7*Calculation!I7/Calculation!K6</f>
        <v>2.7937516412339981E-2</v>
      </c>
      <c r="N7" s="13">
        <v>1.9927837912850401</v>
      </c>
      <c r="O7" s="13">
        <v>0.1856866909095502</v>
      </c>
      <c r="P7" s="13">
        <f>N7*Calculation!I7/Calculation!K6</f>
        <v>1.9927837912850401</v>
      </c>
      <c r="Q7" s="13">
        <f>O7*Calculation!I7/Calculation!K6</f>
        <v>0.1856866909095502</v>
      </c>
      <c r="R7" s="13">
        <v>6.8650879860960243</v>
      </c>
      <c r="S7" s="13">
        <v>0.56484901151422973</v>
      </c>
      <c r="T7" s="13">
        <f>R7*Calculation!I7/Calculation!K6</f>
        <v>6.8650879860960252</v>
      </c>
      <c r="U7" s="13">
        <f>S7*Calculation!I7/Calculation!K6</f>
        <v>0.56484901151422973</v>
      </c>
    </row>
    <row r="8" spans="1:21">
      <c r="A8" s="15" t="s">
        <v>43</v>
      </c>
      <c r="B8" s="15">
        <v>60.05</v>
      </c>
      <c r="D8" s="16">
        <v>4</v>
      </c>
      <c r="E8" s="64">
        <v>6</v>
      </c>
      <c r="F8" s="52">
        <v>50.78263765541741</v>
      </c>
      <c r="G8" s="52">
        <v>0.83327754591072378</v>
      </c>
      <c r="H8" s="13">
        <f>F8*Calculation!I8/Calculation!K7</f>
        <v>50.820917949142292</v>
      </c>
      <c r="I8" s="13">
        <f>G8*Calculation!I8/Calculation!K7</f>
        <v>0.8339056761277529</v>
      </c>
      <c r="J8" s="13">
        <v>2.0796329188869156</v>
      </c>
      <c r="K8" s="13">
        <v>6.4093058302578405E-3</v>
      </c>
      <c r="L8" s="13">
        <f>J8*Calculation!I8/Calculation!K7</f>
        <v>2.0812005601645325</v>
      </c>
      <c r="M8" s="13">
        <f>K8*Calculation!I8/Calculation!K7</f>
        <v>6.4141372080885797E-3</v>
      </c>
      <c r="N8" s="13">
        <v>2.0316402997502081</v>
      </c>
      <c r="O8" s="13">
        <v>0.3190215497197017</v>
      </c>
      <c r="P8" s="13">
        <f>N8*Calculation!I8/Calculation!K7</f>
        <v>2.0331717638688196</v>
      </c>
      <c r="Q8" s="13">
        <f>O8*Calculation!I8/Calculation!K7</f>
        <v>0.31926203030896727</v>
      </c>
      <c r="R8" s="13">
        <v>5.9960895068433633</v>
      </c>
      <c r="S8" s="13">
        <v>0.58455894186720425</v>
      </c>
      <c r="T8" s="13">
        <f>R8*Calculation!I8/Calculation!K7</f>
        <v>6.0006093994310641</v>
      </c>
      <c r="U8" s="13">
        <f>S8*Calculation!I8/Calculation!K7</f>
        <v>0.58499958632813231</v>
      </c>
    </row>
    <row r="9" spans="1:21">
      <c r="A9" s="32" t="s">
        <v>67</v>
      </c>
      <c r="B9" s="32">
        <v>74.08</v>
      </c>
      <c r="D9" s="16">
        <v>5</v>
      </c>
      <c r="E9" s="64">
        <v>7.333333333333333</v>
      </c>
      <c r="F9" s="52">
        <v>51.136027235050335</v>
      </c>
      <c r="G9" s="52">
        <v>0.27194269985918929</v>
      </c>
      <c r="H9" s="13">
        <f>F9*Calculation!I9/Calculation!K8</f>
        <v>51.174573916216509</v>
      </c>
      <c r="I9" s="13">
        <f>G9*Calculation!I9/Calculation!K8</f>
        <v>0.27214769209487388</v>
      </c>
      <c r="J9" s="13">
        <v>2.0833333333333335</v>
      </c>
      <c r="K9" s="13">
        <v>3.2046529151289201E-2</v>
      </c>
      <c r="L9" s="13">
        <f>J9*Calculation!I9/Calculation!K8</f>
        <v>2.0849037640082417</v>
      </c>
      <c r="M9" s="13">
        <f>K9*Calculation!I9/Calculation!K8</f>
        <v>3.2070686040442893E-2</v>
      </c>
      <c r="N9" s="13">
        <v>2.3369414376908133</v>
      </c>
      <c r="O9" s="13">
        <v>0.16763440322555084</v>
      </c>
      <c r="P9" s="13">
        <f>N9*Calculation!I9/Calculation!K8</f>
        <v>2.3387030398600359</v>
      </c>
      <c r="Q9" s="13">
        <f>O9*Calculation!I9/Calculation!K8</f>
        <v>0.1677607671658686</v>
      </c>
      <c r="R9" s="13">
        <v>6.6043884423202259</v>
      </c>
      <c r="S9" s="13">
        <v>0.85476061581169405</v>
      </c>
      <c r="T9" s="13">
        <f>R9*Calculation!I9/Calculation!K8</f>
        <v>6.609366874735664</v>
      </c>
      <c r="U9" s="13">
        <f>S9*Calculation!I9/Calculation!K8</f>
        <v>0.85540494011126567</v>
      </c>
    </row>
    <row r="10" spans="1:21">
      <c r="A10" s="32" t="s">
        <v>66</v>
      </c>
      <c r="B10" s="32">
        <v>88.11</v>
      </c>
      <c r="D10" s="16">
        <v>6</v>
      </c>
      <c r="E10" s="64">
        <v>8.6666666666666661</v>
      </c>
      <c r="F10" s="52">
        <v>49.337625814091183</v>
      </c>
      <c r="G10" s="52">
        <v>9.6990396847844357E-2</v>
      </c>
      <c r="H10" s="13">
        <f>F10*Calculation!I10/Calculation!K9</f>
        <v>49.495282406521724</v>
      </c>
      <c r="I10" s="13">
        <f>G10*Calculation!I10/Calculation!K9</f>
        <v>9.7300326140411772E-2</v>
      </c>
      <c r="J10" s="13">
        <v>2.1166370633510954</v>
      </c>
      <c r="K10" s="13">
        <v>1.6957429303418606E-2</v>
      </c>
      <c r="L10" s="13">
        <f>J10*Calculation!I10/Calculation!K9</f>
        <v>2.1234007002572883</v>
      </c>
      <c r="M10" s="13">
        <f>K10*Calculation!I10/Calculation!K9</f>
        <v>1.7011616153236483E-2</v>
      </c>
      <c r="N10" s="13">
        <v>3.0918678878712185</v>
      </c>
      <c r="O10" s="13">
        <v>0.10175022359047113</v>
      </c>
      <c r="P10" s="13">
        <f>N10*Calculation!I10/Calculation!K9</f>
        <v>3.1017478394782123</v>
      </c>
      <c r="Q10" s="13">
        <f>O10*Calculation!I10/Calculation!K9</f>
        <v>0.10207536273662229</v>
      </c>
      <c r="R10" s="13">
        <v>6.5319719023825042</v>
      </c>
      <c r="S10" s="13">
        <v>0.74289629101207399</v>
      </c>
      <c r="T10" s="13">
        <f>R10*Calculation!I10/Calculation!K9</f>
        <v>6.5528445814988867</v>
      </c>
      <c r="U10" s="13">
        <f>S10*Calculation!I10/Calculation!K9</f>
        <v>0.74527018914433474</v>
      </c>
    </row>
    <row r="11" spans="1:21">
      <c r="A11" s="15" t="s">
        <v>42</v>
      </c>
      <c r="B11" s="15">
        <v>90.08</v>
      </c>
      <c r="D11" s="16">
        <v>7</v>
      </c>
      <c r="E11" s="64">
        <v>10</v>
      </c>
      <c r="F11" s="52">
        <v>47.307948490230906</v>
      </c>
      <c r="G11" s="52">
        <v>0.27880480361621501</v>
      </c>
      <c r="H11" s="13">
        <f>F11*Calculation!I11/Calculation!K10</f>
        <v>47.620052246564491</v>
      </c>
      <c r="I11" s="13">
        <f>G11*Calculation!I11/Calculation!K10</f>
        <v>0.2806441568173042</v>
      </c>
      <c r="J11" s="13">
        <v>2.1536412078152756</v>
      </c>
      <c r="K11" s="13">
        <v>1.1101243339254007E-2</v>
      </c>
      <c r="L11" s="13">
        <f>J11*Calculation!I11/Calculation!K10</f>
        <v>2.1678493806954151</v>
      </c>
      <c r="M11" s="13">
        <f>K11*Calculation!I11/Calculation!K10</f>
        <v>1.117448134379081E-2</v>
      </c>
      <c r="N11" s="13">
        <v>4.0688315292811543</v>
      </c>
      <c r="O11" s="13">
        <v>0.23628972138543167</v>
      </c>
      <c r="P11" s="13">
        <f>N11*Calculation!I11/Calculation!K10</f>
        <v>4.0956747479094027</v>
      </c>
      <c r="Q11" s="13">
        <f>O11*Calculation!I11/Calculation!K10</f>
        <v>0.23784859070826098</v>
      </c>
      <c r="R11" s="13">
        <v>7.5023535375479753</v>
      </c>
      <c r="S11" s="13">
        <v>0.91279317874364452</v>
      </c>
      <c r="T11" s="13">
        <f>R11*Calculation!I11/Calculation!K10</f>
        <v>7.551848660357936</v>
      </c>
      <c r="U11" s="13">
        <f>S11*Calculation!I11/Calculation!K10</f>
        <v>0.91881513042266094</v>
      </c>
    </row>
    <row r="12" spans="1:21">
      <c r="A12" s="15" t="s">
        <v>44</v>
      </c>
      <c r="B12" s="15">
        <v>46.07</v>
      </c>
      <c r="D12" s="16">
        <v>8</v>
      </c>
      <c r="E12" s="64">
        <v>11.333333333333334</v>
      </c>
      <c r="F12" s="52">
        <v>43.935020722320907</v>
      </c>
      <c r="G12" s="52">
        <v>0.29670309777088671</v>
      </c>
      <c r="H12" s="13">
        <f>F12*Calculation!I12/Calculation!K11</f>
        <v>44.497240892511442</v>
      </c>
      <c r="I12" s="13">
        <f>G12*Calculation!I12/Calculation!K11</f>
        <v>0.30049989730306625</v>
      </c>
      <c r="J12" s="13">
        <v>2.1647424511545292</v>
      </c>
      <c r="K12" s="13">
        <v>1.1101243339254007E-2</v>
      </c>
      <c r="L12" s="13">
        <f>J12*Calculation!I12/Calculation!K11</f>
        <v>2.1924438576702765</v>
      </c>
      <c r="M12" s="13">
        <f>K12*Calculation!I12/Calculation!K11</f>
        <v>1.1243301834206555E-2</v>
      </c>
      <c r="N12" s="13">
        <v>6.6500138773244517</v>
      </c>
      <c r="O12" s="13">
        <v>0.14925705978072457</v>
      </c>
      <c r="P12" s="13">
        <f>N12*Calculation!I12/Calculation!K11</f>
        <v>6.7351116392558419</v>
      </c>
      <c r="Q12" s="13">
        <f>O12*Calculation!I12/Calculation!K11</f>
        <v>0.15116704703400075</v>
      </c>
      <c r="R12" s="13">
        <v>10.688681294807735</v>
      </c>
      <c r="S12" s="13">
        <v>0.68286915687602479</v>
      </c>
      <c r="T12" s="13">
        <f>R12*Calculation!I12/Calculation!K11</f>
        <v>10.825460386245062</v>
      </c>
      <c r="U12" s="13">
        <f>S12*Calculation!I12/Calculation!K11</f>
        <v>0.69160758028597802</v>
      </c>
    </row>
    <row r="13" spans="1:21">
      <c r="D13" s="16">
        <v>9</v>
      </c>
      <c r="E13" s="64">
        <v>12.666666666666666</v>
      </c>
      <c r="F13" s="52">
        <v>36.93198638247484</v>
      </c>
      <c r="G13" s="52">
        <v>0.28607698027288797</v>
      </c>
      <c r="H13" s="13">
        <f>F13*Calculation!I13/Calculation!K12</f>
        <v>37.678467147569116</v>
      </c>
      <c r="I13" s="13">
        <f>G13*Calculation!I13/Calculation!K12</f>
        <v>0.29185925693947151</v>
      </c>
      <c r="J13" s="13">
        <v>2.1758436944937838</v>
      </c>
      <c r="K13" s="13">
        <v>1.9227917490773523E-2</v>
      </c>
      <c r="L13" s="13">
        <f>J13*Calculation!I13/Calculation!K12</f>
        <v>2.2198225221953454</v>
      </c>
      <c r="M13" s="13">
        <f>K13*Calculation!I13/Calculation!K12</f>
        <v>1.9616558123612411E-2</v>
      </c>
      <c r="N13" s="13">
        <v>11.201776297529836</v>
      </c>
      <c r="O13" s="13">
        <v>0.17649861887965207</v>
      </c>
      <c r="P13" s="13">
        <f>N13*Calculation!I13/Calculation!K12</f>
        <v>11.42819007485547</v>
      </c>
      <c r="Q13" s="13">
        <f>O13*Calculation!I13/Calculation!K12</f>
        <v>0.18006606371446024</v>
      </c>
      <c r="R13" s="13">
        <v>10.485914982982113</v>
      </c>
      <c r="S13" s="13">
        <v>0.47860704299683687</v>
      </c>
      <c r="T13" s="13">
        <f>R13*Calculation!I13/Calculation!K12</f>
        <v>10.697859549357357</v>
      </c>
      <c r="U13" s="13">
        <f>S13*Calculation!I13/Calculation!K12</f>
        <v>0.4882807970141762</v>
      </c>
    </row>
    <row r="14" spans="1:21">
      <c r="D14" s="16">
        <v>10</v>
      </c>
      <c r="E14" s="64">
        <v>14</v>
      </c>
      <c r="F14" s="52">
        <v>27.210997631734759</v>
      </c>
      <c r="G14" s="52">
        <v>0.22487440207576073</v>
      </c>
      <c r="H14" s="13">
        <f>F14*Calculation!I14/Calculation!K13</f>
        <v>28.051935060021986</v>
      </c>
      <c r="I14" s="13">
        <f>G14*Calculation!I14/Calculation!K13</f>
        <v>0.23182399297016715</v>
      </c>
      <c r="J14" s="13">
        <v>2.3460627590290115</v>
      </c>
      <c r="K14" s="13">
        <v>1.6957429303418606E-2</v>
      </c>
      <c r="L14" s="13">
        <f>J14*Calculation!I14/Calculation!K13</f>
        <v>2.4185662375812793</v>
      </c>
      <c r="M14" s="13">
        <f>K14*Calculation!I14/Calculation!K13</f>
        <v>1.7481487156121089E-2</v>
      </c>
      <c r="N14" s="13">
        <v>20.854843186233694</v>
      </c>
      <c r="O14" s="13">
        <v>0.20553437226282112</v>
      </c>
      <c r="P14" s="13">
        <f>N14*Calculation!I14/Calculation!K13</f>
        <v>21.499347971898427</v>
      </c>
      <c r="Q14" s="13">
        <f>O14*Calculation!I14/Calculation!K13</f>
        <v>0.21188627265157242</v>
      </c>
      <c r="R14" s="13">
        <v>12.528061409225867</v>
      </c>
      <c r="S14" s="13">
        <v>0.17560077707266492</v>
      </c>
      <c r="T14" s="13">
        <f>R14*Calculation!I14/Calculation!K13</f>
        <v>12.915232650996586</v>
      </c>
      <c r="U14" s="13">
        <f>S14*Calculation!I14/Calculation!K13</f>
        <v>0.18102760000195389</v>
      </c>
    </row>
    <row r="15" spans="1:21">
      <c r="D15" s="16">
        <v>11</v>
      </c>
      <c r="E15" s="64">
        <v>15.333333333333334</v>
      </c>
      <c r="F15" s="52">
        <v>18.642687981053879</v>
      </c>
      <c r="G15" s="52">
        <v>0.11647491663363803</v>
      </c>
      <c r="H15" s="13">
        <f>F15*Calculation!I15/Calculation!K14</f>
        <v>19.408250314922437</v>
      </c>
      <c r="I15" s="13">
        <f>G15*Calculation!I15/Calculation!K14</f>
        <v>0.12125796128394886</v>
      </c>
      <c r="J15" s="13">
        <v>2.2979573712255772</v>
      </c>
      <c r="K15" s="13">
        <v>2.2202486678508014E-2</v>
      </c>
      <c r="L15" s="13">
        <f>J15*Calculation!I15/Calculation!K14</f>
        <v>2.3923230340545518</v>
      </c>
      <c r="M15" s="13">
        <f>K15*Calculation!I15/Calculation!K14</f>
        <v>2.311423221308748E-2</v>
      </c>
      <c r="N15" s="13">
        <v>30.369136830419098</v>
      </c>
      <c r="O15" s="13">
        <v>0.13460289373280213</v>
      </c>
      <c r="P15" s="13">
        <f>N15*Calculation!I15/Calculation!K14</f>
        <v>31.616246007652396</v>
      </c>
      <c r="Q15" s="13">
        <f>O15*Calculation!I15/Calculation!K14</f>
        <v>0.14013036410490029</v>
      </c>
      <c r="R15" s="13">
        <v>14.570207835469621</v>
      </c>
      <c r="S15" s="13">
        <v>0.18089645878480423</v>
      </c>
      <c r="T15" s="13">
        <f>R15*Calculation!I15/Calculation!K14</f>
        <v>15.168533695281685</v>
      </c>
      <c r="U15" s="13">
        <f>S15*Calculation!I15/Calculation!K14</f>
        <v>0.18832497527966771</v>
      </c>
    </row>
    <row r="16" spans="1:21">
      <c r="D16" s="16">
        <v>12</v>
      </c>
      <c r="E16" s="64">
        <v>16.666666666666668</v>
      </c>
      <c r="F16" s="52">
        <v>11.099393132030789</v>
      </c>
      <c r="G16" s="52">
        <v>0.4291364108242956</v>
      </c>
      <c r="H16" s="13">
        <f>F16*Calculation!I16/Calculation!K15</f>
        <v>11.661787613519754</v>
      </c>
      <c r="I16" s="13">
        <f>G16*Calculation!I16/Calculation!K15</f>
        <v>0.45088029775421179</v>
      </c>
      <c r="J16" s="13">
        <v>2.6383955002960331</v>
      </c>
      <c r="K16" s="13">
        <v>2.3109080811124939E-2</v>
      </c>
      <c r="L16" s="13">
        <f>J16*Calculation!I16/Calculation!K15</f>
        <v>2.7720802028470026</v>
      </c>
      <c r="M16" s="13">
        <f>K16*Calculation!I16/Calculation!K15</f>
        <v>2.4279993433631658E-2</v>
      </c>
      <c r="N16" s="13">
        <v>41.298917568692758</v>
      </c>
      <c r="O16" s="13">
        <v>1.1811747294791228</v>
      </c>
      <c r="P16" s="13">
        <f>N16*Calculation!I16/Calculation!K15</f>
        <v>43.391489933309145</v>
      </c>
      <c r="Q16" s="13">
        <f>O16*Calculation!I16/Calculation!K15</f>
        <v>1.2410236006409412</v>
      </c>
      <c r="R16" s="13">
        <v>12.890144108914477</v>
      </c>
      <c r="S16" s="13">
        <v>0.7390745642507387</v>
      </c>
      <c r="T16" s="13">
        <f>R16*Calculation!I16/Calculation!K15</f>
        <v>13.543274043697195</v>
      </c>
      <c r="U16" s="13">
        <f>S16*Calculation!I16/Calculation!K15</f>
        <v>0.77652268879224939</v>
      </c>
    </row>
    <row r="17" spans="4:21">
      <c r="D17" s="16">
        <v>13</v>
      </c>
      <c r="E17" s="64">
        <v>18</v>
      </c>
      <c r="F17" s="52">
        <v>5.2582889283599767</v>
      </c>
      <c r="G17" s="52">
        <v>5.0365073966903935E-2</v>
      </c>
      <c r="H17" s="13">
        <f>F17*Calculation!I17/Calculation!K16</f>
        <v>5.5600376281896153</v>
      </c>
      <c r="I17" s="13">
        <f>G17*Calculation!I17/Calculation!K16</f>
        <v>5.3255290878411098E-2</v>
      </c>
      <c r="J17" s="13">
        <v>3.9002368265245702</v>
      </c>
      <c r="K17" s="13">
        <v>4.2028628965366181E-2</v>
      </c>
      <c r="L17" s="13">
        <f>J17*Calculation!I17/Calculation!K16</f>
        <v>4.1240532442729441</v>
      </c>
      <c r="M17" s="13">
        <f>K17*Calculation!I17/Calculation!K16</f>
        <v>4.4440456143123988E-2</v>
      </c>
      <c r="N17" s="13">
        <v>50.491257285595339</v>
      </c>
      <c r="O17" s="13">
        <v>0.47218807256478856</v>
      </c>
      <c r="P17" s="13">
        <f>N17*Calculation!I17/Calculation!K16</f>
        <v>53.388715269792513</v>
      </c>
      <c r="Q17" s="13">
        <f>O17*Calculation!I17/Calculation!K16</f>
        <v>0.49928474581966192</v>
      </c>
      <c r="R17" s="13">
        <v>7.0099210659714668</v>
      </c>
      <c r="S17" s="13">
        <v>0.46459598616396419</v>
      </c>
      <c r="T17" s="13">
        <f>R17*Calculation!I17/Calculation!K16</f>
        <v>7.4121877721916238</v>
      </c>
      <c r="U17" s="13">
        <f>S17*Calculation!I17/Calculation!K16</f>
        <v>0.49125698495673498</v>
      </c>
    </row>
    <row r="18" spans="4:21">
      <c r="D18" s="16">
        <v>14</v>
      </c>
      <c r="E18" s="64">
        <v>24</v>
      </c>
      <c r="F18" s="52">
        <v>0</v>
      </c>
      <c r="G18" s="52">
        <v>0</v>
      </c>
      <c r="H18" s="13">
        <f>F18*Calculation!I18/Calculation!K17</f>
        <v>0</v>
      </c>
      <c r="I18" s="13">
        <f>G18*Calculation!I18/Calculation!K17</f>
        <v>0</v>
      </c>
      <c r="J18" s="13">
        <v>5.9835701598579041</v>
      </c>
      <c r="K18" s="13">
        <v>5.874225823855668E-2</v>
      </c>
      <c r="L18" s="13">
        <f>J18*Calculation!I18/Calculation!K17</f>
        <v>6.3552604952103451</v>
      </c>
      <c r="M18" s="13">
        <f>K18*Calculation!I18/Calculation!K17</f>
        <v>6.2391238543078979E-2</v>
      </c>
      <c r="N18" s="13">
        <v>61.415487094088263</v>
      </c>
      <c r="O18" s="13">
        <v>0.24016994341142334</v>
      </c>
      <c r="P18" s="13">
        <f>N18*Calculation!I18/Calculation!K17</f>
        <v>65.230524335061688</v>
      </c>
      <c r="Q18" s="13">
        <f>O18*Calculation!I18/Calculation!K17</f>
        <v>0.25508893732697036</v>
      </c>
      <c r="R18" s="13">
        <v>0</v>
      </c>
      <c r="S18" s="13">
        <v>0</v>
      </c>
      <c r="T18" s="13">
        <f>R18*Calculation!I18/Calculation!K17</f>
        <v>0</v>
      </c>
      <c r="U18" s="13">
        <f>S18*Calculation!I18/Calculation!K17</f>
        <v>0</v>
      </c>
    </row>
    <row r="19" spans="4:21">
      <c r="D19" s="16">
        <v>15</v>
      </c>
      <c r="E19" s="64">
        <v>30</v>
      </c>
      <c r="F19" s="52">
        <v>0</v>
      </c>
      <c r="G19" s="52">
        <v>0</v>
      </c>
      <c r="H19" s="13">
        <f>F19*Calculation!I19/Calculation!K18</f>
        <v>0</v>
      </c>
      <c r="I19" s="13">
        <f>G19*Calculation!I19/Calculation!K18</f>
        <v>0</v>
      </c>
      <c r="J19" s="13">
        <v>6.1389875666074598</v>
      </c>
      <c r="K19" s="13">
        <v>4.4404973357016028E-2</v>
      </c>
      <c r="L19" s="13">
        <f>J19*Calculation!I19/Calculation!K18</f>
        <v>6.5281729036914999</v>
      </c>
      <c r="M19" s="13">
        <f>K19*Calculation!I19/Calculation!K18</f>
        <v>4.7220057169558814E-2</v>
      </c>
      <c r="N19" s="13">
        <v>61.787399389397727</v>
      </c>
      <c r="O19" s="13">
        <v>1.2180844758685139</v>
      </c>
      <c r="P19" s="13">
        <f>N19*Calculation!I19/Calculation!K18</f>
        <v>65.704454049959253</v>
      </c>
      <c r="Q19" s="13">
        <f>O19*Calculation!I19/Calculation!K18</f>
        <v>1.2953057785986806</v>
      </c>
      <c r="R19" s="13">
        <v>0</v>
      </c>
      <c r="S19" s="13">
        <v>0</v>
      </c>
      <c r="T19" s="13">
        <f>R19*Calculation!I19/Calculation!K18</f>
        <v>0</v>
      </c>
      <c r="U19" s="13">
        <f>S19*Calculation!I19/Calculation!K18</f>
        <v>0</v>
      </c>
    </row>
    <row r="20" spans="4:21">
      <c r="D20" s="16">
        <v>16</v>
      </c>
      <c r="E20" s="64">
        <v>48</v>
      </c>
      <c r="F20" s="52">
        <v>0</v>
      </c>
      <c r="G20" s="52">
        <v>0</v>
      </c>
      <c r="H20" s="13">
        <f>F20*Calculation!I20/Calculation!K19</f>
        <v>0</v>
      </c>
      <c r="I20" s="13">
        <f>G20*Calculation!I20/Calculation!K19</f>
        <v>0</v>
      </c>
      <c r="J20" s="13">
        <v>6.6533451746595622</v>
      </c>
      <c r="K20" s="13">
        <v>8.0308371870229142E-2</v>
      </c>
      <c r="L20" s="13">
        <f>J20*Calculation!I20/Calculation!K19</f>
        <v>7.0751385659055552</v>
      </c>
      <c r="M20" s="13">
        <f>K20*Calculation!I20/Calculation!K19</f>
        <v>8.5399576313612252E-2</v>
      </c>
      <c r="N20" s="13">
        <v>61.98723286150431</v>
      </c>
      <c r="O20" s="13">
        <v>0.90176558504816495</v>
      </c>
      <c r="P20" s="13">
        <f>N20*Calculation!I20/Calculation!K19</f>
        <v>65.916956102407241</v>
      </c>
      <c r="Q20" s="13">
        <f>O20*Calculation!I20/Calculation!K19</f>
        <v>0.95893363423867684</v>
      </c>
      <c r="R20" s="13">
        <v>0</v>
      </c>
      <c r="S20" s="13">
        <v>0</v>
      </c>
      <c r="T20" s="13">
        <f>R20*Calculation!I20/Calculation!K19</f>
        <v>0</v>
      </c>
      <c r="U20" s="13">
        <f>S20*Calculation!I20/Calculation!K19</f>
        <v>0</v>
      </c>
    </row>
    <row r="22" spans="4:21">
      <c r="D22" s="158" t="s">
        <v>4</v>
      </c>
      <c r="E22" s="158" t="s">
        <v>60</v>
      </c>
      <c r="F22" s="130" t="s">
        <v>44</v>
      </c>
      <c r="G22" s="130"/>
      <c r="H22" s="130"/>
      <c r="I22" s="130"/>
      <c r="J22" s="130" t="s">
        <v>66</v>
      </c>
      <c r="K22" s="130"/>
      <c r="L22" s="130"/>
      <c r="M22" s="130"/>
      <c r="N22" s="156" t="s">
        <v>67</v>
      </c>
      <c r="O22" s="128"/>
      <c r="P22" s="128"/>
      <c r="Q22" s="157"/>
    </row>
    <row r="23" spans="4:21">
      <c r="D23" s="158"/>
      <c r="E23" s="158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4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</v>
      </c>
      <c r="K25" s="13">
        <v>0</v>
      </c>
      <c r="L25" s="13">
        <f>J25*Calculation!I4/Calculation!K3</f>
        <v>0</v>
      </c>
      <c r="M25" s="13">
        <f>K25*Calculation!I4/Calculation!K3</f>
        <v>0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4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</v>
      </c>
      <c r="K26" s="13">
        <v>0</v>
      </c>
      <c r="L26" s="13">
        <f>J26*Calculation!I5/Calculation!K4</f>
        <v>0</v>
      </c>
      <c r="M26" s="13">
        <f>K26*Calculation!I5/Calculation!K4</f>
        <v>0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4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</v>
      </c>
      <c r="K27" s="13">
        <v>0</v>
      </c>
      <c r="L27" s="13">
        <f>J27*Calculation!I6/Calculation!K5</f>
        <v>0</v>
      </c>
      <c r="M27" s="13">
        <f>K27*Calculation!I6/Calculation!K5</f>
        <v>0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4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0</v>
      </c>
      <c r="K28" s="13">
        <v>0</v>
      </c>
      <c r="L28" s="13">
        <f>J28*Calculation!I7/Calculation!K6</f>
        <v>0</v>
      </c>
      <c r="M28" s="13">
        <f>K28*Calculation!I7/Calculation!K6</f>
        <v>0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4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6.8096697310180462E-2</v>
      </c>
      <c r="K29" s="13">
        <v>3.0027821031263044E-2</v>
      </c>
      <c r="L29" s="13">
        <f>J29*Calculation!I8/Calculation!K7</f>
        <v>6.8148029058492071E-2</v>
      </c>
      <c r="M29" s="13">
        <f>K29*Calculation!I8/Calculation!K7</f>
        <v>3.0050456204662155E-2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4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0.44262853251617296</v>
      </c>
      <c r="K30" s="13">
        <v>1.1349449551696754E-2</v>
      </c>
      <c r="L30" s="13">
        <f>J30*Calculation!I9/Calculation!K8</f>
        <v>0.44296218888019839</v>
      </c>
      <c r="M30" s="13">
        <f>K30*Calculation!I9/Calculation!K8</f>
        <v>1.1358004843082021E-2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4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1.7137668823062082</v>
      </c>
      <c r="K31" s="13">
        <v>6.0055642062526227E-2</v>
      </c>
      <c r="L31" s="13">
        <f>J31*Calculation!I10/Calculation!K9</f>
        <v>1.7192431621722644</v>
      </c>
      <c r="M31" s="13">
        <f>K31*Calculation!I10/Calculation!K9</f>
        <v>6.0247547686835823E-2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4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3.9496084439904671</v>
      </c>
      <c r="K32" s="13">
        <v>2.2698899103393507E-2</v>
      </c>
      <c r="L32" s="13">
        <f>J32*Calculation!I11/Calculation!K10</f>
        <v>3.9756651146083199</v>
      </c>
      <c r="M32" s="13">
        <f>K32*Calculation!I11/Calculation!K10</f>
        <v>2.2848650083955875E-2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4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7.1047554193621609</v>
      </c>
      <c r="K33" s="13">
        <v>4.5397798206787014E-2</v>
      </c>
      <c r="L33" s="13">
        <f>J33*Calculation!I12/Calculation!K11</f>
        <v>7.1956723402003613</v>
      </c>
      <c r="M33" s="13">
        <f>K33*Calculation!I12/Calculation!K11</f>
        <v>4.5978736998085412E-2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4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10.785760223962471</v>
      </c>
      <c r="K34" s="13">
        <v>9.6525939713033582E-2</v>
      </c>
      <c r="L34" s="13">
        <f>J34*Calculation!I13/Calculation!K12</f>
        <v>11.003765355360644</v>
      </c>
      <c r="M34" s="13">
        <f>K34*Calculation!I13/Calculation!K12</f>
        <v>9.8476951948937061E-2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4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15.011538607044226</v>
      </c>
      <c r="K35" s="13">
        <v>0.13444827029786199</v>
      </c>
      <c r="L35" s="13">
        <f>J35*Calculation!I14/Calculation!K13</f>
        <v>15.475460027408461</v>
      </c>
      <c r="M35" s="13">
        <f>K35*Calculation!I14/Calculation!K13</f>
        <v>0.13860330291342812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4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18.363409374645329</v>
      </c>
      <c r="K36" s="13">
        <v>0.13088823737000058</v>
      </c>
      <c r="L36" s="13">
        <f>J36*Calculation!I15/Calculation!K14</f>
        <v>19.11750312726965</v>
      </c>
      <c r="M36" s="13">
        <f>K36*Calculation!I15/Calculation!K14</f>
        <v>0.13626316530843699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4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20.050694207997577</v>
      </c>
      <c r="K37" s="13">
        <v>0.57919270542523715</v>
      </c>
      <c r="L37" s="13">
        <f>J37*Calculation!I16/Calculation!K15</f>
        <v>21.066641624082788</v>
      </c>
      <c r="M37" s="13">
        <f>K37*Calculation!I16/Calculation!K15</f>
        <v>0.60853978570026657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4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20.493322740513751</v>
      </c>
      <c r="K38" s="13">
        <v>0.18660556811771017</v>
      </c>
      <c r="L38" s="13">
        <f>J38*Calculation!I17/Calculation!K16</f>
        <v>21.669339040947037</v>
      </c>
      <c r="M38" s="13">
        <f>K38*Calculation!I17/Calculation!K16</f>
        <v>0.19731399215595569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4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21.620701395982294</v>
      </c>
      <c r="K39" s="13">
        <v>0.16010368834032351</v>
      </c>
      <c r="L39" s="13">
        <f>J39*Calculation!I18/Calculation!K17</f>
        <v>22.963746691304525</v>
      </c>
      <c r="M39" s="13">
        <f>K39*Calculation!I18/Calculation!K17</f>
        <v>0.17004908749509681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4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22.430295464003333</v>
      </c>
      <c r="K40" s="13">
        <v>0.26624883002175803</v>
      </c>
      <c r="L40" s="13">
        <f>J40*Calculation!I19/Calculation!K18</f>
        <v>23.852279464840279</v>
      </c>
      <c r="M40" s="13">
        <f>K40*Calculation!I19/Calculation!K18</f>
        <v>0.28312785763599896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4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23.285287330231149</v>
      </c>
      <c r="K41" s="13">
        <v>0.2172266064382489</v>
      </c>
      <c r="L41" s="13">
        <f>J41*Calculation!I20/Calculation!K19</f>
        <v>24.761474128199001</v>
      </c>
      <c r="M41" s="13">
        <f>K41*Calculation!I20/Calculation!K19</f>
        <v>0.23099783648767078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159" t="s">
        <v>143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8" t="s">
        <v>4</v>
      </c>
      <c r="B6" s="28" t="s">
        <v>5</v>
      </c>
      <c r="C6" s="28" t="s">
        <v>19</v>
      </c>
      <c r="D6" s="164"/>
      <c r="E6" s="164"/>
      <c r="F6" s="164"/>
      <c r="G6" s="166"/>
      <c r="H6" s="166"/>
    </row>
    <row r="7" spans="1:8">
      <c r="A7" s="16">
        <v>0</v>
      </c>
      <c r="B7" s="62">
        <v>-0.16666666666666666</v>
      </c>
      <c r="C7" s="16">
        <v>1</v>
      </c>
      <c r="D7" s="19">
        <v>9.3810000000000002</v>
      </c>
      <c r="E7" s="19">
        <v>9.4410000000000007</v>
      </c>
      <c r="F7" s="19">
        <v>9.4130000000000003</v>
      </c>
      <c r="G7" s="19">
        <f>(C7*1000*AVERAGE(D7:F7)/$B$2)</f>
        <v>52.240600947306106</v>
      </c>
      <c r="H7" s="19">
        <f>(C7*1000*STDEV(D7:F7))/$B$2</f>
        <v>0.16664195158670508</v>
      </c>
    </row>
    <row r="8" spans="1:8">
      <c r="A8" s="16">
        <v>0</v>
      </c>
      <c r="B8" s="64">
        <v>0.16666666666666666</v>
      </c>
      <c r="C8" s="16">
        <v>1</v>
      </c>
      <c r="D8" s="19">
        <v>9.1639999999999997</v>
      </c>
      <c r="E8" s="19">
        <v>9.3439999999999994</v>
      </c>
      <c r="F8" s="19">
        <v>9.3379999999999992</v>
      </c>
      <c r="G8" s="19">
        <f t="shared" ref="G8:G17" si="0">(C8*1000*AVERAGE(D8:F8))/$B$2</f>
        <v>51.520870337477788</v>
      </c>
      <c r="H8" s="19">
        <f t="shared" ref="H8:H17" si="1">(C8*1000*STDEV(D8:F8))/$B$2</f>
        <v>0.56746793601829615</v>
      </c>
    </row>
    <row r="9" spans="1:8">
      <c r="A9" s="16">
        <v>1</v>
      </c>
      <c r="B9" s="64">
        <v>2</v>
      </c>
      <c r="C9" s="16">
        <v>1</v>
      </c>
      <c r="D9" s="19">
        <v>9.2789999999999999</v>
      </c>
      <c r="E9" s="19">
        <v>9.4090000000000007</v>
      </c>
      <c r="F9" s="19">
        <v>9.3650000000000002</v>
      </c>
      <c r="G9" s="19">
        <f t="shared" si="0"/>
        <v>51.903863232682063</v>
      </c>
      <c r="H9" s="19">
        <f t="shared" si="1"/>
        <v>0.36701321613713661</v>
      </c>
    </row>
    <row r="10" spans="1:8">
      <c r="A10" s="16">
        <v>2</v>
      </c>
      <c r="B10" s="64">
        <v>3.3333333333333335</v>
      </c>
      <c r="C10" s="16">
        <v>1</v>
      </c>
      <c r="D10" s="19">
        <v>9.1790000000000003</v>
      </c>
      <c r="E10" s="19">
        <v>9.2240000000000002</v>
      </c>
      <c r="F10" s="19">
        <v>9.2720000000000002</v>
      </c>
      <c r="G10" s="19">
        <f t="shared" si="0"/>
        <v>51.204484902309062</v>
      </c>
      <c r="H10" s="19">
        <f t="shared" si="1"/>
        <v>0.25814866683466881</v>
      </c>
    </row>
    <row r="11" spans="1:8">
      <c r="A11" s="16">
        <v>3</v>
      </c>
      <c r="B11" s="64">
        <v>4.666666666666667</v>
      </c>
      <c r="C11" s="16">
        <v>1</v>
      </c>
      <c r="D11" s="19">
        <v>9.2219999999999995</v>
      </c>
      <c r="E11" s="19">
        <v>9.3290000000000006</v>
      </c>
      <c r="F11" s="19">
        <v>9.2249999999999996</v>
      </c>
      <c r="G11" s="19">
        <f t="shared" si="0"/>
        <v>51.391355831853176</v>
      </c>
      <c r="H11" s="19">
        <f t="shared" si="1"/>
        <v>0.33819338552501599</v>
      </c>
    </row>
    <row r="12" spans="1:8">
      <c r="A12" s="16">
        <v>4</v>
      </c>
      <c r="B12" s="64">
        <v>6</v>
      </c>
      <c r="C12" s="16">
        <v>1</v>
      </c>
      <c r="D12" s="19">
        <v>8.9760000000000009</v>
      </c>
      <c r="E12" s="19">
        <v>9.2260000000000009</v>
      </c>
      <c r="F12" s="19">
        <v>9.2449999999999992</v>
      </c>
      <c r="G12" s="19">
        <f t="shared" si="0"/>
        <v>50.78263765541741</v>
      </c>
      <c r="H12" s="19">
        <f t="shared" si="1"/>
        <v>0.83327754591072378</v>
      </c>
    </row>
    <row r="13" spans="1:8">
      <c r="A13" s="16">
        <v>5</v>
      </c>
      <c r="B13" s="64">
        <v>7.333333333333333</v>
      </c>
      <c r="C13" s="16">
        <v>1</v>
      </c>
      <c r="D13" s="19">
        <v>9.1590000000000007</v>
      </c>
      <c r="E13" s="19">
        <v>9.2550000000000008</v>
      </c>
      <c r="F13" s="19">
        <v>9.2240000000000002</v>
      </c>
      <c r="G13" s="19">
        <f t="shared" si="0"/>
        <v>51.136027235050335</v>
      </c>
      <c r="H13" s="19">
        <f t="shared" si="1"/>
        <v>0.27194269985918929</v>
      </c>
    </row>
    <row r="14" spans="1:8">
      <c r="A14" s="16">
        <v>6</v>
      </c>
      <c r="B14" s="64">
        <v>8.6666666666666661</v>
      </c>
      <c r="C14" s="16">
        <v>1</v>
      </c>
      <c r="D14" s="19">
        <v>8.8840000000000003</v>
      </c>
      <c r="E14" s="19">
        <v>8.8740000000000006</v>
      </c>
      <c r="F14" s="19">
        <v>8.9079999999999995</v>
      </c>
      <c r="G14" s="19">
        <f t="shared" si="0"/>
        <v>49.337625814091183</v>
      </c>
      <c r="H14" s="19">
        <f t="shared" si="1"/>
        <v>9.6990396847844357E-2</v>
      </c>
    </row>
    <row r="15" spans="1:8">
      <c r="A15" s="16">
        <v>7</v>
      </c>
      <c r="B15" s="64">
        <v>10</v>
      </c>
      <c r="C15" s="16">
        <v>1</v>
      </c>
      <c r="D15" s="19">
        <v>8.4649999999999999</v>
      </c>
      <c r="E15" s="19">
        <v>8.5519999999999996</v>
      </c>
      <c r="F15" s="19">
        <v>8.5519999999999996</v>
      </c>
      <c r="G15" s="19">
        <f t="shared" si="0"/>
        <v>47.307948490230906</v>
      </c>
      <c r="H15" s="19">
        <f t="shared" si="1"/>
        <v>0.27880480361621501</v>
      </c>
    </row>
    <row r="16" spans="1:8">
      <c r="A16" s="16">
        <v>8</v>
      </c>
      <c r="B16" s="64">
        <v>11.333333333333334</v>
      </c>
      <c r="C16" s="16">
        <v>1</v>
      </c>
      <c r="D16" s="79">
        <v>7.8540000000000001</v>
      </c>
      <c r="E16" s="79">
        <v>7.952</v>
      </c>
      <c r="F16" s="79">
        <v>7.94</v>
      </c>
      <c r="G16" s="19">
        <f t="shared" si="0"/>
        <v>43.935020722320907</v>
      </c>
      <c r="H16" s="19">
        <f t="shared" si="1"/>
        <v>0.29670309777088671</v>
      </c>
    </row>
    <row r="17" spans="1:8">
      <c r="A17" s="16">
        <v>9</v>
      </c>
      <c r="B17" s="64">
        <v>12.666666666666666</v>
      </c>
      <c r="C17" s="16">
        <v>1</v>
      </c>
      <c r="D17" s="79">
        <v>6.6280000000000001</v>
      </c>
      <c r="E17" s="79">
        <v>6.7130000000000001</v>
      </c>
      <c r="F17" s="79">
        <v>6.62</v>
      </c>
      <c r="G17" s="19">
        <f t="shared" si="0"/>
        <v>36.93198638247484</v>
      </c>
      <c r="H17" s="19">
        <f t="shared" si="1"/>
        <v>0.28607698027288797</v>
      </c>
    </row>
    <row r="18" spans="1:8">
      <c r="A18" s="16">
        <v>10</v>
      </c>
      <c r="B18" s="64">
        <v>14</v>
      </c>
      <c r="C18" s="16">
        <v>1</v>
      </c>
      <c r="D18" s="79">
        <v>4.8570000000000002</v>
      </c>
      <c r="E18" s="79">
        <v>4.915</v>
      </c>
      <c r="F18" s="79">
        <v>4.9349999999999996</v>
      </c>
      <c r="G18" s="19">
        <f t="shared" ref="G18:G23" si="2">(C18*1000*AVERAGE(D18:F18))/$B$2</f>
        <v>27.210997631734759</v>
      </c>
      <c r="H18" s="19">
        <f t="shared" ref="H18:H23" si="3">(C18*1000*STDEV(D18:F18))/$B$2</f>
        <v>0.22487440207576073</v>
      </c>
    </row>
    <row r="19" spans="1:8">
      <c r="A19" s="16">
        <v>11</v>
      </c>
      <c r="B19" s="64">
        <v>15.333333333333334</v>
      </c>
      <c r="C19" s="16">
        <v>1</v>
      </c>
      <c r="D19" s="79">
        <v>3.335</v>
      </c>
      <c r="E19" s="79">
        <v>3.375</v>
      </c>
      <c r="F19" s="79">
        <v>3.3660000000000001</v>
      </c>
      <c r="G19" s="19">
        <f t="shared" si="2"/>
        <v>18.642687981053879</v>
      </c>
      <c r="H19" s="19">
        <f t="shared" si="3"/>
        <v>0.11647491663363803</v>
      </c>
    </row>
    <row r="20" spans="1:8">
      <c r="A20" s="16">
        <v>12</v>
      </c>
      <c r="B20" s="64">
        <v>16.666666666666668</v>
      </c>
      <c r="C20" s="16">
        <v>1</v>
      </c>
      <c r="D20" s="79">
        <v>1.911</v>
      </c>
      <c r="E20" s="79">
        <v>2.0529999999999999</v>
      </c>
      <c r="F20" s="79">
        <v>2.0350000000000001</v>
      </c>
      <c r="G20" s="19">
        <f t="shared" si="2"/>
        <v>11.099393132030789</v>
      </c>
      <c r="H20" s="19">
        <f t="shared" si="3"/>
        <v>0.4291364108242956</v>
      </c>
    </row>
    <row r="21" spans="1:8">
      <c r="A21" s="16">
        <v>13</v>
      </c>
      <c r="B21" s="64">
        <v>18</v>
      </c>
      <c r="C21" s="16">
        <v>1</v>
      </c>
      <c r="D21" s="79">
        <v>0.93700000000000006</v>
      </c>
      <c r="E21" s="79">
        <v>0.95399999999999996</v>
      </c>
      <c r="F21" s="79">
        <v>0.95099999999999996</v>
      </c>
      <c r="G21" s="19">
        <f t="shared" si="2"/>
        <v>5.2582889283599767</v>
      </c>
      <c r="H21" s="19">
        <f t="shared" si="3"/>
        <v>5.0365073966903935E-2</v>
      </c>
    </row>
    <row r="22" spans="1:8">
      <c r="A22" s="16">
        <v>14</v>
      </c>
      <c r="B22" s="64">
        <v>24</v>
      </c>
      <c r="C22" s="16">
        <v>1</v>
      </c>
      <c r="D22" s="74">
        <v>0</v>
      </c>
      <c r="E22" s="74">
        <v>0</v>
      </c>
      <c r="F22" s="74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4">
        <v>30</v>
      </c>
      <c r="C23" s="16">
        <v>1</v>
      </c>
      <c r="D23" s="74">
        <v>0</v>
      </c>
      <c r="E23" s="74">
        <v>0</v>
      </c>
      <c r="F23" s="74">
        <v>0</v>
      </c>
      <c r="G23" s="19">
        <f t="shared" si="2"/>
        <v>0</v>
      </c>
      <c r="H23" s="19">
        <f t="shared" si="3"/>
        <v>0</v>
      </c>
    </row>
    <row r="24" spans="1:8">
      <c r="A24" s="16">
        <v>16</v>
      </c>
      <c r="B24" s="64">
        <v>48</v>
      </c>
      <c r="C24" s="16">
        <v>1</v>
      </c>
      <c r="D24" s="74">
        <v>0</v>
      </c>
      <c r="E24" s="74">
        <v>0</v>
      </c>
      <c r="F24" s="74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159" t="s">
        <v>65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8" t="s">
        <v>4</v>
      </c>
      <c r="B6" s="28" t="s">
        <v>60</v>
      </c>
      <c r="C6" s="28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2</v>
      </c>
      <c r="D7" s="55">
        <v>0</v>
      </c>
      <c r="E7" s="55">
        <v>0</v>
      </c>
      <c r="F7" s="55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55">
        <v>0.14199999999999999</v>
      </c>
      <c r="E8" s="55">
        <v>0.13700000000000001</v>
      </c>
      <c r="F8" s="55">
        <v>0.16400000000000001</v>
      </c>
      <c r="G8" s="16">
        <f t="shared" ref="G8:G10" si="1">(C8*1000*AVERAGE(D8:F8))/$B$2</f>
        <v>6.4161054384821501</v>
      </c>
      <c r="H8" s="19">
        <f t="shared" si="0"/>
        <v>0.62412807376103252</v>
      </c>
    </row>
    <row r="9" spans="1:8">
      <c r="A9" s="66">
        <v>1</v>
      </c>
      <c r="B9" s="64">
        <v>2</v>
      </c>
      <c r="C9" s="16">
        <v>2</v>
      </c>
      <c r="D9" s="55">
        <v>0.158</v>
      </c>
      <c r="E9" s="55">
        <v>0.128</v>
      </c>
      <c r="F9" s="55">
        <v>0.13100000000000001</v>
      </c>
      <c r="G9" s="16">
        <f t="shared" si="1"/>
        <v>6.0395394308059958</v>
      </c>
      <c r="H9" s="19">
        <f t="shared" si="0"/>
        <v>0.71791056449525548</v>
      </c>
    </row>
    <row r="10" spans="1:8">
      <c r="A10" s="66">
        <v>2</v>
      </c>
      <c r="B10" s="64">
        <v>3.3333333333333335</v>
      </c>
      <c r="C10" s="16">
        <v>2</v>
      </c>
      <c r="D10" s="55">
        <v>0.17100000000000001</v>
      </c>
      <c r="E10" s="55">
        <v>0.152</v>
      </c>
      <c r="F10" s="55">
        <v>0.13500000000000001</v>
      </c>
      <c r="G10" s="16">
        <f t="shared" si="1"/>
        <v>6.6333550582953151</v>
      </c>
      <c r="H10" s="19">
        <f t="shared" ref="H10:H23" si="2">(C10*1000*STDEV(D10:F10))/$B$2</f>
        <v>0.78250084201550296</v>
      </c>
    </row>
    <row r="11" spans="1:8">
      <c r="A11" s="66">
        <v>3</v>
      </c>
      <c r="B11" s="64">
        <v>4.666666666666667</v>
      </c>
      <c r="C11" s="16">
        <v>2</v>
      </c>
      <c r="D11" s="55">
        <v>0.151</v>
      </c>
      <c r="E11" s="55">
        <v>0.17299999999999999</v>
      </c>
      <c r="F11" s="55">
        <v>0.15</v>
      </c>
      <c r="G11" s="16">
        <f t="shared" ref="G11:G23" si="3">(C11*1000*AVERAGE(D11:F11))/$B$2</f>
        <v>6.8650879860960243</v>
      </c>
      <c r="H11" s="19">
        <f t="shared" si="2"/>
        <v>0.56484901151422973</v>
      </c>
    </row>
    <row r="12" spans="1:8">
      <c r="A12" s="66">
        <v>4</v>
      </c>
      <c r="B12" s="64">
        <v>6</v>
      </c>
      <c r="C12" s="16">
        <v>2</v>
      </c>
      <c r="D12" s="55">
        <v>0.127</v>
      </c>
      <c r="E12" s="55">
        <v>0.13400000000000001</v>
      </c>
      <c r="F12" s="55">
        <v>0.153</v>
      </c>
      <c r="G12" s="16">
        <f t="shared" si="3"/>
        <v>5.9960895068433633</v>
      </c>
      <c r="H12" s="19">
        <f t="shared" si="2"/>
        <v>0.58455894186720425</v>
      </c>
    </row>
    <row r="13" spans="1:8">
      <c r="A13" s="66">
        <v>5</v>
      </c>
      <c r="B13" s="64">
        <v>7.333333333333333</v>
      </c>
      <c r="C13" s="16">
        <v>2</v>
      </c>
      <c r="D13" s="55">
        <v>0.14899999999999999</v>
      </c>
      <c r="E13" s="55">
        <v>0.17299999999999999</v>
      </c>
      <c r="F13" s="55">
        <v>0.13400000000000001</v>
      </c>
      <c r="G13" s="16">
        <f t="shared" si="3"/>
        <v>6.6043884423202259</v>
      </c>
      <c r="H13" s="19">
        <f t="shared" si="2"/>
        <v>0.85476061581169405</v>
      </c>
    </row>
    <row r="14" spans="1:8">
      <c r="A14" s="66">
        <v>6</v>
      </c>
      <c r="B14" s="64">
        <v>8.6666666666666661</v>
      </c>
      <c r="C14" s="16">
        <v>2</v>
      </c>
      <c r="D14" s="55">
        <v>0.14199999999999999</v>
      </c>
      <c r="E14" s="55">
        <v>0.13900000000000001</v>
      </c>
      <c r="F14" s="55">
        <v>0.17</v>
      </c>
      <c r="G14" s="16">
        <f t="shared" si="3"/>
        <v>6.5319719023825042</v>
      </c>
      <c r="H14" s="19">
        <f t="shared" si="2"/>
        <v>0.74289629101207399</v>
      </c>
    </row>
    <row r="15" spans="1:8">
      <c r="A15" s="66">
        <v>7</v>
      </c>
      <c r="B15" s="64">
        <v>10</v>
      </c>
      <c r="C15" s="16">
        <v>2</v>
      </c>
      <c r="D15" s="55">
        <v>0.152</v>
      </c>
      <c r="E15" s="55">
        <v>0.17199999999999999</v>
      </c>
      <c r="F15" s="55">
        <v>0.19400000000000001</v>
      </c>
      <c r="G15" s="16">
        <f t="shared" si="3"/>
        <v>7.5023535375479753</v>
      </c>
      <c r="H15" s="19">
        <f t="shared" si="2"/>
        <v>0.91279317874364452</v>
      </c>
    </row>
    <row r="16" spans="1:8">
      <c r="A16" s="66">
        <v>8</v>
      </c>
      <c r="B16" s="64">
        <v>11.333333333333334</v>
      </c>
      <c r="C16" s="16">
        <v>2</v>
      </c>
      <c r="D16" s="122">
        <v>0.26300000000000001</v>
      </c>
      <c r="E16" s="122">
        <v>0.24299999999999999</v>
      </c>
      <c r="F16" s="122">
        <v>0.23200000000000001</v>
      </c>
      <c r="G16" s="16">
        <f t="shared" si="3"/>
        <v>10.688681294807735</v>
      </c>
      <c r="H16" s="19">
        <f t="shared" si="2"/>
        <v>0.68286915687602479</v>
      </c>
    </row>
    <row r="17" spans="1:8">
      <c r="A17" s="66">
        <v>9</v>
      </c>
      <c r="B17" s="64">
        <v>12.666666666666666</v>
      </c>
      <c r="C17" s="16">
        <v>2</v>
      </c>
      <c r="D17" s="122">
        <v>0.252</v>
      </c>
      <c r="E17" s="122">
        <v>0.24199999999999999</v>
      </c>
      <c r="F17" s="122">
        <v>0.23</v>
      </c>
      <c r="G17" s="16">
        <f t="shared" si="3"/>
        <v>10.485914982982113</v>
      </c>
      <c r="H17" s="19">
        <f t="shared" si="2"/>
        <v>0.47860704299683687</v>
      </c>
    </row>
    <row r="18" spans="1:8">
      <c r="A18" s="66">
        <v>10</v>
      </c>
      <c r="B18" s="64">
        <v>14</v>
      </c>
      <c r="C18" s="16">
        <v>2</v>
      </c>
      <c r="D18" s="122">
        <v>0.28899999999999998</v>
      </c>
      <c r="E18" s="122">
        <v>0.29199999999999998</v>
      </c>
      <c r="F18" s="122">
        <v>0.28399999999999997</v>
      </c>
      <c r="G18" s="16">
        <f t="shared" si="3"/>
        <v>12.528061409225867</v>
      </c>
      <c r="H18" s="19">
        <f t="shared" si="2"/>
        <v>0.17560077707266492</v>
      </c>
    </row>
    <row r="19" spans="1:8">
      <c r="A19" s="66">
        <v>11</v>
      </c>
      <c r="B19" s="64">
        <v>15.333333333333334</v>
      </c>
      <c r="C19" s="16">
        <v>2</v>
      </c>
      <c r="D19" s="122">
        <v>0.33200000000000002</v>
      </c>
      <c r="E19" s="122">
        <v>0.33400000000000002</v>
      </c>
      <c r="F19" s="122">
        <v>0.34</v>
      </c>
      <c r="G19" s="16">
        <f t="shared" si="3"/>
        <v>14.570207835469621</v>
      </c>
      <c r="H19" s="19">
        <f t="shared" si="2"/>
        <v>0.18089645878480423</v>
      </c>
    </row>
    <row r="20" spans="1:8">
      <c r="A20" s="66">
        <v>12</v>
      </c>
      <c r="B20" s="64">
        <v>16.666666666666668</v>
      </c>
      <c r="C20" s="16">
        <v>2</v>
      </c>
      <c r="D20" s="122">
        <v>0.28000000000000003</v>
      </c>
      <c r="E20" s="122">
        <v>0.314</v>
      </c>
      <c r="F20" s="122">
        <v>0.29599999999999999</v>
      </c>
      <c r="G20" s="16">
        <f t="shared" si="3"/>
        <v>12.890144108914477</v>
      </c>
      <c r="H20" s="19">
        <f t="shared" si="2"/>
        <v>0.7390745642507387</v>
      </c>
    </row>
    <row r="21" spans="1:8">
      <c r="A21" s="66">
        <v>13</v>
      </c>
      <c r="B21" s="64">
        <v>18</v>
      </c>
      <c r="C21" s="16">
        <v>2</v>
      </c>
      <c r="D21" s="122">
        <v>0.14899999999999999</v>
      </c>
      <c r="E21" s="122">
        <v>0.16700000000000001</v>
      </c>
      <c r="F21" s="122">
        <v>0.16800000000000001</v>
      </c>
      <c r="G21" s="16">
        <f t="shared" si="3"/>
        <v>7.0099210659714668</v>
      </c>
      <c r="H21" s="19">
        <f t="shared" si="2"/>
        <v>0.46459598616396419</v>
      </c>
    </row>
    <row r="22" spans="1:8">
      <c r="A22" s="66">
        <v>14</v>
      </c>
      <c r="B22" s="64">
        <v>24</v>
      </c>
      <c r="C22" s="16">
        <v>2</v>
      </c>
      <c r="D22" s="55">
        <v>0</v>
      </c>
      <c r="E22" s="55">
        <v>0</v>
      </c>
      <c r="F22" s="55">
        <v>0</v>
      </c>
      <c r="G22" s="16">
        <f t="shared" si="3"/>
        <v>0</v>
      </c>
      <c r="H22" s="19">
        <f t="shared" si="2"/>
        <v>0</v>
      </c>
    </row>
    <row r="23" spans="1:8">
      <c r="A23" s="66">
        <v>15</v>
      </c>
      <c r="B23" s="64">
        <v>30</v>
      </c>
      <c r="C23" s="16">
        <v>2</v>
      </c>
      <c r="D23" s="55">
        <v>0</v>
      </c>
      <c r="E23" s="55">
        <v>0</v>
      </c>
      <c r="F23" s="55">
        <v>0</v>
      </c>
      <c r="G23" s="16">
        <f t="shared" si="3"/>
        <v>0</v>
      </c>
      <c r="H23" s="19">
        <f t="shared" si="2"/>
        <v>0</v>
      </c>
    </row>
    <row r="24" spans="1:8">
      <c r="A24" s="66">
        <v>16</v>
      </c>
      <c r="B24" s="64">
        <v>48</v>
      </c>
      <c r="C24" s="16">
        <v>2</v>
      </c>
      <c r="D24" s="55">
        <v>0</v>
      </c>
      <c r="E24" s="55">
        <v>0</v>
      </c>
      <c r="F24" s="55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59" t="s">
        <v>43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2" t="s">
        <v>4</v>
      </c>
      <c r="B6" s="22" t="s">
        <v>60</v>
      </c>
      <c r="C6" s="22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1</v>
      </c>
      <c r="D7" s="74">
        <v>9.7000000000000003E-2</v>
      </c>
      <c r="E7" s="74">
        <v>0.09</v>
      </c>
      <c r="F7" s="74">
        <v>8.1000000000000003E-2</v>
      </c>
      <c r="G7" s="16">
        <f>(C7*1000*AVERAGE(D7:F7))/$B$2</f>
        <v>1.4876491812378574</v>
      </c>
      <c r="H7" s="19">
        <f>(C7*1000*STDEV(D7:F7))/$B$2</f>
        <v>0.13356879728577259</v>
      </c>
    </row>
    <row r="8" spans="1:8">
      <c r="A8" s="66">
        <v>0</v>
      </c>
      <c r="B8" s="64">
        <v>0.16666666666666666</v>
      </c>
      <c r="C8" s="16">
        <v>1</v>
      </c>
      <c r="D8" s="74">
        <v>9.5000000000000001E-2</v>
      </c>
      <c r="E8" s="74">
        <v>0.113</v>
      </c>
      <c r="F8" s="74">
        <v>8.8999999999999996E-2</v>
      </c>
      <c r="G8" s="16">
        <f t="shared" ref="G8:G17" si="0">(C8*1000*AVERAGE(D8:F8))/$B$2</f>
        <v>1.6486261448792676</v>
      </c>
      <c r="H8" s="19">
        <f t="shared" ref="H8:H17" si="1">(C8*1000*STDEV(D8:F8))/$B$2</f>
        <v>0.20799327221975994</v>
      </c>
    </row>
    <row r="9" spans="1:8">
      <c r="A9" s="66">
        <v>1</v>
      </c>
      <c r="B9" s="64">
        <v>2</v>
      </c>
      <c r="C9" s="16">
        <v>1</v>
      </c>
      <c r="D9" s="74">
        <v>8.8999999999999996E-2</v>
      </c>
      <c r="E9" s="74">
        <v>0.106</v>
      </c>
      <c r="F9" s="74">
        <v>0.11</v>
      </c>
      <c r="G9" s="16">
        <f t="shared" si="0"/>
        <v>1.6930335831251737</v>
      </c>
      <c r="H9" s="19">
        <f t="shared" si="1"/>
        <v>0.1856866909095502</v>
      </c>
    </row>
    <row r="10" spans="1:8">
      <c r="A10" s="66">
        <v>2</v>
      </c>
      <c r="B10" s="64">
        <v>3.3333333333333335</v>
      </c>
      <c r="C10" s="16">
        <v>1</v>
      </c>
      <c r="D10" s="74">
        <v>0.108</v>
      </c>
      <c r="E10" s="74">
        <v>0.115</v>
      </c>
      <c r="F10" s="74">
        <v>0.115</v>
      </c>
      <c r="G10" s="16">
        <f t="shared" si="0"/>
        <v>1.8762142658895369</v>
      </c>
      <c r="H10" s="19">
        <f t="shared" si="1"/>
        <v>6.7301446866401063E-2</v>
      </c>
    </row>
    <row r="11" spans="1:8">
      <c r="A11" s="66">
        <v>3</v>
      </c>
      <c r="B11" s="64">
        <v>4.666666666666667</v>
      </c>
      <c r="C11" s="16">
        <v>1</v>
      </c>
      <c r="D11" s="19">
        <v>0.128</v>
      </c>
      <c r="E11" s="19">
        <v>0.107</v>
      </c>
      <c r="F11" s="19">
        <v>0.124</v>
      </c>
      <c r="G11" s="16">
        <f t="shared" si="0"/>
        <v>1.9927837912850401</v>
      </c>
      <c r="H11" s="19">
        <f t="shared" si="1"/>
        <v>0.1856866909095502</v>
      </c>
    </row>
    <row r="12" spans="1:8">
      <c r="A12" s="66">
        <v>4</v>
      </c>
      <c r="B12" s="64">
        <v>6</v>
      </c>
      <c r="C12" s="16">
        <v>1</v>
      </c>
      <c r="D12" s="19">
        <v>0.13100000000000001</v>
      </c>
      <c r="E12" s="19">
        <v>0.13500000000000001</v>
      </c>
      <c r="F12" s="19">
        <v>0.1</v>
      </c>
      <c r="G12" s="16">
        <f t="shared" si="0"/>
        <v>2.0316402997502081</v>
      </c>
      <c r="H12" s="19">
        <f t="shared" si="1"/>
        <v>0.3190215497197017</v>
      </c>
    </row>
    <row r="13" spans="1:8">
      <c r="A13" s="66">
        <v>5</v>
      </c>
      <c r="B13" s="64">
        <v>7.333333333333333</v>
      </c>
      <c r="C13" s="16">
        <v>1</v>
      </c>
      <c r="D13" s="19">
        <v>0.13900000000000001</v>
      </c>
      <c r="E13" s="19">
        <v>0.13100000000000001</v>
      </c>
      <c r="F13" s="19">
        <v>0.151</v>
      </c>
      <c r="G13" s="16">
        <f t="shared" si="0"/>
        <v>2.3369414376908133</v>
      </c>
      <c r="H13" s="19">
        <f t="shared" si="1"/>
        <v>0.16763440322555084</v>
      </c>
    </row>
    <row r="14" spans="1:8">
      <c r="A14" s="66">
        <v>6</v>
      </c>
      <c r="B14" s="64">
        <v>8.6666666666666661</v>
      </c>
      <c r="C14" s="16">
        <v>1</v>
      </c>
      <c r="D14" s="19">
        <v>0.187</v>
      </c>
      <c r="E14" s="19">
        <v>0.17899999999999999</v>
      </c>
      <c r="F14" s="19">
        <v>0.191</v>
      </c>
      <c r="G14" s="16">
        <f t="shared" si="0"/>
        <v>3.0918678878712185</v>
      </c>
      <c r="H14" s="19">
        <f t="shared" si="1"/>
        <v>0.10175022359047113</v>
      </c>
    </row>
    <row r="15" spans="1:8">
      <c r="A15" s="66">
        <v>7</v>
      </c>
      <c r="B15" s="64">
        <v>10</v>
      </c>
      <c r="C15" s="16">
        <v>1</v>
      </c>
      <c r="D15" s="19">
        <v>0.22900000000000001</v>
      </c>
      <c r="E15" s="19">
        <v>0.25700000000000001</v>
      </c>
      <c r="F15" s="19">
        <v>0.247</v>
      </c>
      <c r="G15" s="16">
        <f t="shared" si="0"/>
        <v>4.0688315292811543</v>
      </c>
      <c r="H15" s="19">
        <f t="shared" si="1"/>
        <v>0.23628972138543167</v>
      </c>
    </row>
    <row r="16" spans="1:8">
      <c r="A16" s="66">
        <v>8</v>
      </c>
      <c r="B16" s="64">
        <v>11.333333333333334</v>
      </c>
      <c r="C16" s="16">
        <v>1</v>
      </c>
      <c r="D16" s="19">
        <v>0.38900000000000001</v>
      </c>
      <c r="E16" s="19">
        <v>0.40400000000000003</v>
      </c>
      <c r="F16" s="19">
        <v>0.40500000000000003</v>
      </c>
      <c r="G16" s="16">
        <f t="shared" si="0"/>
        <v>6.6500138773244517</v>
      </c>
      <c r="H16" s="19">
        <f t="shared" si="1"/>
        <v>0.14925705978072457</v>
      </c>
    </row>
    <row r="17" spans="1:8">
      <c r="A17" s="66">
        <v>9</v>
      </c>
      <c r="B17" s="64">
        <v>12.666666666666666</v>
      </c>
      <c r="C17" s="16">
        <v>1</v>
      </c>
      <c r="D17" s="19">
        <v>0.66300000000000003</v>
      </c>
      <c r="E17" s="19">
        <v>0.68400000000000005</v>
      </c>
      <c r="F17" s="19">
        <v>0.67100000000000004</v>
      </c>
      <c r="G17" s="16">
        <f t="shared" si="0"/>
        <v>11.201776297529836</v>
      </c>
      <c r="H17" s="19">
        <f t="shared" si="1"/>
        <v>0.17649861887965207</v>
      </c>
    </row>
    <row r="18" spans="1:8">
      <c r="A18" s="66">
        <v>10</v>
      </c>
      <c r="B18" s="64">
        <v>14</v>
      </c>
      <c r="C18" s="16">
        <v>1</v>
      </c>
      <c r="D18" s="19">
        <v>1.2490000000000001</v>
      </c>
      <c r="E18" s="19">
        <v>1.242</v>
      </c>
      <c r="F18" s="19">
        <v>1.266</v>
      </c>
      <c r="G18" s="16">
        <f t="shared" ref="G18:G23" si="2">(C18*1000*AVERAGE(D18:F18))/$B$2</f>
        <v>20.854843186233694</v>
      </c>
      <c r="H18" s="19">
        <f t="shared" ref="H18:H23" si="3">(C18*1000*STDEV(D18:F18))/$B$2</f>
        <v>0.20553437226282112</v>
      </c>
    </row>
    <row r="19" spans="1:8">
      <c r="A19" s="66">
        <v>11</v>
      </c>
      <c r="B19" s="64">
        <v>15.333333333333334</v>
      </c>
      <c r="C19" s="16">
        <v>1</v>
      </c>
      <c r="D19" s="19">
        <v>1.8149999999999999</v>
      </c>
      <c r="E19" s="19">
        <v>1.831</v>
      </c>
      <c r="F19" s="19">
        <v>1.825</v>
      </c>
      <c r="G19" s="16">
        <f t="shared" si="2"/>
        <v>30.369136830419098</v>
      </c>
      <c r="H19" s="19">
        <f t="shared" si="3"/>
        <v>0.13460289373280213</v>
      </c>
    </row>
    <row r="20" spans="1:8">
      <c r="A20" s="66">
        <v>12</v>
      </c>
      <c r="B20" s="64">
        <v>16.666666666666668</v>
      </c>
      <c r="C20" s="16">
        <v>1</v>
      </c>
      <c r="D20" s="19">
        <v>2.399</v>
      </c>
      <c r="E20" s="19">
        <v>2.5099999999999998</v>
      </c>
      <c r="F20" s="19">
        <v>2.5310000000000001</v>
      </c>
      <c r="G20" s="16">
        <f t="shared" si="2"/>
        <v>41.298917568692758</v>
      </c>
      <c r="H20" s="19">
        <f t="shared" si="3"/>
        <v>1.1811747294791228</v>
      </c>
    </row>
    <row r="21" spans="1:8">
      <c r="A21" s="66">
        <v>13</v>
      </c>
      <c r="B21" s="64">
        <v>18</v>
      </c>
      <c r="C21" s="16">
        <v>1</v>
      </c>
      <c r="D21" s="19">
        <v>3</v>
      </c>
      <c r="E21" s="19">
        <v>3.0539999999999998</v>
      </c>
      <c r="F21" s="19">
        <v>3.0419999999999998</v>
      </c>
      <c r="G21" s="16">
        <f t="shared" si="2"/>
        <v>50.491257285595339</v>
      </c>
      <c r="H21" s="19">
        <f t="shared" si="3"/>
        <v>0.47218807256478856</v>
      </c>
    </row>
    <row r="22" spans="1:8">
      <c r="A22" s="66">
        <v>14</v>
      </c>
      <c r="B22" s="64">
        <v>24</v>
      </c>
      <c r="C22" s="16">
        <v>1</v>
      </c>
      <c r="D22" s="19">
        <v>3.6720000000000002</v>
      </c>
      <c r="E22" s="19">
        <v>3.6920000000000002</v>
      </c>
      <c r="F22" s="19">
        <v>3.7</v>
      </c>
      <c r="G22" s="16">
        <f t="shared" si="2"/>
        <v>61.415487094088263</v>
      </c>
      <c r="H22" s="19">
        <f t="shared" si="3"/>
        <v>0.24016994341142334</v>
      </c>
    </row>
    <row r="23" spans="1:8">
      <c r="A23" s="66">
        <v>15</v>
      </c>
      <c r="B23" s="64">
        <v>30</v>
      </c>
      <c r="C23" s="16">
        <v>1</v>
      </c>
      <c r="D23" s="19">
        <v>3.7050000000000001</v>
      </c>
      <c r="E23" s="19">
        <v>3.786</v>
      </c>
      <c r="F23" s="19">
        <v>3.64</v>
      </c>
      <c r="G23" s="16">
        <f t="shared" si="2"/>
        <v>61.787399389397727</v>
      </c>
      <c r="H23" s="19">
        <f t="shared" si="3"/>
        <v>1.2180844758685139</v>
      </c>
    </row>
    <row r="24" spans="1:8">
      <c r="A24" s="66">
        <v>16</v>
      </c>
      <c r="B24" s="64">
        <v>48</v>
      </c>
      <c r="C24" s="16">
        <v>1</v>
      </c>
      <c r="D24" s="19">
        <v>3.7320000000000002</v>
      </c>
      <c r="E24" s="19">
        <v>3.7709999999999999</v>
      </c>
      <c r="F24" s="19">
        <v>3.6640000000000001</v>
      </c>
      <c r="G24" s="16">
        <f t="shared" ref="G24" si="4">(C24*1000*AVERAGE(D24:F24))/$B$2</f>
        <v>61.98723286150431</v>
      </c>
      <c r="H24" s="19">
        <f t="shared" ref="H24" si="5">(C24*1000*STDEV(D24:F24))/$B$2</f>
        <v>0.90176558504816495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27" sqref="J27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31" t="s">
        <v>4</v>
      </c>
      <c r="B1" s="131" t="s">
        <v>117</v>
      </c>
      <c r="C1" s="131" t="s">
        <v>117</v>
      </c>
      <c r="D1" s="131" t="s">
        <v>5</v>
      </c>
      <c r="E1" s="4" t="s">
        <v>7</v>
      </c>
      <c r="F1" s="4" t="s">
        <v>9</v>
      </c>
      <c r="G1" s="130" t="s">
        <v>11</v>
      </c>
      <c r="H1" s="130" t="s">
        <v>12</v>
      </c>
      <c r="I1" s="4" t="s">
        <v>13</v>
      </c>
      <c r="J1" s="4" t="s">
        <v>16</v>
      </c>
      <c r="K1" s="4" t="s">
        <v>16</v>
      </c>
    </row>
    <row r="2" spans="1:11">
      <c r="A2" s="132"/>
      <c r="B2" s="132"/>
      <c r="C2" s="132"/>
      <c r="D2" s="132"/>
      <c r="E2" s="5" t="s">
        <v>8</v>
      </c>
      <c r="F2" s="5" t="s">
        <v>10</v>
      </c>
      <c r="G2" s="130"/>
      <c r="H2" s="130"/>
      <c r="I2" s="5" t="s">
        <v>14</v>
      </c>
      <c r="J2" s="5" t="s">
        <v>17</v>
      </c>
      <c r="K2" s="5" t="s">
        <v>141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61</v>
      </c>
      <c r="F3" s="1">
        <f>E3</f>
        <v>61</v>
      </c>
      <c r="G3" s="1">
        <v>0</v>
      </c>
      <c r="H3" s="1">
        <v>0</v>
      </c>
      <c r="I3" s="1">
        <f>$F$22+G3+H3</f>
        <v>1500</v>
      </c>
      <c r="J3" s="13">
        <f>F3*1500/I3</f>
        <v>61</v>
      </c>
      <c r="K3" s="13">
        <f>$F$23-J3</f>
        <v>1518.6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1">
        <v>51</v>
      </c>
      <c r="F4" s="1">
        <f>E4+F3</f>
        <v>112</v>
      </c>
      <c r="G4" s="40">
        <v>0</v>
      </c>
      <c r="H4" s="40">
        <v>0</v>
      </c>
      <c r="I4" s="1">
        <f t="shared" ref="I4:I20" si="1">$F$23-F3+G4+H4</f>
        <v>1518.6</v>
      </c>
      <c r="J4" s="13">
        <f>E4*K3/I4</f>
        <v>51</v>
      </c>
      <c r="K4" s="13">
        <f>K3-J4</f>
        <v>1467.6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47</v>
      </c>
      <c r="F5" s="1">
        <f t="shared" ref="F5:F18" si="2">E5+F4</f>
        <v>159</v>
      </c>
      <c r="G5" s="40">
        <v>0</v>
      </c>
      <c r="H5" s="40">
        <v>0</v>
      </c>
      <c r="I5" s="40">
        <f>$F$23-F4+G5+H5</f>
        <v>1467.6</v>
      </c>
      <c r="J5" s="13">
        <f>E5*K4/I5</f>
        <v>47</v>
      </c>
      <c r="K5" s="13">
        <f>K4-J5</f>
        <v>1420.6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53</v>
      </c>
      <c r="F6" s="1">
        <f t="shared" si="2"/>
        <v>212</v>
      </c>
      <c r="G6" s="40">
        <v>0</v>
      </c>
      <c r="H6" s="40">
        <v>0</v>
      </c>
      <c r="I6" s="40">
        <f t="shared" si="1"/>
        <v>1420.6</v>
      </c>
      <c r="J6" s="13">
        <f>E6*K5/I6</f>
        <v>52.999999999999993</v>
      </c>
      <c r="K6" s="13">
        <f t="shared" ref="K6:K13" si="3">K5-J6</f>
        <v>1367.6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41</v>
      </c>
      <c r="F7" s="1">
        <f t="shared" si="2"/>
        <v>253</v>
      </c>
      <c r="G7" s="40">
        <v>0</v>
      </c>
      <c r="H7" s="40">
        <v>0</v>
      </c>
      <c r="I7" s="40">
        <f t="shared" si="1"/>
        <v>1367.6</v>
      </c>
      <c r="J7" s="13">
        <f>E7*K6/I7</f>
        <v>41</v>
      </c>
      <c r="K7" s="13">
        <f>K6-J7</f>
        <v>1326.6</v>
      </c>
    </row>
    <row r="8" spans="1:11">
      <c r="A8" s="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1">
        <v>51</v>
      </c>
      <c r="F8" s="1">
        <f t="shared" si="2"/>
        <v>304</v>
      </c>
      <c r="G8" s="40">
        <v>1</v>
      </c>
      <c r="H8" s="40">
        <v>0</v>
      </c>
      <c r="I8" s="40">
        <f t="shared" si="1"/>
        <v>1327.6</v>
      </c>
      <c r="J8" s="13">
        <f t="shared" ref="J8:J13" si="5">E8*K7/I8</f>
        <v>50.961584814703222</v>
      </c>
      <c r="K8" s="13">
        <f t="shared" si="3"/>
        <v>1275.6384151852967</v>
      </c>
    </row>
    <row r="9" spans="1:11">
      <c r="A9" s="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1">
        <v>47</v>
      </c>
      <c r="F9" s="1">
        <f t="shared" si="2"/>
        <v>351</v>
      </c>
      <c r="G9" s="40">
        <v>1</v>
      </c>
      <c r="H9" s="40">
        <v>0</v>
      </c>
      <c r="I9" s="40">
        <f t="shared" si="1"/>
        <v>1276.5999999999999</v>
      </c>
      <c r="J9" s="13">
        <f t="shared" si="5"/>
        <v>46.964597770412773</v>
      </c>
      <c r="K9" s="13">
        <f t="shared" si="3"/>
        <v>1228.6738174148838</v>
      </c>
    </row>
    <row r="10" spans="1:11">
      <c r="A10" s="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1">
        <v>53</v>
      </c>
      <c r="F10" s="1">
        <f t="shared" si="2"/>
        <v>404</v>
      </c>
      <c r="G10" s="40">
        <v>4</v>
      </c>
      <c r="H10" s="40">
        <v>0</v>
      </c>
      <c r="I10" s="40">
        <f t="shared" si="1"/>
        <v>1232.5999999999999</v>
      </c>
      <c r="J10" s="13">
        <f t="shared" si="5"/>
        <v>52.831179882353439</v>
      </c>
      <c r="K10" s="13">
        <f t="shared" si="3"/>
        <v>1175.8426375325305</v>
      </c>
    </row>
    <row r="11" spans="1:11">
      <c r="A11" s="1">
        <v>7</v>
      </c>
      <c r="B11" s="32">
        <v>80</v>
      </c>
      <c r="C11" s="32">
        <f t="shared" si="4"/>
        <v>600</v>
      </c>
      <c r="D11" s="13">
        <f t="shared" si="0"/>
        <v>10</v>
      </c>
      <c r="E11" s="1">
        <v>47</v>
      </c>
      <c r="F11" s="1">
        <f t="shared" si="2"/>
        <v>451</v>
      </c>
      <c r="G11" s="40">
        <v>8</v>
      </c>
      <c r="H11" s="40">
        <v>0</v>
      </c>
      <c r="I11" s="40">
        <f t="shared" si="1"/>
        <v>1183.5999999999999</v>
      </c>
      <c r="J11" s="13">
        <f t="shared" si="5"/>
        <v>46.69196009127149</v>
      </c>
      <c r="K11" s="13">
        <f t="shared" si="3"/>
        <v>1129.1506774412589</v>
      </c>
    </row>
    <row r="12" spans="1:11">
      <c r="A12" s="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1">
        <v>51</v>
      </c>
      <c r="F12" s="1">
        <f t="shared" si="2"/>
        <v>502</v>
      </c>
      <c r="G12" s="40">
        <v>15</v>
      </c>
      <c r="H12" s="40">
        <v>0</v>
      </c>
      <c r="I12" s="40">
        <f t="shared" si="1"/>
        <v>1143.5999999999999</v>
      </c>
      <c r="J12" s="13">
        <f t="shared" si="5"/>
        <v>50.355617829227185</v>
      </c>
      <c r="K12" s="13">
        <f t="shared" si="3"/>
        <v>1078.7950596120318</v>
      </c>
    </row>
    <row r="13" spans="1:11">
      <c r="A13" s="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1">
        <v>51</v>
      </c>
      <c r="F13" s="1">
        <f t="shared" si="2"/>
        <v>553</v>
      </c>
      <c r="G13" s="40">
        <v>23</v>
      </c>
      <c r="H13" s="40">
        <v>0</v>
      </c>
      <c r="I13" s="40">
        <f t="shared" si="1"/>
        <v>1100.5999999999999</v>
      </c>
      <c r="J13" s="13">
        <f t="shared" si="5"/>
        <v>49.989594803028915</v>
      </c>
      <c r="K13" s="13">
        <f t="shared" si="3"/>
        <v>1028.8054648090028</v>
      </c>
    </row>
    <row r="14" spans="1:11">
      <c r="A14" s="37">
        <v>10</v>
      </c>
      <c r="B14" s="32">
        <v>80</v>
      </c>
      <c r="C14" s="32">
        <f t="shared" si="4"/>
        <v>840</v>
      </c>
      <c r="D14" s="13">
        <f t="shared" si="0"/>
        <v>14</v>
      </c>
      <c r="E14" s="3">
        <v>46</v>
      </c>
      <c r="F14" s="37">
        <f t="shared" si="2"/>
        <v>599</v>
      </c>
      <c r="G14" s="40">
        <v>34</v>
      </c>
      <c r="H14" s="40">
        <v>0</v>
      </c>
      <c r="I14" s="40">
        <f t="shared" si="1"/>
        <v>1060.5999999999999</v>
      </c>
      <c r="J14" s="13">
        <f t="shared" ref="J14:J19" si="6">E14*K13/I14</f>
        <v>44.621017708103089</v>
      </c>
      <c r="K14" s="13">
        <f t="shared" ref="K14:K19" si="7">K13-J14</f>
        <v>984.18444710089977</v>
      </c>
    </row>
    <row r="15" spans="1:11">
      <c r="A15" s="37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81">
        <v>49</v>
      </c>
      <c r="F15" s="37">
        <f t="shared" si="2"/>
        <v>648</v>
      </c>
      <c r="G15" s="40">
        <v>44</v>
      </c>
      <c r="H15" s="40">
        <v>0</v>
      </c>
      <c r="I15" s="40">
        <f t="shared" si="1"/>
        <v>1024.5999999999999</v>
      </c>
      <c r="J15" s="13">
        <f t="shared" si="6"/>
        <v>47.067185153175963</v>
      </c>
      <c r="K15" s="13">
        <f t="shared" si="7"/>
        <v>937.11726194772382</v>
      </c>
    </row>
    <row r="16" spans="1:11">
      <c r="A16" s="37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37">
        <v>46</v>
      </c>
      <c r="F16" s="37">
        <f t="shared" si="2"/>
        <v>694</v>
      </c>
      <c r="G16" s="40">
        <v>53</v>
      </c>
      <c r="H16" s="40">
        <v>0</v>
      </c>
      <c r="I16" s="40">
        <f t="shared" si="1"/>
        <v>984.59999999999991</v>
      </c>
      <c r="J16" s="13">
        <f t="shared" si="6"/>
        <v>43.781631169607252</v>
      </c>
      <c r="K16" s="13">
        <f t="shared" si="7"/>
        <v>893.33563077811652</v>
      </c>
    </row>
    <row r="17" spans="1:11">
      <c r="A17" s="37">
        <v>13</v>
      </c>
      <c r="B17" s="32">
        <v>80</v>
      </c>
      <c r="C17" s="32">
        <f t="shared" si="4"/>
        <v>1080</v>
      </c>
      <c r="D17" s="13">
        <f t="shared" si="0"/>
        <v>18</v>
      </c>
      <c r="E17" s="37">
        <v>51</v>
      </c>
      <c r="F17" s="37">
        <f t="shared" si="2"/>
        <v>745</v>
      </c>
      <c r="G17" s="40">
        <v>59</v>
      </c>
      <c r="H17" s="40">
        <v>0</v>
      </c>
      <c r="I17" s="40">
        <f t="shared" si="1"/>
        <v>944.59999999999991</v>
      </c>
      <c r="J17" s="13">
        <f t="shared" si="6"/>
        <v>48.232179938263762</v>
      </c>
      <c r="K17" s="13">
        <f t="shared" si="7"/>
        <v>845.10345083985271</v>
      </c>
    </row>
    <row r="18" spans="1:11">
      <c r="A18" s="37">
        <v>14</v>
      </c>
      <c r="B18" s="32">
        <v>360</v>
      </c>
      <c r="C18" s="32">
        <f t="shared" si="4"/>
        <v>1440</v>
      </c>
      <c r="D18" s="13">
        <f t="shared" si="0"/>
        <v>24</v>
      </c>
      <c r="E18" s="37">
        <v>66</v>
      </c>
      <c r="F18" s="37">
        <f t="shared" si="2"/>
        <v>811</v>
      </c>
      <c r="G18" s="40">
        <v>63</v>
      </c>
      <c r="H18" s="40">
        <v>0</v>
      </c>
      <c r="I18" s="40">
        <f t="shared" si="1"/>
        <v>897.59999999999991</v>
      </c>
      <c r="J18" s="13">
        <f t="shared" si="6"/>
        <v>62.139959620577407</v>
      </c>
      <c r="K18" s="13">
        <f t="shared" si="7"/>
        <v>782.96349121927528</v>
      </c>
    </row>
    <row r="19" spans="1:11">
      <c r="A19" s="37">
        <v>15</v>
      </c>
      <c r="B19" s="32">
        <v>360</v>
      </c>
      <c r="C19" s="32">
        <f>C18+B19</f>
        <v>1800</v>
      </c>
      <c r="D19" s="13">
        <f t="shared" si="0"/>
        <v>30</v>
      </c>
      <c r="E19" s="37">
        <v>54</v>
      </c>
      <c r="F19" s="37">
        <f>E19+F18</f>
        <v>865</v>
      </c>
      <c r="G19" s="40">
        <v>63</v>
      </c>
      <c r="H19" s="40">
        <v>1</v>
      </c>
      <c r="I19" s="40">
        <f t="shared" si="1"/>
        <v>832.59999999999991</v>
      </c>
      <c r="J19" s="13">
        <f t="shared" si="6"/>
        <v>50.780721265722875</v>
      </c>
      <c r="K19" s="13">
        <f t="shared" si="7"/>
        <v>732.18276995355245</v>
      </c>
    </row>
    <row r="20" spans="1:11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40">
        <v>115</v>
      </c>
      <c r="F20" s="40">
        <f t="shared" ref="F20" si="8">E20+F19</f>
        <v>980</v>
      </c>
      <c r="G20" s="40">
        <v>63</v>
      </c>
      <c r="H20" s="40">
        <v>1</v>
      </c>
      <c r="I20" s="40">
        <f t="shared" si="1"/>
        <v>778.59999999999991</v>
      </c>
      <c r="J20" s="13">
        <f t="shared" ref="J20" si="9">E20*K19/I20</f>
        <v>108.1441286214469</v>
      </c>
      <c r="K20" s="13">
        <f t="shared" ref="K20" si="10">K19-J20</f>
        <v>624.0386413321055</v>
      </c>
    </row>
    <row r="22" spans="1:11">
      <c r="A22" s="127" t="s">
        <v>15</v>
      </c>
      <c r="B22" s="128"/>
      <c r="C22" s="128"/>
      <c r="D22" s="128"/>
      <c r="E22" s="129"/>
      <c r="F22" s="1">
        <v>1500</v>
      </c>
    </row>
    <row r="23" spans="1:11">
      <c r="A23" s="127" t="s">
        <v>15</v>
      </c>
      <c r="B23" s="128"/>
      <c r="C23" s="128"/>
      <c r="D23" s="128"/>
      <c r="E23" s="129"/>
      <c r="F23" s="40">
        <f>F22+75+1+3.6</f>
        <v>1579.6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159" t="s">
        <v>67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8" t="s">
        <v>4</v>
      </c>
      <c r="B6" s="28" t="s">
        <v>60</v>
      </c>
      <c r="C6" s="28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159" t="s">
        <v>66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8" t="s">
        <v>4</v>
      </c>
      <c r="B6" s="28" t="s">
        <v>60</v>
      </c>
      <c r="C6" s="28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1</v>
      </c>
      <c r="D7" s="80">
        <v>0</v>
      </c>
      <c r="E7" s="80">
        <v>0</v>
      </c>
      <c r="F7" s="80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1</v>
      </c>
      <c r="D8" s="80">
        <v>0</v>
      </c>
      <c r="E8" s="80">
        <v>0</v>
      </c>
      <c r="F8" s="80">
        <v>0</v>
      </c>
      <c r="G8" s="16">
        <f>(C8*1000*AVERAGE(D8:F8))/$B$2</f>
        <v>0</v>
      </c>
      <c r="H8" s="19">
        <f t="shared" ref="H8:H17" si="0">(C8*1000*STDEV(D8:F8))/$B$2</f>
        <v>0</v>
      </c>
    </row>
    <row r="9" spans="1:8">
      <c r="A9" s="66">
        <v>1</v>
      </c>
      <c r="B9" s="64">
        <v>2</v>
      </c>
      <c r="C9" s="16">
        <v>1</v>
      </c>
      <c r="D9" s="80">
        <v>0</v>
      </c>
      <c r="E9" s="80">
        <v>0</v>
      </c>
      <c r="F9" s="80">
        <v>0</v>
      </c>
      <c r="G9" s="16">
        <f t="shared" ref="G9:G17" si="1">(C9*1000*AVERAGE(D9:F9))/$B$2</f>
        <v>0</v>
      </c>
      <c r="H9" s="19">
        <f t="shared" si="0"/>
        <v>0</v>
      </c>
    </row>
    <row r="10" spans="1:8">
      <c r="A10" s="66">
        <v>2</v>
      </c>
      <c r="B10" s="64">
        <v>3.3333333333333335</v>
      </c>
      <c r="C10" s="16">
        <v>1</v>
      </c>
      <c r="D10" s="80">
        <v>0</v>
      </c>
      <c r="E10" s="80">
        <v>0</v>
      </c>
      <c r="F10" s="80">
        <v>0</v>
      </c>
      <c r="G10" s="16">
        <f t="shared" si="1"/>
        <v>0</v>
      </c>
      <c r="H10" s="19">
        <f t="shared" si="0"/>
        <v>0</v>
      </c>
    </row>
    <row r="11" spans="1:8">
      <c r="A11" s="66">
        <v>3</v>
      </c>
      <c r="B11" s="64">
        <v>4.666666666666667</v>
      </c>
      <c r="C11" s="16">
        <v>1</v>
      </c>
      <c r="D11" s="80">
        <v>0</v>
      </c>
      <c r="E11" s="80">
        <v>0</v>
      </c>
      <c r="F11" s="80">
        <v>0</v>
      </c>
      <c r="G11" s="16">
        <f t="shared" si="1"/>
        <v>0</v>
      </c>
      <c r="H11" s="19">
        <f t="shared" si="0"/>
        <v>0</v>
      </c>
    </row>
    <row r="12" spans="1:8">
      <c r="A12" s="66">
        <v>4</v>
      </c>
      <c r="B12" s="64">
        <v>6</v>
      </c>
      <c r="C12" s="16">
        <v>1</v>
      </c>
      <c r="D12" s="80">
        <v>4.0000000000000001E-3</v>
      </c>
      <c r="E12" s="80">
        <v>5.0000000000000001E-3</v>
      </c>
      <c r="F12" s="80">
        <v>8.9999999999999993E-3</v>
      </c>
      <c r="G12" s="16">
        <f t="shared" si="1"/>
        <v>6.8096697310180462E-2</v>
      </c>
      <c r="H12" s="19">
        <f t="shared" si="0"/>
        <v>3.0027821031263044E-2</v>
      </c>
    </row>
    <row r="13" spans="1:8">
      <c r="A13" s="66">
        <v>5</v>
      </c>
      <c r="B13" s="64">
        <v>7.333333333333333</v>
      </c>
      <c r="C13" s="16">
        <v>1</v>
      </c>
      <c r="D13" s="55">
        <v>3.9E-2</v>
      </c>
      <c r="E13" s="55">
        <v>3.7999999999999999E-2</v>
      </c>
      <c r="F13" s="55">
        <v>0.04</v>
      </c>
      <c r="G13" s="16">
        <f t="shared" si="1"/>
        <v>0.44262853251617296</v>
      </c>
      <c r="H13" s="19">
        <f t="shared" si="0"/>
        <v>1.1349449551696754E-2</v>
      </c>
    </row>
    <row r="14" spans="1:8">
      <c r="A14" s="66">
        <v>6</v>
      </c>
      <c r="B14" s="64">
        <v>8.6666666666666661</v>
      </c>
      <c r="C14" s="16">
        <v>1</v>
      </c>
      <c r="D14" s="55">
        <v>0.14699999999999999</v>
      </c>
      <c r="E14" s="55">
        <v>0.14899999999999999</v>
      </c>
      <c r="F14" s="55">
        <v>0.157</v>
      </c>
      <c r="G14" s="16">
        <f t="shared" si="1"/>
        <v>1.7137668823062082</v>
      </c>
      <c r="H14" s="19">
        <f t="shared" si="0"/>
        <v>6.0055642062526227E-2</v>
      </c>
    </row>
    <row r="15" spans="1:8">
      <c r="A15" s="66">
        <v>7</v>
      </c>
      <c r="B15" s="64">
        <v>10</v>
      </c>
      <c r="C15" s="16">
        <v>1</v>
      </c>
      <c r="D15" s="55">
        <v>0.34799999999999998</v>
      </c>
      <c r="E15" s="55">
        <v>0.34599999999999997</v>
      </c>
      <c r="F15" s="55">
        <v>0.35</v>
      </c>
      <c r="G15" s="16">
        <f t="shared" si="1"/>
        <v>3.9496084439904671</v>
      </c>
      <c r="H15" s="19">
        <f t="shared" si="0"/>
        <v>2.2698899103393507E-2</v>
      </c>
    </row>
    <row r="16" spans="1:8">
      <c r="A16" s="66">
        <v>8</v>
      </c>
      <c r="B16" s="64">
        <v>11.333333333333334</v>
      </c>
      <c r="C16" s="16">
        <v>1</v>
      </c>
      <c r="D16" s="56">
        <v>0.622</v>
      </c>
      <c r="E16" s="56">
        <v>0.63</v>
      </c>
      <c r="F16" s="56">
        <v>0.626</v>
      </c>
      <c r="G16" s="16">
        <f t="shared" si="1"/>
        <v>7.1047554193621609</v>
      </c>
      <c r="H16" s="19">
        <f t="shared" si="0"/>
        <v>4.5397798206787014E-2</v>
      </c>
    </row>
    <row r="17" spans="1:8">
      <c r="A17" s="66">
        <v>9</v>
      </c>
      <c r="B17" s="64">
        <v>12.666666666666666</v>
      </c>
      <c r="C17" s="16">
        <v>1</v>
      </c>
      <c r="D17" s="56">
        <v>0.94399999999999995</v>
      </c>
      <c r="E17" s="56">
        <v>0.96</v>
      </c>
      <c r="F17" s="56">
        <v>0.94699999999999995</v>
      </c>
      <c r="G17" s="16">
        <f t="shared" si="1"/>
        <v>10.785760223962471</v>
      </c>
      <c r="H17" s="19">
        <f t="shared" si="0"/>
        <v>9.6525939713033582E-2</v>
      </c>
    </row>
    <row r="18" spans="1:8">
      <c r="A18" s="66">
        <v>10</v>
      </c>
      <c r="B18" s="64">
        <v>14</v>
      </c>
      <c r="C18" s="16">
        <v>1</v>
      </c>
      <c r="D18" s="56">
        <v>1.3089999999999999</v>
      </c>
      <c r="E18" s="56">
        <v>1.33</v>
      </c>
      <c r="F18" s="56">
        <v>1.329</v>
      </c>
      <c r="G18" s="16">
        <f t="shared" ref="G18:G23" si="2">(C18*1000*AVERAGE(D18:F18))/$B$2</f>
        <v>15.011538607044226</v>
      </c>
      <c r="H18" s="19">
        <f t="shared" ref="H18:H23" si="3">(C18*1000*STDEV(D18:F18))/$B$2</f>
        <v>0.13444827029786199</v>
      </c>
    </row>
    <row r="19" spans="1:8">
      <c r="A19" s="66">
        <v>11</v>
      </c>
      <c r="B19" s="64">
        <v>15.333333333333334</v>
      </c>
      <c r="C19" s="16">
        <v>1</v>
      </c>
      <c r="D19" s="56">
        <v>1.607</v>
      </c>
      <c r="E19" s="56">
        <v>1.63</v>
      </c>
      <c r="F19" s="56">
        <v>1.617</v>
      </c>
      <c r="G19" s="16">
        <f t="shared" si="2"/>
        <v>18.363409374645329</v>
      </c>
      <c r="H19" s="19">
        <f t="shared" si="3"/>
        <v>0.13088823737000058</v>
      </c>
    </row>
    <row r="20" spans="1:8">
      <c r="A20" s="66">
        <v>12</v>
      </c>
      <c r="B20" s="64">
        <v>16.666666666666668</v>
      </c>
      <c r="C20" s="16">
        <v>1</v>
      </c>
      <c r="D20" s="56">
        <v>1.7090000000000001</v>
      </c>
      <c r="E20" s="56">
        <v>1.7849999999999999</v>
      </c>
      <c r="F20" s="56">
        <v>1.806</v>
      </c>
      <c r="G20" s="16">
        <f t="shared" si="2"/>
        <v>20.050694207997577</v>
      </c>
      <c r="H20" s="19">
        <f t="shared" si="3"/>
        <v>0.57919270542523715</v>
      </c>
    </row>
    <row r="21" spans="1:8">
      <c r="A21" s="66">
        <v>13</v>
      </c>
      <c r="B21" s="64">
        <v>18</v>
      </c>
      <c r="C21" s="16">
        <v>1</v>
      </c>
      <c r="D21" s="56">
        <v>1.7869999999999999</v>
      </c>
      <c r="E21" s="56">
        <v>1.8180000000000001</v>
      </c>
      <c r="F21" s="56">
        <v>1.8120000000000001</v>
      </c>
      <c r="G21" s="16">
        <f t="shared" si="2"/>
        <v>20.493322740513751</v>
      </c>
      <c r="H21" s="19">
        <f t="shared" si="3"/>
        <v>0.18660556811771017</v>
      </c>
    </row>
    <row r="22" spans="1:8">
      <c r="A22" s="66">
        <v>14</v>
      </c>
      <c r="B22" s="64">
        <v>24</v>
      </c>
      <c r="C22" s="16">
        <v>1</v>
      </c>
      <c r="D22" s="56">
        <v>1.89</v>
      </c>
      <c r="E22" s="56">
        <v>1.9179999999999999</v>
      </c>
      <c r="F22" s="56">
        <v>1.907</v>
      </c>
      <c r="G22" s="16">
        <f t="shared" si="2"/>
        <v>21.620701395982294</v>
      </c>
      <c r="H22" s="19">
        <f t="shared" si="3"/>
        <v>0.16010368834032351</v>
      </c>
    </row>
    <row r="23" spans="1:8">
      <c r="A23" s="66">
        <v>15</v>
      </c>
      <c r="B23" s="64">
        <v>30</v>
      </c>
      <c r="C23" s="16">
        <v>1</v>
      </c>
      <c r="D23" s="56">
        <v>1.9710000000000001</v>
      </c>
      <c r="E23" s="56">
        <v>2.0019999999999998</v>
      </c>
      <c r="F23" s="56">
        <v>1.956</v>
      </c>
      <c r="G23" s="16">
        <f t="shared" si="2"/>
        <v>22.430295464003333</v>
      </c>
      <c r="H23" s="19">
        <f t="shared" si="3"/>
        <v>0.26624883002175803</v>
      </c>
    </row>
    <row r="24" spans="1:8">
      <c r="A24" s="66">
        <v>16</v>
      </c>
      <c r="B24" s="64">
        <v>48</v>
      </c>
      <c r="C24" s="16">
        <v>1</v>
      </c>
      <c r="D24" s="56">
        <v>2.036</v>
      </c>
      <c r="E24" s="56">
        <v>2.073</v>
      </c>
      <c r="F24" s="56">
        <v>2.0459999999999998</v>
      </c>
      <c r="G24" s="16">
        <f t="shared" ref="G24" si="4">(C24*1000*AVERAGE(D24:F24))/$B$2</f>
        <v>23.285287330231149</v>
      </c>
      <c r="H24" s="19">
        <f t="shared" ref="H24" si="5">(C24*1000*STDEV(D24:F24))/$B$2</f>
        <v>0.2172266064382489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59" t="s">
        <v>42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2" t="s">
        <v>4</v>
      </c>
      <c r="B6" s="22" t="s">
        <v>60</v>
      </c>
      <c r="C6" s="22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1</v>
      </c>
      <c r="D7" s="42">
        <v>0.185</v>
      </c>
      <c r="E7" s="42">
        <v>0.183</v>
      </c>
      <c r="F7" s="42">
        <v>0.187</v>
      </c>
      <c r="G7" s="16">
        <f>(C7*1000*AVERAGE(D7:F7))/$B$2</f>
        <v>2.053730017761989</v>
      </c>
      <c r="H7" s="19">
        <f>(C7*1000*STDEV(D7:F7))/$B$2</f>
        <v>2.2202486678508014E-2</v>
      </c>
    </row>
    <row r="8" spans="1:8">
      <c r="A8" s="66">
        <v>0</v>
      </c>
      <c r="B8" s="64">
        <v>0.16666666666666666</v>
      </c>
      <c r="C8" s="16">
        <v>1</v>
      </c>
      <c r="D8" s="42">
        <v>0.186</v>
      </c>
      <c r="E8" s="42">
        <v>0.188</v>
      </c>
      <c r="F8" s="42">
        <v>0.185</v>
      </c>
      <c r="G8" s="16">
        <f t="shared" ref="G8:G23" si="0">(C8*1000*AVERAGE(D8:F8))/$B$2</f>
        <v>2.068531675547661</v>
      </c>
      <c r="H8" s="19">
        <f t="shared" ref="H8:H23" si="1">(C8*1000*STDEV(D8:F8))/$B$2</f>
        <v>1.6957429303418606E-2</v>
      </c>
    </row>
    <row r="9" spans="1:8">
      <c r="A9" s="66">
        <v>1</v>
      </c>
      <c r="B9" s="64">
        <v>2</v>
      </c>
      <c r="C9" s="16">
        <v>1</v>
      </c>
      <c r="D9" s="42">
        <v>0.182</v>
      </c>
      <c r="E9" s="42">
        <v>0.188</v>
      </c>
      <c r="F9" s="42">
        <v>0.186</v>
      </c>
      <c r="G9" s="16">
        <f t="shared" si="0"/>
        <v>2.0574304322084074</v>
      </c>
      <c r="H9" s="19">
        <f t="shared" si="1"/>
        <v>3.3914858606837212E-2</v>
      </c>
    </row>
    <row r="10" spans="1:8">
      <c r="A10" s="66">
        <v>2</v>
      </c>
      <c r="B10" s="64">
        <v>3.3333333333333335</v>
      </c>
      <c r="C10" s="16">
        <v>1</v>
      </c>
      <c r="D10" s="55">
        <v>0.184</v>
      </c>
      <c r="E10" s="55">
        <v>0.183</v>
      </c>
      <c r="F10" s="55">
        <v>0.187</v>
      </c>
      <c r="G10" s="16">
        <f t="shared" si="0"/>
        <v>2.0500296033155716</v>
      </c>
      <c r="H10" s="19">
        <f t="shared" si="1"/>
        <v>2.3109080811124939E-2</v>
      </c>
    </row>
    <row r="11" spans="1:8">
      <c r="A11" s="66">
        <v>3</v>
      </c>
      <c r="B11" s="64">
        <v>4.666666666666667</v>
      </c>
      <c r="C11" s="16">
        <v>1</v>
      </c>
      <c r="D11" s="55">
        <v>0.182</v>
      </c>
      <c r="E11" s="55">
        <v>0.185</v>
      </c>
      <c r="F11" s="55">
        <v>0.18</v>
      </c>
      <c r="G11" s="16">
        <f t="shared" si="0"/>
        <v>2.0241267021906451</v>
      </c>
      <c r="H11" s="19">
        <f t="shared" si="1"/>
        <v>2.7937516412339981E-2</v>
      </c>
    </row>
    <row r="12" spans="1:8">
      <c r="A12" s="66">
        <v>4</v>
      </c>
      <c r="B12" s="64">
        <v>6</v>
      </c>
      <c r="C12" s="16">
        <v>1</v>
      </c>
      <c r="D12" s="55">
        <v>0.187</v>
      </c>
      <c r="E12" s="55">
        <v>0.188</v>
      </c>
      <c r="F12" s="55">
        <v>0.187</v>
      </c>
      <c r="G12" s="16">
        <f t="shared" si="0"/>
        <v>2.0796329188869156</v>
      </c>
      <c r="H12" s="19">
        <f t="shared" si="1"/>
        <v>6.4093058302578405E-3</v>
      </c>
    </row>
    <row r="13" spans="1:8">
      <c r="A13" s="66">
        <v>5</v>
      </c>
      <c r="B13" s="64">
        <v>7.333333333333333</v>
      </c>
      <c r="C13" s="16">
        <v>1</v>
      </c>
      <c r="D13" s="55">
        <v>0.186</v>
      </c>
      <c r="E13" s="55">
        <v>0.186</v>
      </c>
      <c r="F13" s="55">
        <v>0.191</v>
      </c>
      <c r="G13" s="16">
        <f t="shared" si="0"/>
        <v>2.0833333333333335</v>
      </c>
      <c r="H13" s="19">
        <f t="shared" si="1"/>
        <v>3.2046529151289201E-2</v>
      </c>
    </row>
    <row r="14" spans="1:8">
      <c r="A14" s="66">
        <v>6</v>
      </c>
      <c r="B14" s="64">
        <v>8.6666666666666661</v>
      </c>
      <c r="C14" s="16">
        <v>1</v>
      </c>
      <c r="D14" s="55">
        <v>0.192</v>
      </c>
      <c r="E14" s="55">
        <v>0.191</v>
      </c>
      <c r="F14" s="55">
        <v>0.189</v>
      </c>
      <c r="G14" s="16">
        <f t="shared" si="0"/>
        <v>2.1166370633510954</v>
      </c>
      <c r="H14" s="19">
        <f t="shared" si="1"/>
        <v>1.6957429303418606E-2</v>
      </c>
    </row>
    <row r="15" spans="1:8">
      <c r="A15" s="66">
        <v>7</v>
      </c>
      <c r="B15" s="64">
        <v>10</v>
      </c>
      <c r="C15" s="16">
        <v>1</v>
      </c>
      <c r="D15" s="55">
        <v>0.19500000000000001</v>
      </c>
      <c r="E15" s="55">
        <v>0.193</v>
      </c>
      <c r="F15" s="55">
        <v>0.19400000000000001</v>
      </c>
      <c r="G15" s="16">
        <f t="shared" si="0"/>
        <v>2.1536412078152756</v>
      </c>
      <c r="H15" s="19">
        <f t="shared" si="1"/>
        <v>1.1101243339254007E-2</v>
      </c>
    </row>
    <row r="16" spans="1:8">
      <c r="A16" s="66">
        <v>8</v>
      </c>
      <c r="B16" s="64">
        <v>11.333333333333334</v>
      </c>
      <c r="C16" s="16">
        <v>1</v>
      </c>
      <c r="D16" s="55">
        <v>0.19500000000000001</v>
      </c>
      <c r="E16" s="55">
        <v>0.19600000000000001</v>
      </c>
      <c r="F16" s="55">
        <v>0.19400000000000001</v>
      </c>
      <c r="G16" s="16">
        <f t="shared" si="0"/>
        <v>2.1647424511545292</v>
      </c>
      <c r="H16" s="19">
        <f t="shared" si="1"/>
        <v>1.1101243339254007E-2</v>
      </c>
    </row>
    <row r="17" spans="1:8">
      <c r="A17" s="66">
        <v>9</v>
      </c>
      <c r="B17" s="64">
        <v>12.666666666666666</v>
      </c>
      <c r="C17" s="16">
        <v>1</v>
      </c>
      <c r="D17" s="55">
        <v>0.19400000000000001</v>
      </c>
      <c r="E17" s="55">
        <v>0.19700000000000001</v>
      </c>
      <c r="F17" s="55">
        <v>0.19700000000000001</v>
      </c>
      <c r="G17" s="16">
        <f t="shared" si="0"/>
        <v>2.1758436944937838</v>
      </c>
      <c r="H17" s="19">
        <f t="shared" si="1"/>
        <v>1.9227917490773523E-2</v>
      </c>
    </row>
    <row r="18" spans="1:8">
      <c r="A18" s="66">
        <v>10</v>
      </c>
      <c r="B18" s="64">
        <v>14</v>
      </c>
      <c r="C18" s="16">
        <v>1</v>
      </c>
      <c r="D18" s="42">
        <v>0.21</v>
      </c>
      <c r="E18" s="42">
        <v>0.21099999999999999</v>
      </c>
      <c r="F18" s="42">
        <v>0.21299999999999999</v>
      </c>
      <c r="G18" s="16">
        <f t="shared" si="0"/>
        <v>2.3460627590290115</v>
      </c>
      <c r="H18" s="19">
        <f t="shared" si="1"/>
        <v>1.6957429303418606E-2</v>
      </c>
    </row>
    <row r="19" spans="1:8">
      <c r="A19" s="66">
        <v>11</v>
      </c>
      <c r="B19" s="64">
        <v>15.333333333333334</v>
      </c>
      <c r="C19" s="16">
        <v>1</v>
      </c>
      <c r="D19" s="55">
        <v>0.20499999999999999</v>
      </c>
      <c r="E19" s="55">
        <v>0.20899999999999999</v>
      </c>
      <c r="F19" s="55">
        <v>0.20699999999999999</v>
      </c>
      <c r="G19" s="16">
        <f t="shared" si="0"/>
        <v>2.2979573712255772</v>
      </c>
      <c r="H19" s="19">
        <f t="shared" si="1"/>
        <v>2.2202486678508014E-2</v>
      </c>
    </row>
    <row r="20" spans="1:8">
      <c r="A20" s="66">
        <v>12</v>
      </c>
      <c r="B20" s="64">
        <v>16.666666666666668</v>
      </c>
      <c r="C20" s="16">
        <v>1</v>
      </c>
      <c r="D20" s="55">
        <v>0.23699999999999999</v>
      </c>
      <c r="E20" s="55">
        <v>0.23599999999999999</v>
      </c>
      <c r="F20" s="55">
        <v>0.24</v>
      </c>
      <c r="G20" s="16">
        <f t="shared" si="0"/>
        <v>2.6383955002960331</v>
      </c>
      <c r="H20" s="19">
        <f t="shared" si="1"/>
        <v>2.3109080811124939E-2</v>
      </c>
    </row>
    <row r="21" spans="1:8">
      <c r="A21" s="66">
        <v>13</v>
      </c>
      <c r="B21" s="64">
        <v>18</v>
      </c>
      <c r="C21" s="16">
        <v>1</v>
      </c>
      <c r="D21" s="55">
        <v>0.34699999999999998</v>
      </c>
      <c r="E21" s="55">
        <v>0.35399999999999998</v>
      </c>
      <c r="F21" s="55">
        <v>0.35299999999999998</v>
      </c>
      <c r="G21" s="16">
        <f t="shared" si="0"/>
        <v>3.9002368265245702</v>
      </c>
      <c r="H21" s="19">
        <f t="shared" si="1"/>
        <v>4.2028628965366181E-2</v>
      </c>
    </row>
    <row r="22" spans="1:8">
      <c r="A22" s="66">
        <v>14</v>
      </c>
      <c r="B22" s="64">
        <v>24</v>
      </c>
      <c r="C22" s="16">
        <v>1</v>
      </c>
      <c r="D22" s="55">
        <v>0.53300000000000003</v>
      </c>
      <c r="E22" s="55">
        <v>0.54300000000000004</v>
      </c>
      <c r="F22" s="55">
        <v>0.54100000000000004</v>
      </c>
      <c r="G22" s="16">
        <f t="shared" si="0"/>
        <v>5.9835701598579041</v>
      </c>
      <c r="H22" s="19">
        <f t="shared" si="1"/>
        <v>5.874225823855668E-2</v>
      </c>
    </row>
    <row r="23" spans="1:8">
      <c r="A23" s="66">
        <v>15</v>
      </c>
      <c r="B23" s="64">
        <v>30</v>
      </c>
      <c r="C23" s="16">
        <v>1</v>
      </c>
      <c r="D23" s="55">
        <v>0.55300000000000005</v>
      </c>
      <c r="E23" s="55">
        <v>0.55700000000000005</v>
      </c>
      <c r="F23" s="55">
        <v>0.54900000000000004</v>
      </c>
      <c r="G23" s="16">
        <f t="shared" si="0"/>
        <v>6.1389875666074598</v>
      </c>
      <c r="H23" s="19">
        <f t="shared" si="1"/>
        <v>4.4404973357016028E-2</v>
      </c>
    </row>
    <row r="24" spans="1:8">
      <c r="A24" s="66">
        <v>16</v>
      </c>
      <c r="B24" s="64">
        <v>48</v>
      </c>
      <c r="C24" s="16">
        <v>1</v>
      </c>
      <c r="D24" s="55">
        <v>0.59099999999999997</v>
      </c>
      <c r="E24" s="55">
        <v>0.60299999999999998</v>
      </c>
      <c r="F24" s="55">
        <v>0.60399999999999998</v>
      </c>
      <c r="G24" s="16">
        <f t="shared" ref="G24" si="2">(C24*1000*AVERAGE(D24:F24))/$B$2</f>
        <v>6.6533451746595622</v>
      </c>
      <c r="H24" s="19">
        <f t="shared" ref="H24" si="3">(C24*1000*STDEV(D24:F24))/$B$2</f>
        <v>8.0308371870229142E-2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7" sqref="B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59" t="s">
        <v>44</v>
      </c>
      <c r="B4" s="160"/>
      <c r="C4" s="160"/>
      <c r="D4" s="160"/>
      <c r="E4" s="160"/>
      <c r="F4" s="160"/>
      <c r="G4" s="160"/>
      <c r="H4" s="161"/>
    </row>
    <row r="5" spans="1:8">
      <c r="A5" s="162" t="s">
        <v>62</v>
      </c>
      <c r="B5" s="160"/>
      <c r="C5" s="161"/>
      <c r="D5" s="163" t="s">
        <v>45</v>
      </c>
      <c r="E5" s="163" t="s">
        <v>46</v>
      </c>
      <c r="F5" s="163" t="s">
        <v>47</v>
      </c>
      <c r="G5" s="165" t="s">
        <v>63</v>
      </c>
      <c r="H5" s="165" t="s">
        <v>64</v>
      </c>
    </row>
    <row r="6" spans="1:8">
      <c r="A6" s="22" t="s">
        <v>4</v>
      </c>
      <c r="B6" s="22" t="s">
        <v>60</v>
      </c>
      <c r="C6" s="22" t="s">
        <v>19</v>
      </c>
      <c r="D6" s="164"/>
      <c r="E6" s="164"/>
      <c r="F6" s="164"/>
      <c r="G6" s="166"/>
      <c r="H6" s="166"/>
    </row>
    <row r="7" spans="1:8">
      <c r="A7" s="65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6">
        <v>0</v>
      </c>
      <c r="B8" s="64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6">
        <v>1</v>
      </c>
      <c r="B9" s="64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6">
        <v>2</v>
      </c>
      <c r="B10" s="64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6">
        <v>3</v>
      </c>
      <c r="B11" s="64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6">
        <v>4</v>
      </c>
      <c r="B12" s="64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6">
        <v>5</v>
      </c>
      <c r="B13" s="64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6">
        <v>6</v>
      </c>
      <c r="B14" s="64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6">
        <v>7</v>
      </c>
      <c r="B15" s="64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6">
        <v>8</v>
      </c>
      <c r="B16" s="64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6">
        <v>9</v>
      </c>
      <c r="B17" s="64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6">
        <v>10</v>
      </c>
      <c r="B18" s="64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6">
        <v>11</v>
      </c>
      <c r="B19" s="64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6">
        <v>12</v>
      </c>
      <c r="B20" s="64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6">
        <v>13</v>
      </c>
      <c r="B21" s="64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6">
        <v>14</v>
      </c>
      <c r="B22" s="64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6">
        <v>15</v>
      </c>
      <c r="B23" s="64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6">
        <v>16</v>
      </c>
      <c r="B24" s="64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30.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31">
        <f>Metabolites!H4-Metabolites!H20</f>
        <v>51.520870337477795</v>
      </c>
      <c r="C2" s="31">
        <f>Metabolites!I4+Metabolites!I20</f>
        <v>0.56746793601829615</v>
      </c>
    </row>
    <row r="3" spans="1:5">
      <c r="A3" s="30" t="s">
        <v>183</v>
      </c>
      <c r="B3" s="31">
        <f>Metabolites!P20-Metabolites!P4</f>
        <v>64.268329957527968</v>
      </c>
      <c r="C3" s="31">
        <f>Metabolites!Q4+Metabolites!Q20</f>
        <v>1.1669269064584369</v>
      </c>
    </row>
    <row r="4" spans="1:5">
      <c r="A4" s="30" t="s">
        <v>184</v>
      </c>
      <c r="B4" s="31">
        <f>Metabolites!T4-Metabolites!T20</f>
        <v>6.4161054384821501</v>
      </c>
      <c r="C4" s="31">
        <f>Metabolites!U4+Metabolites!U20</f>
        <v>0.62412807376103252</v>
      </c>
    </row>
    <row r="5" spans="1:5">
      <c r="A5" s="30" t="s">
        <v>123</v>
      </c>
      <c r="B5" s="31">
        <f>Metabolites!L20-Metabolites!L4</f>
        <v>5.0066068903578937</v>
      </c>
      <c r="C5" s="31">
        <f>Metabolites!M20+Metabolites!M4</f>
        <v>0.10235700561703086</v>
      </c>
    </row>
    <row r="6" spans="1:5">
      <c r="A6" s="30" t="s">
        <v>124</v>
      </c>
      <c r="B6" s="31">
        <f>Metabolites!L41-Metabolites!L25</f>
        <v>24.761474128199001</v>
      </c>
      <c r="C6" s="31">
        <f>Metabolites!M41+Metabolites!M25</f>
        <v>0.23099783648767078</v>
      </c>
    </row>
    <row r="7" spans="1:5">
      <c r="A7" s="30" t="s">
        <v>80</v>
      </c>
      <c r="B7" s="31">
        <f>'H2'!G101</f>
        <v>88.889106304266974</v>
      </c>
    </row>
    <row r="8" spans="1:5">
      <c r="A8" s="30" t="s">
        <v>81</v>
      </c>
      <c r="B8" s="31">
        <f>'CO2'!G101</f>
        <v>53.456565019140285</v>
      </c>
    </row>
    <row r="9" spans="1:5">
      <c r="A9" s="30" t="s">
        <v>125</v>
      </c>
      <c r="B9" s="31">
        <f>Calculation!G20*1.5/1000</f>
        <v>9.4500000000000001E-2</v>
      </c>
    </row>
    <row r="10" spans="1:5" ht="16">
      <c r="A10" s="30" t="s">
        <v>126</v>
      </c>
      <c r="B10" s="31">
        <f>Calculation!H20*1.5/1000</f>
        <v>1.5E-3</v>
      </c>
    </row>
    <row r="12" spans="1:5">
      <c r="A12" s="30" t="s">
        <v>82</v>
      </c>
      <c r="B12" s="68">
        <f>((4*$B$6)+(3*$B$5)+(2*$B$3)+(B8))/((6*$B$2)+($B$4))</f>
        <v>0.93825726252119546</v>
      </c>
    </row>
    <row r="14" spans="1:5">
      <c r="A14" s="59"/>
      <c r="B14" s="59"/>
      <c r="C14" s="59" t="s">
        <v>127</v>
      </c>
      <c r="D14" s="59" t="s">
        <v>128</v>
      </c>
    </row>
    <row r="15" spans="1:5">
      <c r="A15" s="59" t="s">
        <v>157</v>
      </c>
      <c r="B15" s="59" t="s">
        <v>129</v>
      </c>
      <c r="C15" s="60">
        <f>B2</f>
        <v>51.520870337477795</v>
      </c>
      <c r="D15" s="60">
        <f>B2</f>
        <v>51.520870337477795</v>
      </c>
      <c r="E15" s="59"/>
    </row>
    <row r="16" spans="1:5">
      <c r="A16" s="59" t="s">
        <v>130</v>
      </c>
      <c r="B16" s="59" t="s">
        <v>131</v>
      </c>
      <c r="C16" s="60">
        <f>2*C15</f>
        <v>103.04174067495559</v>
      </c>
      <c r="D16" s="60">
        <f>2*B2</f>
        <v>103.04174067495559</v>
      </c>
      <c r="E16" s="59"/>
    </row>
    <row r="17" spans="1:5">
      <c r="A17" s="59" t="s">
        <v>132</v>
      </c>
      <c r="B17" s="59" t="s">
        <v>133</v>
      </c>
      <c r="C17" s="60">
        <f>B5</f>
        <v>5.0066068903578937</v>
      </c>
      <c r="D17" s="60">
        <f>B5</f>
        <v>5.0066068903578937</v>
      </c>
      <c r="E17" s="59"/>
    </row>
    <row r="18" spans="1:5">
      <c r="A18" s="59" t="s">
        <v>134</v>
      </c>
      <c r="B18" s="59" t="s">
        <v>135</v>
      </c>
      <c r="C18" s="60">
        <f>B4</f>
        <v>6.4161054384821501</v>
      </c>
      <c r="D18" s="60">
        <f>B4</f>
        <v>6.4161054384821501</v>
      </c>
      <c r="E18" s="59"/>
    </row>
    <row r="19" spans="1:5">
      <c r="A19" s="59" t="s">
        <v>158</v>
      </c>
      <c r="B19" s="59" t="s">
        <v>136</v>
      </c>
      <c r="C19" s="77">
        <f>C16-C17-C18</f>
        <v>91.619028346115542</v>
      </c>
      <c r="D19" s="77">
        <f>B8</f>
        <v>53.456565019140285</v>
      </c>
      <c r="E19" s="59"/>
    </row>
    <row r="20" spans="1:5">
      <c r="A20" s="59" t="s">
        <v>156</v>
      </c>
      <c r="B20" s="59" t="s">
        <v>156</v>
      </c>
      <c r="C20" s="67">
        <f>C16-C17</f>
        <v>98.03513378459769</v>
      </c>
      <c r="D20" s="67"/>
      <c r="E20" s="59"/>
    </row>
    <row r="21" spans="1:5">
      <c r="A21" s="59" t="s">
        <v>159</v>
      </c>
      <c r="B21" s="59" t="s">
        <v>137</v>
      </c>
      <c r="C21" s="60">
        <f>B3</f>
        <v>64.268329957527968</v>
      </c>
      <c r="D21" s="60">
        <f>B3</f>
        <v>64.268329957527968</v>
      </c>
      <c r="E21" s="59"/>
    </row>
    <row r="22" spans="1:5">
      <c r="A22" s="59" t="s">
        <v>160</v>
      </c>
      <c r="B22" s="59" t="s">
        <v>139</v>
      </c>
      <c r="C22" s="60">
        <f>C16-C17+C21</f>
        <v>162.30346374212564</v>
      </c>
      <c r="D22" s="60">
        <f>B6</f>
        <v>24.761474128199001</v>
      </c>
      <c r="E22" s="59"/>
    </row>
    <row r="23" spans="1:5">
      <c r="A23" s="59" t="s">
        <v>161</v>
      </c>
      <c r="B23" s="59" t="s">
        <v>140</v>
      </c>
      <c r="C23" s="77">
        <f>C22/2</f>
        <v>81.151731871062822</v>
      </c>
      <c r="D23" s="77">
        <f>B6</f>
        <v>24.761474128199001</v>
      </c>
      <c r="E23" s="59"/>
    </row>
    <row r="24" spans="1:5">
      <c r="A24" t="s">
        <v>152</v>
      </c>
      <c r="B24" t="s">
        <v>153</v>
      </c>
      <c r="C24" s="31">
        <f>C20-C21</f>
        <v>33.766803827069722</v>
      </c>
      <c r="D24" s="31"/>
      <c r="E24" s="59"/>
    </row>
    <row r="25" spans="1:5">
      <c r="A25" t="s">
        <v>154</v>
      </c>
      <c r="B25" t="s">
        <v>155</v>
      </c>
      <c r="C25" s="76">
        <f>C24-C18</f>
        <v>27.350698388587574</v>
      </c>
      <c r="D25" s="76">
        <f>B7</f>
        <v>88.889106304266974</v>
      </c>
      <c r="E25" s="59"/>
    </row>
    <row r="26" spans="1:5">
      <c r="A26" s="59"/>
      <c r="B26" s="59"/>
      <c r="C26" s="59"/>
      <c r="D26" s="59"/>
      <c r="E26" s="59"/>
    </row>
    <row r="27" spans="1:5">
      <c r="A27" s="59"/>
      <c r="B27" s="59"/>
      <c r="C27" s="59"/>
      <c r="D27" s="59"/>
      <c r="E27" s="59"/>
    </row>
    <row r="28" spans="1:5">
      <c r="A28" s="59"/>
      <c r="B28" s="59"/>
      <c r="C28" s="59"/>
      <c r="D28" s="59"/>
      <c r="E28" s="59"/>
    </row>
    <row r="29" spans="1:5">
      <c r="C29" s="59"/>
      <c r="D29" s="59"/>
      <c r="E29" s="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18" sqref="C18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31" t="s">
        <v>4</v>
      </c>
      <c r="B1" s="131" t="s">
        <v>117</v>
      </c>
      <c r="C1" s="131" t="s">
        <v>117</v>
      </c>
      <c r="D1" s="131" t="s">
        <v>5</v>
      </c>
      <c r="E1" s="136" t="s">
        <v>18</v>
      </c>
      <c r="F1" s="136"/>
      <c r="G1" s="136"/>
      <c r="H1" s="136"/>
      <c r="I1" s="136" t="s">
        <v>20</v>
      </c>
      <c r="J1" s="136"/>
      <c r="K1" s="136"/>
      <c r="L1" s="136"/>
      <c r="M1" s="136" t="s">
        <v>21</v>
      </c>
      <c r="N1" s="136"/>
      <c r="O1" s="136"/>
      <c r="P1" s="136"/>
      <c r="Q1" s="38" t="s">
        <v>22</v>
      </c>
      <c r="R1" s="38" t="s">
        <v>22</v>
      </c>
      <c r="S1" s="38" t="s">
        <v>22</v>
      </c>
    </row>
    <row r="2" spans="1:19">
      <c r="A2" s="132"/>
      <c r="B2" s="132"/>
      <c r="C2" s="132"/>
      <c r="D2" s="132"/>
      <c r="E2" s="41" t="s">
        <v>19</v>
      </c>
      <c r="F2" s="41" t="s">
        <v>68</v>
      </c>
      <c r="G2" s="41" t="s">
        <v>118</v>
      </c>
      <c r="H2" s="41" t="s">
        <v>70</v>
      </c>
      <c r="I2" s="41" t="s">
        <v>19</v>
      </c>
      <c r="J2" s="41" t="s">
        <v>68</v>
      </c>
      <c r="K2" s="41" t="s">
        <v>69</v>
      </c>
      <c r="L2" s="41" t="s">
        <v>70</v>
      </c>
      <c r="M2" s="41" t="s">
        <v>19</v>
      </c>
      <c r="N2" s="41" t="s">
        <v>68</v>
      </c>
      <c r="O2" s="41" t="s">
        <v>69</v>
      </c>
      <c r="P2" s="41" t="s">
        <v>71</v>
      </c>
      <c r="Q2" s="39" t="s">
        <v>70</v>
      </c>
      <c r="R2" s="39" t="s">
        <v>23</v>
      </c>
      <c r="S2" s="39" t="s">
        <v>72</v>
      </c>
    </row>
    <row r="3" spans="1:19" s="6" customFormat="1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Q3" s="133"/>
      <c r="R3" s="134"/>
      <c r="S3" s="135"/>
    </row>
    <row r="4" spans="1:19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Q4" s="45" t="e">
        <f>AVERAGE('Flow cytometer'!P4,'Flow cytometer'!L4,'Flow cytometer'!H4)*Calculation!K4/Calculation!M3</f>
        <v>#DIV/0!</v>
      </c>
      <c r="R4" s="45" t="e">
        <f>STDEV('Flow cytometer'!P4,'Flow cytometer'!L4,'Flow cytometer'!H4)*Calculation!K4/Calculation!M3</f>
        <v>#DIV/0!</v>
      </c>
      <c r="S4" s="46" t="e">
        <f t="shared" ref="S4:S19" si="1">LOG(Q4)</f>
        <v>#DIV/0!</v>
      </c>
    </row>
    <row r="5" spans="1:19">
      <c r="A5" s="63">
        <v>1</v>
      </c>
      <c r="B5" s="32">
        <v>110</v>
      </c>
      <c r="C5" s="32">
        <f>C4+B5</f>
        <v>120</v>
      </c>
      <c r="D5" s="13">
        <f t="shared" si="0"/>
        <v>2</v>
      </c>
      <c r="Q5" s="45" t="e">
        <f>AVERAGE('Flow cytometer'!P5,'Flow cytometer'!L5,'Flow cytometer'!H5)*Calculation!K5/Calculation!M4</f>
        <v>#DIV/0!</v>
      </c>
      <c r="R5" s="45" t="e">
        <f>STDEV('Flow cytometer'!P5,'Flow cytometer'!L5,'Flow cytometer'!H5)*Calculation!K5/Calculation!M4</f>
        <v>#DIV/0!</v>
      </c>
      <c r="S5" s="46" t="e">
        <f t="shared" si="1"/>
        <v>#DIV/0!</v>
      </c>
    </row>
    <row r="6" spans="1:19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Q6" s="45" t="e">
        <f>AVERAGE('Flow cytometer'!P6,'Flow cytometer'!L6,'Flow cytometer'!H6)*Calculation!K6/Calculation!M5</f>
        <v>#DIV/0!</v>
      </c>
      <c r="R6" s="45" t="e">
        <f>STDEV('Flow cytometer'!P6,'Flow cytometer'!L6,'Flow cytometer'!H6)*Calculation!K6/Calculation!M5</f>
        <v>#DIV/0!</v>
      </c>
      <c r="S6" s="46" t="e">
        <f t="shared" si="1"/>
        <v>#DIV/0!</v>
      </c>
    </row>
    <row r="7" spans="1:19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Q7" s="45" t="e">
        <f>AVERAGE('Flow cytometer'!P7,'Flow cytometer'!L7,'Flow cytometer'!H7)*Calculation!K7/Calculation!M6</f>
        <v>#DIV/0!</v>
      </c>
      <c r="R7" s="45" t="e">
        <f>STDEV('Flow cytometer'!P7,'Flow cytometer'!L7,'Flow cytometer'!H7)*Calculation!K7/Calculation!M6</f>
        <v>#DIV/0!</v>
      </c>
      <c r="S7" s="46" t="e">
        <f t="shared" si="1"/>
        <v>#DIV/0!</v>
      </c>
    </row>
    <row r="8" spans="1:19">
      <c r="A8" s="63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5" t="e">
        <f>AVERAGE('Flow cytometer'!P8,'Flow cytometer'!L8,'Flow cytometer'!H8)*Calculation!K8/Calculation!M7</f>
        <v>#DIV/0!</v>
      </c>
      <c r="R8" s="45" t="e">
        <f>STDEV('Flow cytometer'!P8,'Flow cytometer'!L8,'Flow cytometer'!H8)*Calculation!K8/Calculation!M7</f>
        <v>#DIV/0!</v>
      </c>
      <c r="S8" s="46" t="e">
        <f t="shared" si="1"/>
        <v>#DIV/0!</v>
      </c>
    </row>
    <row r="9" spans="1:19">
      <c r="A9" s="63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5" t="e">
        <f>AVERAGE('Flow cytometer'!P9,'Flow cytometer'!L9,'Flow cytometer'!H9)*Calculation!K9/Calculation!M8</f>
        <v>#DIV/0!</v>
      </c>
      <c r="R9" s="45" t="e">
        <f>STDEV('Flow cytometer'!P9,'Flow cytometer'!L9,'Flow cytometer'!H9)*Calculation!K9/Calculation!M8</f>
        <v>#DIV/0!</v>
      </c>
      <c r="S9" s="46" t="e">
        <f t="shared" si="1"/>
        <v>#DIV/0!</v>
      </c>
    </row>
    <row r="10" spans="1:19">
      <c r="A10" s="63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5" t="e">
        <f>AVERAGE('Flow cytometer'!P10,'Flow cytometer'!L10,'Flow cytometer'!H10)*Calculation!K10/Calculation!M9</f>
        <v>#DIV/0!</v>
      </c>
      <c r="R10" s="45" t="e">
        <f>STDEV('Flow cytometer'!P10,'Flow cytometer'!L10,'Flow cytometer'!H10)*Calculation!K10/Calculation!M9</f>
        <v>#DIV/0!</v>
      </c>
      <c r="S10" s="46" t="e">
        <f t="shared" si="1"/>
        <v>#DIV/0!</v>
      </c>
    </row>
    <row r="11" spans="1:19">
      <c r="A11" s="63">
        <v>7</v>
      </c>
      <c r="B11" s="32">
        <v>80</v>
      </c>
      <c r="C11" s="32">
        <f t="shared" si="2"/>
        <v>600</v>
      </c>
      <c r="D11" s="13">
        <f t="shared" si="0"/>
        <v>10</v>
      </c>
      <c r="Q11" s="45" t="e">
        <f>AVERAGE('Flow cytometer'!P11,'Flow cytometer'!L11,'Flow cytometer'!H11)*Calculation!K11/Calculation!M10</f>
        <v>#DIV/0!</v>
      </c>
      <c r="R11" s="45" t="e">
        <f>STDEV('Flow cytometer'!P11,'Flow cytometer'!L11,'Flow cytometer'!H11)*Calculation!K11/Calculation!M10</f>
        <v>#DIV/0!</v>
      </c>
      <c r="S11" s="46" t="e">
        <f t="shared" si="1"/>
        <v>#DIV/0!</v>
      </c>
    </row>
    <row r="12" spans="1:19">
      <c r="A12" s="63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5" t="e">
        <f>AVERAGE('Flow cytometer'!P12,'Flow cytometer'!L12,'Flow cytometer'!H12)*Calculation!K12/Calculation!M11</f>
        <v>#DIV/0!</v>
      </c>
      <c r="R12" s="45" t="e">
        <f>STDEV('Flow cytometer'!P12,'Flow cytometer'!L12,'Flow cytometer'!H12)*Calculation!K12/Calculation!M11</f>
        <v>#DIV/0!</v>
      </c>
      <c r="S12" s="46" t="e">
        <f t="shared" si="1"/>
        <v>#DIV/0!</v>
      </c>
    </row>
    <row r="13" spans="1:19">
      <c r="A13" s="63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5" t="e">
        <f>AVERAGE('Flow cytometer'!P13,'Flow cytometer'!L13,'Flow cytometer'!H13)*Calculation!K13/Calculation!M12</f>
        <v>#DIV/0!</v>
      </c>
      <c r="R13" s="45" t="e">
        <f>STDEV('Flow cytometer'!P13,'Flow cytometer'!L13,'Flow cytometer'!H13)*Calculation!K13/Calculation!M12</f>
        <v>#DIV/0!</v>
      </c>
      <c r="S13" s="46" t="e">
        <f t="shared" si="1"/>
        <v>#DIV/0!</v>
      </c>
    </row>
    <row r="14" spans="1:19">
      <c r="A14" s="63">
        <v>10</v>
      </c>
      <c r="B14" s="32">
        <v>80</v>
      </c>
      <c r="C14" s="32">
        <f t="shared" si="2"/>
        <v>840</v>
      </c>
      <c r="D14" s="13">
        <f t="shared" si="0"/>
        <v>14</v>
      </c>
      <c r="Q14" s="45" t="e">
        <f>AVERAGE('Flow cytometer'!P14,'Flow cytometer'!L14,'Flow cytometer'!H14)*Calculation!K14/Calculation!M13</f>
        <v>#DIV/0!</v>
      </c>
      <c r="R14" s="45" t="e">
        <f>STDEV('Flow cytometer'!P14,'Flow cytometer'!L14,'Flow cytometer'!H14)*Calculation!K14/Calculation!M13</f>
        <v>#DIV/0!</v>
      </c>
      <c r="S14" s="46" t="e">
        <f t="shared" si="1"/>
        <v>#DIV/0!</v>
      </c>
    </row>
    <row r="15" spans="1:19">
      <c r="A15" s="63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5" t="e">
        <f>AVERAGE('Flow cytometer'!P15,'Flow cytometer'!L15,'Flow cytometer'!H15)*Calculation!K15/Calculation!M14</f>
        <v>#DIV/0!</v>
      </c>
      <c r="R15" s="45" t="e">
        <f>STDEV('Flow cytometer'!P15,'Flow cytometer'!L15,'Flow cytometer'!H15)*Calculation!K15/Calculation!M14</f>
        <v>#DIV/0!</v>
      </c>
      <c r="S15" s="46" t="e">
        <f t="shared" si="1"/>
        <v>#DIV/0!</v>
      </c>
    </row>
    <row r="16" spans="1:19">
      <c r="A16" s="63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5" t="e">
        <f>AVERAGE('Flow cytometer'!P16,'Flow cytometer'!L16,'Flow cytometer'!H16)*Calculation!K16/Calculation!M15</f>
        <v>#DIV/0!</v>
      </c>
      <c r="R16" s="45" t="e">
        <f>STDEV('Flow cytometer'!P16,'Flow cytometer'!L16,'Flow cytometer'!H16)*Calculation!K16/Calculation!M15</f>
        <v>#DIV/0!</v>
      </c>
      <c r="S16" s="46" t="e">
        <f t="shared" si="1"/>
        <v>#DIV/0!</v>
      </c>
    </row>
    <row r="17" spans="1:19">
      <c r="A17" s="63">
        <v>13</v>
      </c>
      <c r="B17" s="32">
        <v>80</v>
      </c>
      <c r="C17" s="32">
        <f t="shared" si="2"/>
        <v>1080</v>
      </c>
      <c r="D17" s="13">
        <f t="shared" si="0"/>
        <v>18</v>
      </c>
      <c r="Q17" s="45" t="e">
        <f>AVERAGE('Flow cytometer'!P17,'Flow cytometer'!L17,'Flow cytometer'!H17)*Calculation!K17/Calculation!M16</f>
        <v>#DIV/0!</v>
      </c>
      <c r="R17" s="45" t="e">
        <f>STDEV('Flow cytometer'!P17,'Flow cytometer'!L17,'Flow cytometer'!H17)*Calculation!K17/Calculation!M16</f>
        <v>#DIV/0!</v>
      </c>
      <c r="S17" s="46" t="e">
        <f t="shared" si="1"/>
        <v>#DIV/0!</v>
      </c>
    </row>
    <row r="18" spans="1:19">
      <c r="A18" s="63">
        <v>14</v>
      </c>
      <c r="B18" s="32">
        <v>360</v>
      </c>
      <c r="C18" s="32">
        <f t="shared" si="2"/>
        <v>1440</v>
      </c>
      <c r="D18" s="13">
        <f t="shared" si="0"/>
        <v>24</v>
      </c>
      <c r="Q18" s="45" t="e">
        <f>AVERAGE('Flow cytometer'!P18,'Flow cytometer'!L18,'Flow cytometer'!H18)*Calculation!K18/Calculation!M17</f>
        <v>#DIV/0!</v>
      </c>
      <c r="R18" s="45" t="e">
        <f>STDEV('Flow cytometer'!P18,'Flow cytometer'!L18,'Flow cytometer'!H18)*Calculation!K18/Calculation!M17</f>
        <v>#DIV/0!</v>
      </c>
      <c r="S18" s="46" t="e">
        <f t="shared" si="1"/>
        <v>#DIV/0!</v>
      </c>
    </row>
    <row r="19" spans="1:19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Q19" s="45" t="e">
        <f>AVERAGE('Flow cytometer'!P19,'Flow cytometer'!L19,'Flow cytometer'!H19)*Calculation!K19/Calculation!M18</f>
        <v>#DIV/0!</v>
      </c>
      <c r="R19" s="45" t="e">
        <f>STDEV('Flow cytometer'!P19,'Flow cytometer'!L19,'Flow cytometer'!H19)*Calculation!K19/Calculation!M18</f>
        <v>#DIV/0!</v>
      </c>
      <c r="S19" s="46" t="e">
        <f t="shared" si="1"/>
        <v>#DIV/0!</v>
      </c>
    </row>
    <row r="20" spans="1:19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Q20" s="45" t="e">
        <f>AVERAGE('Flow cytometer'!P20,'Flow cytometer'!L20,'Flow cytometer'!H20)*Calculation!K20/Calculation!M19</f>
        <v>#DIV/0!</v>
      </c>
      <c r="R20" s="45" t="e">
        <f>STDEV('Flow cytometer'!P20,'Flow cytometer'!L20,'Flow cytometer'!H20)*Calculation!K20/Calculation!M19</f>
        <v>#DIV/0!</v>
      </c>
      <c r="S20" s="46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E1" workbookViewId="0">
      <selection activeCell="N23" sqref="N23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</cols>
  <sheetData>
    <row r="1" spans="1:24">
      <c r="A1" s="131" t="s">
        <v>4</v>
      </c>
      <c r="B1" s="131" t="s">
        <v>117</v>
      </c>
      <c r="C1" s="131" t="s">
        <v>117</v>
      </c>
      <c r="D1" s="131" t="s">
        <v>5</v>
      </c>
      <c r="E1" s="130" t="s">
        <v>119</v>
      </c>
      <c r="F1" s="130"/>
      <c r="G1" s="130"/>
      <c r="H1" s="130"/>
      <c r="I1" s="130" t="s">
        <v>120</v>
      </c>
      <c r="J1" s="130"/>
      <c r="K1" s="130"/>
      <c r="L1" s="130"/>
      <c r="M1" s="130" t="s">
        <v>121</v>
      </c>
      <c r="N1" s="130"/>
      <c r="O1" s="130"/>
      <c r="P1" s="130"/>
      <c r="Q1" s="24" t="s">
        <v>122</v>
      </c>
      <c r="R1" s="24" t="s">
        <v>122</v>
      </c>
      <c r="S1" s="24" t="s">
        <v>122</v>
      </c>
      <c r="T1" s="57" t="s">
        <v>122</v>
      </c>
      <c r="U1" s="72" t="s">
        <v>119</v>
      </c>
      <c r="V1" s="72" t="s">
        <v>120</v>
      </c>
      <c r="W1" s="72" t="s">
        <v>121</v>
      </c>
      <c r="X1" s="72" t="s">
        <v>122</v>
      </c>
    </row>
    <row r="2" spans="1:24">
      <c r="A2" s="132"/>
      <c r="B2" s="132"/>
      <c r="C2" s="132"/>
      <c r="D2" s="132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8" t="s">
        <v>138</v>
      </c>
      <c r="U2" s="73" t="s">
        <v>148</v>
      </c>
      <c r="V2" s="73" t="s">
        <v>148</v>
      </c>
      <c r="W2" s="73" t="s">
        <v>148</v>
      </c>
      <c r="X2" s="73" t="s">
        <v>149</v>
      </c>
    </row>
    <row r="3" spans="1:24">
      <c r="A3" s="61" t="s">
        <v>6</v>
      </c>
      <c r="B3" s="32">
        <v>-10</v>
      </c>
      <c r="C3" s="32">
        <f>B3</f>
        <v>-10</v>
      </c>
      <c r="D3" s="13">
        <f>C3/60</f>
        <v>-0.16666666666666666</v>
      </c>
      <c r="E3" s="43" t="s">
        <v>101</v>
      </c>
      <c r="F3" s="43" t="s">
        <v>101</v>
      </c>
      <c r="G3" s="43" t="s">
        <v>101</v>
      </c>
      <c r="H3" s="44" t="s">
        <v>101</v>
      </c>
      <c r="I3" s="43" t="s">
        <v>101</v>
      </c>
      <c r="J3" s="43" t="s">
        <v>101</v>
      </c>
      <c r="K3" s="43" t="s">
        <v>101</v>
      </c>
      <c r="L3" s="44" t="s">
        <v>101</v>
      </c>
      <c r="M3" s="43" t="s">
        <v>101</v>
      </c>
      <c r="N3" s="43" t="s">
        <v>101</v>
      </c>
      <c r="O3" s="43" t="s">
        <v>101</v>
      </c>
      <c r="P3" s="44" t="s">
        <v>101</v>
      </c>
      <c r="Q3" s="137" t="s">
        <v>101</v>
      </c>
      <c r="R3" s="138"/>
      <c r="S3" s="139"/>
      <c r="T3" s="71"/>
      <c r="U3" s="44" t="s">
        <v>101</v>
      </c>
      <c r="V3" s="44" t="s">
        <v>101</v>
      </c>
      <c r="W3" s="44" t="s">
        <v>101</v>
      </c>
      <c r="X3" s="44" t="s">
        <v>101</v>
      </c>
    </row>
    <row r="4" spans="1:24">
      <c r="A4" s="63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32">
        <v>1</v>
      </c>
      <c r="F4" s="32">
        <v>3808</v>
      </c>
      <c r="G4" s="32">
        <v>7</v>
      </c>
      <c r="H4" s="44">
        <f>('Flow cytometer'!F4/'Flow cytometer'!G4)*POWER(10,'Flow cytometer'!E4+2)*10.2</f>
        <v>5548800</v>
      </c>
      <c r="I4" s="32">
        <v>1</v>
      </c>
      <c r="J4" s="32">
        <v>4523</v>
      </c>
      <c r="K4" s="32">
        <v>7</v>
      </c>
      <c r="L4" s="44">
        <f>('Flow cytometer'!J4/'Flow cytometer'!K4)*POWER(10,'Flow cytometer'!I4+2)*10.2</f>
        <v>6590657.1428571427</v>
      </c>
      <c r="M4" s="32">
        <v>1</v>
      </c>
      <c r="N4" s="32">
        <v>4888</v>
      </c>
      <c r="O4" s="32">
        <v>7</v>
      </c>
      <c r="P4" s="44">
        <f>('Flow cytometer'!N4/'Flow cytometer'!O4)*POWER(10,'Flow cytometer'!M4+2)*10.2</f>
        <v>7122514.2857142854</v>
      </c>
      <c r="Q4" s="47">
        <f>AVERAGE(H4,L4,P4)*Calculation!I4/Calculation!K3</f>
        <v>6420657.1428571418</v>
      </c>
      <c r="R4" s="48">
        <f>STDEV(H4,L4,P4)*Calculation!I4/Calculation!K3</f>
        <v>800511.81332027842</v>
      </c>
      <c r="S4" s="49">
        <f>LOG(Q4)</f>
        <v>6.8075794796126878</v>
      </c>
      <c r="T4" s="70">
        <f>LN(Q4)</f>
        <v>15.675031029128339</v>
      </c>
      <c r="U4" s="49">
        <f>LOG(H4)</f>
        <v>6.7441990714600974</v>
      </c>
      <c r="V4" s="49">
        <f>LOG(L4)</f>
        <v>6.818928719493579</v>
      </c>
      <c r="W4" s="49">
        <f>LOG(P4)</f>
        <v>6.8526333289821588</v>
      </c>
      <c r="X4" s="49">
        <f xml:space="preserve"> STDEV(U4:W4)*Calculation!I4/Calculation!K3</f>
        <v>5.549550912813641E-2</v>
      </c>
    </row>
    <row r="5" spans="1:24">
      <c r="A5" s="63">
        <v>1</v>
      </c>
      <c r="B5" s="32">
        <v>110</v>
      </c>
      <c r="C5" s="32">
        <f>C4+B5</f>
        <v>120</v>
      </c>
      <c r="D5" s="13">
        <f t="shared" si="0"/>
        <v>2</v>
      </c>
      <c r="E5" s="32">
        <v>1</v>
      </c>
      <c r="F5" s="32">
        <v>4654</v>
      </c>
      <c r="G5" s="32">
        <v>7</v>
      </c>
      <c r="H5" s="44">
        <f>('Flow cytometer'!F5/'Flow cytometer'!G5)*POWER(10,'Flow cytometer'!E5+2)*10.2</f>
        <v>6781542.8571428563</v>
      </c>
      <c r="I5" s="32">
        <v>1</v>
      </c>
      <c r="J5" s="32">
        <v>5524</v>
      </c>
      <c r="K5" s="32">
        <v>7</v>
      </c>
      <c r="L5" s="44">
        <f>('Flow cytometer'!J5/'Flow cytometer'!K5)*POWER(10,'Flow cytometer'!I5+2)*10.2</f>
        <v>8049257.1428571427</v>
      </c>
      <c r="M5" s="32">
        <v>1</v>
      </c>
      <c r="N5" s="32">
        <v>5890</v>
      </c>
      <c r="O5" s="32">
        <v>7</v>
      </c>
      <c r="P5" s="44">
        <f>('Flow cytometer'!N5/'Flow cytometer'!O5)*POWER(10,'Flow cytometer'!M5+2)*10.2</f>
        <v>8582571.4285714291</v>
      </c>
      <c r="Q5" s="47">
        <f>AVERAGE(H5,L5,P5)*Calculation!I5/Calculation!K4</f>
        <v>7804457.1428571427</v>
      </c>
      <c r="R5" s="48">
        <f>STDEV(H5,L5,P5)*Calculation!I5/Calculation!K4</f>
        <v>925133.10327515111</v>
      </c>
      <c r="S5" s="49">
        <f t="shared" ref="S5:S19" si="1">LOG(Q5)</f>
        <v>6.8923427000876325</v>
      </c>
      <c r="T5" s="49">
        <f t="shared" ref="T5:T19" si="2">LN(Q5)</f>
        <v>15.870205557028113</v>
      </c>
      <c r="U5" s="49">
        <f t="shared" ref="U5:U20" si="3">LOG(H5)</f>
        <v>6.8313285106983717</v>
      </c>
      <c r="V5" s="49">
        <f t="shared" ref="V5:V20" si="4">LOG(L5)</f>
        <v>6.9057558016542542</v>
      </c>
      <c r="W5" s="49">
        <f t="shared" ref="W5:W20" si="5">LOG(P5)</f>
        <v>6.9336174265347621</v>
      </c>
      <c r="X5" s="49">
        <f xml:space="preserve"> STDEV(U5:W5)*Calculation!I5/Calculation!K4</f>
        <v>5.2881493427912152E-2</v>
      </c>
    </row>
    <row r="6" spans="1:24">
      <c r="A6" s="63">
        <v>2</v>
      </c>
      <c r="B6" s="32">
        <v>80</v>
      </c>
      <c r="C6" s="32">
        <f>C5+B6</f>
        <v>200</v>
      </c>
      <c r="D6" s="13">
        <f t="shared" si="0"/>
        <v>3.3333333333333335</v>
      </c>
      <c r="E6" s="32">
        <v>1</v>
      </c>
      <c r="F6" s="32">
        <v>8573</v>
      </c>
      <c r="G6" s="32">
        <v>7</v>
      </c>
      <c r="H6" s="44">
        <f>('Flow cytometer'!F6/'Flow cytometer'!G6)*POWER(10,'Flow cytometer'!E6+2)*10.2</f>
        <v>12492085.714285713</v>
      </c>
      <c r="I6" s="32">
        <v>1</v>
      </c>
      <c r="J6" s="32">
        <v>9464</v>
      </c>
      <c r="K6" s="32">
        <v>7</v>
      </c>
      <c r="L6" s="44">
        <f>('Flow cytometer'!J6/'Flow cytometer'!K6)*POWER(10,'Flow cytometer'!I6+2)*10.2</f>
        <v>13790399.999999998</v>
      </c>
      <c r="M6" s="32">
        <v>1</v>
      </c>
      <c r="N6" s="32">
        <v>9242</v>
      </c>
      <c r="O6" s="32">
        <v>7</v>
      </c>
      <c r="P6" s="44">
        <f>('Flow cytometer'!N6/'Flow cytometer'!O6)*POWER(10,'Flow cytometer'!M6+2)*10.2</f>
        <v>13466914.285714285</v>
      </c>
      <c r="Q6" s="47">
        <f>AVERAGE(H6,L6,P6)*Calculation!I6/Calculation!K5</f>
        <v>13249799.999999998</v>
      </c>
      <c r="R6" s="48">
        <f>STDEV(H6,L6,P6)*Calculation!I6/Calculation!K5</f>
        <v>675839.44537025027</v>
      </c>
      <c r="S6" s="49">
        <f t="shared" si="1"/>
        <v>7.1222093228349452</v>
      </c>
      <c r="T6" s="49">
        <f t="shared" si="2"/>
        <v>16.399493015942962</v>
      </c>
      <c r="U6" s="49">
        <f t="shared" si="3"/>
        <v>7.0966349554743946</v>
      </c>
      <c r="V6" s="49">
        <f t="shared" si="4"/>
        <v>7.1395768633675347</v>
      </c>
      <c r="W6" s="49">
        <f t="shared" si="5"/>
        <v>7.1292680959303469</v>
      </c>
      <c r="X6" s="49">
        <f xml:space="preserve"> STDEV(U6:W6)*Calculation!I6/Calculation!K5</f>
        <v>2.2417255242316001E-2</v>
      </c>
    </row>
    <row r="7" spans="1:24">
      <c r="A7" s="63">
        <v>3</v>
      </c>
      <c r="B7" s="32">
        <v>80</v>
      </c>
      <c r="C7" s="32">
        <f>C6+B7</f>
        <v>280</v>
      </c>
      <c r="D7" s="13">
        <f t="shared" si="0"/>
        <v>4.666666666666667</v>
      </c>
      <c r="E7" s="32">
        <v>1</v>
      </c>
      <c r="F7" s="32">
        <v>19297</v>
      </c>
      <c r="G7" s="32">
        <v>7</v>
      </c>
      <c r="H7" s="44">
        <f>('Flow cytometer'!F7/'Flow cytometer'!G7)*POWER(10,'Flow cytometer'!E7+2)*10.2</f>
        <v>28118485.714285713</v>
      </c>
      <c r="I7" s="32">
        <v>1</v>
      </c>
      <c r="J7" s="32">
        <v>18484</v>
      </c>
      <c r="K7" s="32">
        <v>7</v>
      </c>
      <c r="L7" s="44">
        <f>('Flow cytometer'!J7/'Flow cytometer'!K7)*POWER(10,'Flow cytometer'!I7+2)*10.2</f>
        <v>26933828.571428571</v>
      </c>
      <c r="M7" s="32">
        <v>1</v>
      </c>
      <c r="N7" s="32">
        <v>18317</v>
      </c>
      <c r="O7" s="32">
        <v>7</v>
      </c>
      <c r="P7" s="44">
        <f>('Flow cytometer'!N7/'Flow cytometer'!O7)*POWER(10,'Flow cytometer'!M7+2)*10.2</f>
        <v>26690485.714285713</v>
      </c>
      <c r="Q7" s="47">
        <f>AVERAGE(H7,L7,P7)*Calculation!I7/Calculation!K6</f>
        <v>27247600</v>
      </c>
      <c r="R7" s="48">
        <f>STDEV(H7,L7,P7)*Calculation!I7/Calculation!K6</f>
        <v>763960.32753070095</v>
      </c>
      <c r="S7" s="49">
        <f t="shared" si="1"/>
        <v>7.4353282551389359</v>
      </c>
      <c r="T7" s="49">
        <f t="shared" si="2"/>
        <v>17.120476001800341</v>
      </c>
      <c r="U7" s="49">
        <f t="shared" si="3"/>
        <v>7.4489919285939541</v>
      </c>
      <c r="V7" s="49">
        <f t="shared" si="4"/>
        <v>7.4302980915943282</v>
      </c>
      <c r="W7" s="49">
        <f t="shared" si="5"/>
        <v>7.4263564771638535</v>
      </c>
      <c r="X7" s="49">
        <f xml:space="preserve"> STDEV(U7:W7)*Calculation!I7/Calculation!K6</f>
        <v>1.2092418613409199E-2</v>
      </c>
    </row>
    <row r="8" spans="1:24">
      <c r="A8" s="63">
        <v>4</v>
      </c>
      <c r="B8" s="32">
        <v>80</v>
      </c>
      <c r="C8" s="32">
        <f t="shared" ref="C8:C18" si="6">C7+B8</f>
        <v>360</v>
      </c>
      <c r="D8" s="13">
        <f t="shared" si="0"/>
        <v>6</v>
      </c>
      <c r="E8" s="32">
        <v>2</v>
      </c>
      <c r="F8" s="32">
        <v>3305</v>
      </c>
      <c r="G8" s="32">
        <v>7</v>
      </c>
      <c r="H8" s="44">
        <f>('Flow cytometer'!F8/'Flow cytometer'!G8)*POWER(10,'Flow cytometer'!E8+2)*10.2</f>
        <v>48158571.428571433</v>
      </c>
      <c r="I8" s="32">
        <v>2</v>
      </c>
      <c r="J8" s="32">
        <v>2876</v>
      </c>
      <c r="K8" s="32">
        <v>7</v>
      </c>
      <c r="L8" s="44">
        <f>('Flow cytometer'!J8/'Flow cytometer'!K8)*POWER(10,'Flow cytometer'!I8+2)*10.2</f>
        <v>41907428.571428567</v>
      </c>
      <c r="M8" s="32">
        <v>2</v>
      </c>
      <c r="N8" s="32">
        <v>3750</v>
      </c>
      <c r="O8" s="32">
        <v>7</v>
      </c>
      <c r="P8" s="44">
        <f>('Flow cytometer'!N8/'Flow cytometer'!O8)*POWER(10,'Flow cytometer'!M8+2)*10.2</f>
        <v>54642857.142857134</v>
      </c>
      <c r="Q8" s="47">
        <f>AVERAGE(H8,L8,P8)*Calculation!I8/Calculation!K7</f>
        <v>48272646.550795801</v>
      </c>
      <c r="R8" s="48">
        <f>STDEV(H8,L8,P8)*Calculation!I8/Calculation!K7</f>
        <v>6372870.2415149678</v>
      </c>
      <c r="S8" s="49">
        <f t="shared" si="1"/>
        <v>7.6837011096929126</v>
      </c>
      <c r="T8" s="49">
        <f t="shared" si="2"/>
        <v>17.692375634200708</v>
      </c>
      <c r="U8" s="49">
        <f t="shared" si="3"/>
        <v>7.6826735955693195</v>
      </c>
      <c r="V8" s="49">
        <f t="shared" si="4"/>
        <v>7.622291013458506</v>
      </c>
      <c r="W8" s="49">
        <f t="shared" si="5"/>
        <v>7.7375333994753799</v>
      </c>
      <c r="X8" s="49">
        <f xml:space="preserve"> STDEV(U8:W8)*Calculation!I8/Calculation!K7</f>
        <v>5.7686696398457485E-2</v>
      </c>
    </row>
    <row r="9" spans="1:24">
      <c r="A9" s="63">
        <v>5</v>
      </c>
      <c r="B9" s="32">
        <v>80</v>
      </c>
      <c r="C9" s="32">
        <f t="shared" si="6"/>
        <v>440</v>
      </c>
      <c r="D9" s="13">
        <f t="shared" si="0"/>
        <v>7.333333333333333</v>
      </c>
      <c r="E9" s="32">
        <v>2</v>
      </c>
      <c r="F9" s="32">
        <v>9140</v>
      </c>
      <c r="G9" s="32">
        <v>7</v>
      </c>
      <c r="H9" s="44">
        <f>('Flow cytometer'!F9/'Flow cytometer'!G9)*POWER(10,'Flow cytometer'!E9+2)*10.2</f>
        <v>133182857.14285715</v>
      </c>
      <c r="I9" s="32">
        <v>2</v>
      </c>
      <c r="J9" s="32">
        <v>9611</v>
      </c>
      <c r="K9" s="32">
        <v>7</v>
      </c>
      <c r="L9" s="44">
        <f>('Flow cytometer'!J9/'Flow cytometer'!K9)*POWER(10,'Flow cytometer'!I9+2)*10.2</f>
        <v>140046000</v>
      </c>
      <c r="M9" s="32">
        <v>2</v>
      </c>
      <c r="N9" s="32">
        <v>9891</v>
      </c>
      <c r="O9" s="32">
        <v>7</v>
      </c>
      <c r="P9" s="44">
        <f>('Flow cytometer'!N9/'Flow cytometer'!O9)*POWER(10,'Flow cytometer'!M9+2)*10.2</f>
        <v>144126000</v>
      </c>
      <c r="Q9" s="47">
        <f>AVERAGE(H9,L9,P9)*Calculation!I9/Calculation!K8</f>
        <v>139223154.01348236</v>
      </c>
      <c r="R9" s="48">
        <f>STDEV(H9,L9,P9)*Calculation!I9/Calculation!K8</f>
        <v>5534411.4272553949</v>
      </c>
      <c r="S9" s="49">
        <f t="shared" si="1"/>
        <v>8.1437114682060905</v>
      </c>
      <c r="T9" s="49">
        <f t="shared" si="2"/>
        <v>18.751588628335998</v>
      </c>
      <c r="U9" s="49">
        <f t="shared" si="3"/>
        <v>8.1244483274814918</v>
      </c>
      <c r="V9" s="49">
        <f t="shared" si="4"/>
        <v>8.1462707089986726</v>
      </c>
      <c r="W9" s="49">
        <f t="shared" si="5"/>
        <v>8.1587423336104763</v>
      </c>
      <c r="X9" s="49">
        <f xml:space="preserve"> STDEV(U9:W9)*Calculation!I9/Calculation!K8</f>
        <v>1.7371255749843901E-2</v>
      </c>
    </row>
    <row r="10" spans="1:24">
      <c r="A10" s="63">
        <v>6</v>
      </c>
      <c r="B10" s="32">
        <v>80</v>
      </c>
      <c r="C10" s="32">
        <f t="shared" si="6"/>
        <v>520</v>
      </c>
      <c r="D10" s="13">
        <f t="shared" si="0"/>
        <v>8.6666666666666661</v>
      </c>
      <c r="E10" s="32">
        <v>2</v>
      </c>
      <c r="F10" s="32">
        <v>26860</v>
      </c>
      <c r="G10" s="32">
        <v>7</v>
      </c>
      <c r="H10" s="44">
        <f>('Flow cytometer'!F10/'Flow cytometer'!G10)*POWER(10,'Flow cytometer'!E10+2)*10.2</f>
        <v>391388571.42857146</v>
      </c>
      <c r="I10" s="32">
        <v>2</v>
      </c>
      <c r="J10" s="32">
        <v>30942</v>
      </c>
      <c r="K10" s="32">
        <v>7</v>
      </c>
      <c r="L10" s="44">
        <f>('Flow cytometer'!J10/'Flow cytometer'!K10)*POWER(10,'Flow cytometer'!I10+2)*10.2</f>
        <v>450869142.85714287</v>
      </c>
      <c r="M10" s="32">
        <v>2</v>
      </c>
      <c r="N10" s="32">
        <v>31792</v>
      </c>
      <c r="O10" s="32">
        <v>7</v>
      </c>
      <c r="P10" s="44">
        <f>('Flow cytometer'!N10/'Flow cytometer'!O10)*POWER(10,'Flow cytometer'!M10+2)*10.2</f>
        <v>463254857.14285707</v>
      </c>
      <c r="Q10" s="47">
        <f>AVERAGE(H10,L10,P10)*Calculation!I10/Calculation!K9</f>
        <v>436561429.8210144</v>
      </c>
      <c r="R10" s="48">
        <f>STDEV(H10,L10,P10)*Calculation!I10/Calculation!K9</f>
        <v>38541744.655987926</v>
      </c>
      <c r="S10" s="49">
        <f t="shared" si="1"/>
        <v>8.6400453631737513</v>
      </c>
      <c r="T10" s="49">
        <f t="shared" si="2"/>
        <v>19.894439656036205</v>
      </c>
      <c r="U10" s="49">
        <f t="shared" si="3"/>
        <v>8.5926081400803564</v>
      </c>
      <c r="V10" s="49">
        <f t="shared" si="4"/>
        <v>8.654050513538019</v>
      </c>
      <c r="W10" s="49">
        <f t="shared" si="5"/>
        <v>8.6658199815134012</v>
      </c>
      <c r="X10" s="49">
        <f xml:space="preserve"> STDEV(U10:W10)*Calculation!I10/Calculation!K9</f>
        <v>3.9439872666097914E-2</v>
      </c>
    </row>
    <row r="11" spans="1:24">
      <c r="A11" s="63">
        <v>7</v>
      </c>
      <c r="B11" s="32">
        <v>80</v>
      </c>
      <c r="C11" s="32">
        <f t="shared" si="6"/>
        <v>600</v>
      </c>
      <c r="D11" s="13">
        <f t="shared" si="0"/>
        <v>10</v>
      </c>
      <c r="E11" s="32">
        <v>3</v>
      </c>
      <c r="F11" s="32">
        <v>5784</v>
      </c>
      <c r="G11" s="32">
        <v>7</v>
      </c>
      <c r="H11" s="44">
        <f>('Flow cytometer'!F11/'Flow cytometer'!G11)*POWER(10,'Flow cytometer'!E11+2)*10.2</f>
        <v>842811428.57142854</v>
      </c>
      <c r="I11" s="32">
        <v>3</v>
      </c>
      <c r="J11" s="32">
        <v>6369</v>
      </c>
      <c r="K11" s="32">
        <v>7</v>
      </c>
      <c r="L11" s="44">
        <f>('Flow cytometer'!J11/'Flow cytometer'!K11)*POWER(10,'Flow cytometer'!I11+2)*10.2</f>
        <v>928054285.71428561</v>
      </c>
      <c r="M11" s="32">
        <v>3</v>
      </c>
      <c r="N11" s="32">
        <v>6481</v>
      </c>
      <c r="O11" s="32">
        <v>7</v>
      </c>
      <c r="P11" s="44">
        <f>('Flow cytometer'!N11/'Flow cytometer'!O11)*POWER(10,'Flow cytometer'!M11+2)*10.2</f>
        <v>944374285.71428561</v>
      </c>
      <c r="Q11" s="47">
        <f>AVERAGE(H11,L11,P11)*Calculation!I11/Calculation!K10</f>
        <v>911051065.68340695</v>
      </c>
      <c r="R11" s="48">
        <f>STDEV(H11,L11,P11)*Calculation!I11/Calculation!K10</f>
        <v>54899863.983700685</v>
      </c>
      <c r="S11" s="49">
        <f t="shared" si="1"/>
        <v>8.9595427204669225</v>
      </c>
      <c r="T11" s="49">
        <f t="shared" si="2"/>
        <v>20.630109508190454</v>
      </c>
      <c r="U11" s="49">
        <f t="shared" si="3"/>
        <v>8.9257304160341349</v>
      </c>
      <c r="V11" s="49">
        <f t="shared" si="4"/>
        <v>8.967573380633322</v>
      </c>
      <c r="W11" s="49">
        <f t="shared" si="5"/>
        <v>8.9751441532008123</v>
      </c>
      <c r="X11" s="49">
        <f xml:space="preserve"> STDEV(U11:W11)*Calculation!I11/Calculation!K10</f>
        <v>2.6789698909214954E-2</v>
      </c>
    </row>
    <row r="12" spans="1:24">
      <c r="A12" s="63">
        <v>8</v>
      </c>
      <c r="B12" s="32">
        <v>80</v>
      </c>
      <c r="C12" s="32">
        <f t="shared" si="6"/>
        <v>680</v>
      </c>
      <c r="D12" s="13">
        <f t="shared" si="0"/>
        <v>11.333333333333334</v>
      </c>
      <c r="E12" s="32">
        <v>3</v>
      </c>
      <c r="F12" s="32">
        <v>11377</v>
      </c>
      <c r="G12" s="32">
        <v>7</v>
      </c>
      <c r="H12" s="44">
        <f>('Flow cytometer'!F12/'Flow cytometer'!G12)*POWER(10,'Flow cytometer'!E12+2)*10.2</f>
        <v>1657791428.5714285</v>
      </c>
      <c r="I12" s="32">
        <v>3</v>
      </c>
      <c r="J12" s="32">
        <v>11347</v>
      </c>
      <c r="K12" s="32">
        <v>7</v>
      </c>
      <c r="L12" s="44">
        <f>('Flow cytometer'!J12/'Flow cytometer'!K12)*POWER(10,'Flow cytometer'!I12+2)*10.2</f>
        <v>1653420000</v>
      </c>
      <c r="M12" s="32">
        <v>3</v>
      </c>
      <c r="N12" s="32">
        <v>11045</v>
      </c>
      <c r="O12" s="32">
        <v>7</v>
      </c>
      <c r="P12" s="44">
        <f>('Flow cytometer'!N12/'Flow cytometer'!O12)*POWER(10,'Flow cytometer'!M12+2)*10.2</f>
        <v>1609414285.7142859</v>
      </c>
      <c r="Q12" s="47">
        <f>AVERAGE(H12,L12,P12)*Calculation!I12/Calculation!K11</f>
        <v>1661197712.3693438</v>
      </c>
      <c r="R12" s="48">
        <f>STDEV(H12,L12,P12)*Calculation!I12/Calculation!K11</f>
        <v>27100465.335676827</v>
      </c>
      <c r="S12" s="49">
        <f t="shared" si="1"/>
        <v>9.2204213243725537</v>
      </c>
      <c r="T12" s="49">
        <f t="shared" si="2"/>
        <v>21.230804692624659</v>
      </c>
      <c r="U12" s="49">
        <f t="shared" si="3"/>
        <v>9.219529889834023</v>
      </c>
      <c r="V12" s="49">
        <f t="shared" si="4"/>
        <v>9.2183831866104331</v>
      </c>
      <c r="W12" s="49">
        <f t="shared" si="5"/>
        <v>9.2066678519551139</v>
      </c>
      <c r="X12" s="49">
        <f xml:space="preserve"> STDEV(U12:W12)*Calculation!I12/Calculation!K11</f>
        <v>7.2090919651061286E-3</v>
      </c>
    </row>
    <row r="13" spans="1:24">
      <c r="A13" s="63">
        <v>9</v>
      </c>
      <c r="B13" s="32">
        <v>80</v>
      </c>
      <c r="C13" s="32">
        <f t="shared" si="6"/>
        <v>760</v>
      </c>
      <c r="D13" s="13">
        <f t="shared" si="0"/>
        <v>12.666666666666666</v>
      </c>
      <c r="E13" s="32">
        <v>3</v>
      </c>
      <c r="F13" s="32">
        <v>13258</v>
      </c>
      <c r="G13" s="32">
        <v>7</v>
      </c>
      <c r="H13" s="44">
        <f>('Flow cytometer'!F13/'Flow cytometer'!G13)*POWER(10,'Flow cytometer'!E13+2)*10.2</f>
        <v>1931879999.9999998</v>
      </c>
      <c r="I13" s="32">
        <v>3</v>
      </c>
      <c r="J13" s="32">
        <v>14381</v>
      </c>
      <c r="K13" s="32">
        <v>7</v>
      </c>
      <c r="L13" s="44">
        <f>('Flow cytometer'!J13/'Flow cytometer'!K13)*POWER(10,'Flow cytometer'!I13+2)*10.2</f>
        <v>2095517142.8571429</v>
      </c>
      <c r="M13" s="32">
        <v>3</v>
      </c>
      <c r="N13" s="32">
        <v>15411</v>
      </c>
      <c r="O13" s="32">
        <v>7</v>
      </c>
      <c r="P13" s="44">
        <f>('Flow cytometer'!N13/'Flow cytometer'!O13)*POWER(10,'Flow cytometer'!M13+2)*10.2</f>
        <v>2245602857.1428566</v>
      </c>
      <c r="Q13" s="47">
        <f>AVERAGE(H13,L13,P13)*Calculation!I13/Calculation!K12</f>
        <v>2133263940.6298711</v>
      </c>
      <c r="R13" s="48">
        <f>STDEV(H13,L13,P13)*Calculation!I13/Calculation!K12</f>
        <v>160081718.75479451</v>
      </c>
      <c r="S13" s="49">
        <f t="shared" si="1"/>
        <v>9.3290445923774978</v>
      </c>
      <c r="T13" s="49">
        <f t="shared" si="2"/>
        <v>21.480919010285138</v>
      </c>
      <c r="U13" s="49">
        <f t="shared" si="3"/>
        <v>9.2859801464291714</v>
      </c>
      <c r="V13" s="49">
        <f t="shared" si="4"/>
        <v>9.3212912180297103</v>
      </c>
      <c r="W13" s="49">
        <f t="shared" si="5"/>
        <v>9.3513329521916599</v>
      </c>
      <c r="X13" s="49">
        <f xml:space="preserve"> STDEV(U13:W13)*Calculation!I13/Calculation!K12</f>
        <v>3.3372969703252271E-2</v>
      </c>
    </row>
    <row r="14" spans="1:24">
      <c r="A14" s="63">
        <v>10</v>
      </c>
      <c r="B14" s="32">
        <v>80</v>
      </c>
      <c r="C14" s="32">
        <f t="shared" si="6"/>
        <v>840</v>
      </c>
      <c r="D14" s="13">
        <f t="shared" si="0"/>
        <v>14</v>
      </c>
      <c r="E14" s="32">
        <v>3</v>
      </c>
      <c r="F14" s="32">
        <v>20459</v>
      </c>
      <c r="G14" s="32">
        <v>7</v>
      </c>
      <c r="H14" s="44">
        <f>('Flow cytometer'!F14/'Flow cytometer'!G14)*POWER(10,'Flow cytometer'!E14+2)*10.2</f>
        <v>2981168571.4285717</v>
      </c>
      <c r="I14" s="32">
        <v>3</v>
      </c>
      <c r="J14" s="32">
        <v>21010</v>
      </c>
      <c r="K14" s="32">
        <v>7</v>
      </c>
      <c r="L14" s="44">
        <f>('Flow cytometer'!J14/'Flow cytometer'!K14)*POWER(10,'Flow cytometer'!I14+2)*10.2</f>
        <v>3061457142.8571424</v>
      </c>
      <c r="M14" s="32">
        <v>3</v>
      </c>
      <c r="N14" s="32">
        <v>22046</v>
      </c>
      <c r="O14" s="32">
        <v>7</v>
      </c>
      <c r="P14" s="44">
        <f>('Flow cytometer'!N14/'Flow cytometer'!O14)*POWER(10,'Flow cytometer'!M14+2)*10.2</f>
        <v>3212417142.8571424</v>
      </c>
      <c r="Q14" s="47">
        <f>AVERAGE(H14,L14,P14)*Calculation!I14/Calculation!K13</f>
        <v>3180354560.0683699</v>
      </c>
      <c r="R14" s="48">
        <f>STDEV(H14,L14,P14)*Calculation!I14/Calculation!K13</f>
        <v>121038790.68328476</v>
      </c>
      <c r="S14" s="49">
        <f t="shared" si="1"/>
        <v>9.5024755397635197</v>
      </c>
      <c r="T14" s="49">
        <f t="shared" si="2"/>
        <v>21.880258524400027</v>
      </c>
      <c r="U14" s="49">
        <f t="shared" si="3"/>
        <v>9.4743865340907867</v>
      </c>
      <c r="V14" s="49">
        <f t="shared" si="4"/>
        <v>9.4859281841536127</v>
      </c>
      <c r="W14" s="49">
        <f t="shared" si="5"/>
        <v>9.5068319348252679</v>
      </c>
      <c r="X14" s="49">
        <f xml:space="preserve"> STDEV(U14:W14)*Calculation!I14/Calculation!K13</f>
        <v>1.6954539835226393E-2</v>
      </c>
    </row>
    <row r="15" spans="1:24">
      <c r="A15" s="63">
        <v>11</v>
      </c>
      <c r="B15" s="32">
        <v>80</v>
      </c>
      <c r="C15" s="32">
        <f t="shared" si="6"/>
        <v>920</v>
      </c>
      <c r="D15" s="13">
        <f t="shared" si="0"/>
        <v>15.333333333333334</v>
      </c>
      <c r="E15" s="32">
        <v>3</v>
      </c>
      <c r="F15" s="32">
        <v>21597</v>
      </c>
      <c r="G15" s="32">
        <v>7</v>
      </c>
      <c r="H15" s="44">
        <f>('Flow cytometer'!F15/'Flow cytometer'!G15)*POWER(10,'Flow cytometer'!E15+2)*10.2</f>
        <v>3146991428.5714283</v>
      </c>
      <c r="I15" s="32">
        <v>3</v>
      </c>
      <c r="J15" s="32">
        <v>23745</v>
      </c>
      <c r="K15" s="32">
        <v>7</v>
      </c>
      <c r="L15" s="44">
        <f>('Flow cytometer'!J15/'Flow cytometer'!K15)*POWER(10,'Flow cytometer'!I15+2)*10.2</f>
        <v>3459985714.2857141</v>
      </c>
      <c r="M15" s="32">
        <v>3</v>
      </c>
      <c r="N15" s="32">
        <v>23347</v>
      </c>
      <c r="O15" s="32">
        <v>7</v>
      </c>
      <c r="P15" s="44">
        <f>('Flow cytometer'!N15/'Flow cytometer'!O15)*POWER(10,'Flow cytometer'!M15+2)*10.2</f>
        <v>3401991428.5714283</v>
      </c>
      <c r="Q15" s="47">
        <f>AVERAGE(H15,L15,P15)*Calculation!I15/Calculation!K14</f>
        <v>3473329018.2527266</v>
      </c>
      <c r="R15" s="48">
        <f>STDEV(H15,L15,P15)*Calculation!I15/Calculation!K14</f>
        <v>173347881.90087289</v>
      </c>
      <c r="S15" s="49">
        <f t="shared" si="1"/>
        <v>9.5407459246996407</v>
      </c>
      <c r="T15" s="49">
        <f t="shared" si="2"/>
        <v>21.968379342257087</v>
      </c>
      <c r="U15" s="49">
        <f t="shared" si="3"/>
        <v>9.497895560031365</v>
      </c>
      <c r="V15" s="49">
        <f t="shared" si="4"/>
        <v>9.5390743056656984</v>
      </c>
      <c r="W15" s="49">
        <f t="shared" si="5"/>
        <v>9.5317332150587895</v>
      </c>
      <c r="X15" s="49">
        <f xml:space="preserve"> STDEV(U15:W15)*Calculation!I15/Calculation!K14</f>
        <v>2.2866204175343907E-2</v>
      </c>
    </row>
    <row r="16" spans="1:24">
      <c r="A16" s="63">
        <v>12</v>
      </c>
      <c r="B16" s="32">
        <v>80</v>
      </c>
      <c r="C16" s="32">
        <f t="shared" si="6"/>
        <v>1000</v>
      </c>
      <c r="D16" s="13">
        <f t="shared" si="0"/>
        <v>16.666666666666668</v>
      </c>
      <c r="E16" s="32">
        <v>3</v>
      </c>
      <c r="F16" s="32">
        <v>24932</v>
      </c>
      <c r="G16" s="32">
        <v>7</v>
      </c>
      <c r="H16" s="44">
        <f>('Flow cytometer'!F16/'Flow cytometer'!G16)*POWER(10,'Flow cytometer'!E16+2)*10.2</f>
        <v>3632948571.4285712</v>
      </c>
      <c r="I16" s="32">
        <v>3</v>
      </c>
      <c r="J16" s="32">
        <v>25657</v>
      </c>
      <c r="K16" s="32">
        <v>7</v>
      </c>
      <c r="L16" s="44">
        <f>('Flow cytometer'!J16/'Flow cytometer'!K16)*POWER(10,'Flow cytometer'!I16+2)*10.2</f>
        <v>3738591428.5714278</v>
      </c>
      <c r="M16" s="32">
        <v>3</v>
      </c>
      <c r="N16" s="32">
        <v>26481</v>
      </c>
      <c r="O16" s="32">
        <v>7</v>
      </c>
      <c r="P16" s="44">
        <f>('Flow cytometer'!N16/'Flow cytometer'!O16)*POWER(10,'Flow cytometer'!M16+2)*10.2</f>
        <v>3858659999.9999995</v>
      </c>
      <c r="Q16" s="47">
        <f>AVERAGE(H16,L16,P16)*Calculation!I16/Calculation!K15</f>
        <v>3933074108.9321704</v>
      </c>
      <c r="R16" s="48">
        <f>STDEV(H16,L16,P16)*Calculation!I16/Calculation!K15</f>
        <v>118654690.78164315</v>
      </c>
      <c r="S16" s="49">
        <f t="shared" si="1"/>
        <v>9.5947321296787713</v>
      </c>
      <c r="T16" s="49">
        <f t="shared" si="2"/>
        <v>22.092687173069354</v>
      </c>
      <c r="U16" s="49">
        <f t="shared" si="3"/>
        <v>9.560259249967622</v>
      </c>
      <c r="V16" s="49">
        <f t="shared" si="4"/>
        <v>9.5727080059372334</v>
      </c>
      <c r="W16" s="49">
        <f t="shared" si="5"/>
        <v>9.5864365130546609</v>
      </c>
      <c r="X16" s="49">
        <f xml:space="preserve"> STDEV(U16:W16)*Calculation!I16/Calculation!K15</f>
        <v>1.3757295402344504E-2</v>
      </c>
    </row>
    <row r="17" spans="1:24">
      <c r="A17" s="63">
        <v>13</v>
      </c>
      <c r="B17" s="32">
        <v>80</v>
      </c>
      <c r="C17" s="32">
        <f t="shared" si="6"/>
        <v>1080</v>
      </c>
      <c r="D17" s="13">
        <f t="shared" si="0"/>
        <v>18</v>
      </c>
      <c r="E17" s="32">
        <v>3</v>
      </c>
      <c r="F17" s="32">
        <v>24159</v>
      </c>
      <c r="G17" s="32">
        <v>7</v>
      </c>
      <c r="H17" s="44">
        <f>('Flow cytometer'!F17/'Flow cytometer'!G17)*POWER(10,'Flow cytometer'!E17+2)*10.2</f>
        <v>3520311428.5714283</v>
      </c>
      <c r="I17" s="32">
        <v>3</v>
      </c>
      <c r="J17" s="32">
        <v>22889</v>
      </c>
      <c r="K17" s="32">
        <v>7</v>
      </c>
      <c r="L17" s="44">
        <f>('Flow cytometer'!J17/'Flow cytometer'!K17)*POWER(10,'Flow cytometer'!I17+2)*10.2</f>
        <v>3335254285.7142854</v>
      </c>
      <c r="M17" s="32">
        <v>3</v>
      </c>
      <c r="N17" s="32">
        <v>24280</v>
      </c>
      <c r="O17" s="32">
        <v>7</v>
      </c>
      <c r="P17" s="44">
        <f>('Flow cytometer'!N17/'Flow cytometer'!O17)*POWER(10,'Flow cytometer'!M17+2)*10.2</f>
        <v>3537942857.1428571</v>
      </c>
      <c r="Q17" s="47">
        <f>AVERAGE(H17,L17,P17)*Calculation!I17/Calculation!K16</f>
        <v>3663314532.7547908</v>
      </c>
      <c r="R17" s="48">
        <f>STDEV(H17,L17,P17)*Calculation!I17/Calculation!K16</f>
        <v>118722347.0417383</v>
      </c>
      <c r="S17" s="49">
        <f t="shared" si="1"/>
        <v>9.5638742088571114</v>
      </c>
      <c r="T17" s="49">
        <f t="shared" si="2"/>
        <v>22.02163418458461</v>
      </c>
      <c r="U17" s="49">
        <f t="shared" si="3"/>
        <v>9.546581085559751</v>
      </c>
      <c r="V17" s="49">
        <f t="shared" si="4"/>
        <v>9.5231289508980126</v>
      </c>
      <c r="W17" s="49">
        <f t="shared" si="5"/>
        <v>9.5487508141508801</v>
      </c>
      <c r="X17" s="49">
        <f xml:space="preserve"> STDEV(U17:W17)*Calculation!I17/Calculation!K16</f>
        <v>1.5023248027579247E-2</v>
      </c>
    </row>
    <row r="18" spans="1:24">
      <c r="A18" s="63">
        <v>14</v>
      </c>
      <c r="B18" s="32">
        <v>360</v>
      </c>
      <c r="C18" s="32">
        <f t="shared" si="6"/>
        <v>1440</v>
      </c>
      <c r="D18" s="13">
        <f t="shared" si="0"/>
        <v>24</v>
      </c>
      <c r="E18" s="32">
        <v>3</v>
      </c>
      <c r="F18" s="32">
        <v>25305</v>
      </c>
      <c r="G18" s="32">
        <v>7</v>
      </c>
      <c r="H18" s="44">
        <f>('Flow cytometer'!F18/'Flow cytometer'!G18)*POWER(10,'Flow cytometer'!E18+2)*10.2</f>
        <v>3687299999.9999995</v>
      </c>
      <c r="I18" s="32">
        <v>3</v>
      </c>
      <c r="J18" s="32">
        <v>27118</v>
      </c>
      <c r="K18" s="32">
        <v>7</v>
      </c>
      <c r="L18" s="44">
        <f>('Flow cytometer'!J18/'Flow cytometer'!K18)*POWER(10,'Flow cytometer'!I18+2)*10.2</f>
        <v>3951479999.9999995</v>
      </c>
      <c r="M18" s="32">
        <v>3</v>
      </c>
      <c r="N18" s="32">
        <v>26612</v>
      </c>
      <c r="O18" s="32">
        <v>7</v>
      </c>
      <c r="P18" s="44">
        <f>('Flow cytometer'!N18/'Flow cytometer'!O18)*POWER(10,'Flow cytometer'!M18+2)*10.2</f>
        <v>3877748571.4285712</v>
      </c>
      <c r="Q18" s="47">
        <f>AVERAGE(H18,L18,P18)*Calculation!I18/Calculation!K17</f>
        <v>4077305973.7800045</v>
      </c>
      <c r="R18" s="48">
        <f>STDEV(H18,L18,P18)*Calculation!I18/Calculation!K17</f>
        <v>144787472.90131593</v>
      </c>
      <c r="S18" s="49">
        <f t="shared" si="1"/>
        <v>9.6103733034899719</v>
      </c>
      <c r="T18" s="49">
        <f t="shared" si="2"/>
        <v>22.128702306723952</v>
      </c>
      <c r="U18" s="49">
        <f t="shared" si="3"/>
        <v>9.5667084733924668</v>
      </c>
      <c r="V18" s="49">
        <f t="shared" si="4"/>
        <v>9.5967597881450093</v>
      </c>
      <c r="W18" s="49">
        <f t="shared" si="5"/>
        <v>9.5885796465216728</v>
      </c>
      <c r="X18" s="49">
        <f xml:space="preserve"> STDEV(U18:W18)*Calculation!I18/Calculation!K17</f>
        <v>1.6501874248825953E-2</v>
      </c>
    </row>
    <row r="19" spans="1:24">
      <c r="A19" s="63">
        <v>15</v>
      </c>
      <c r="B19" s="32">
        <v>360</v>
      </c>
      <c r="C19" s="32">
        <f>C18+B19</f>
        <v>1800</v>
      </c>
      <c r="D19" s="13">
        <f t="shared" si="0"/>
        <v>30</v>
      </c>
      <c r="E19" s="32">
        <v>3</v>
      </c>
      <c r="F19" s="32">
        <v>18274</v>
      </c>
      <c r="G19" s="32">
        <v>7</v>
      </c>
      <c r="H19" s="44">
        <f>('Flow cytometer'!F19/'Flow cytometer'!G19)*POWER(10,'Flow cytometer'!E19+2)*10.2</f>
        <v>2662782857.1428566</v>
      </c>
      <c r="I19" s="32">
        <v>3</v>
      </c>
      <c r="J19" s="32">
        <v>17783</v>
      </c>
      <c r="K19" s="32">
        <v>7</v>
      </c>
      <c r="L19" s="44">
        <f>('Flow cytometer'!J19/'Flow cytometer'!K19)*POWER(10,'Flow cytometer'!I19+2)*10.2</f>
        <v>2591237142.8571429</v>
      </c>
      <c r="M19" s="32">
        <v>3</v>
      </c>
      <c r="N19" s="32">
        <v>20075</v>
      </c>
      <c r="O19" s="32">
        <v>7</v>
      </c>
      <c r="P19" s="44">
        <f>('Flow cytometer'!N19/'Flow cytometer'!O19)*POWER(10,'Flow cytometer'!M19+2)*10.2</f>
        <v>2925214285.7142854</v>
      </c>
      <c r="Q19" s="47">
        <f>AVERAGE(H19,L19,P19)*Calculation!I19/Calculation!K18</f>
        <v>2899254155.3803253</v>
      </c>
      <c r="R19" s="48">
        <f>STDEV(H19,L19,P19)*Calculation!I19/Calculation!K18</f>
        <v>186993314.44127706</v>
      </c>
      <c r="S19" s="49">
        <f t="shared" si="1"/>
        <v>9.462286288290862</v>
      </c>
      <c r="T19" s="49">
        <f t="shared" si="2"/>
        <v>21.787719353060499</v>
      </c>
      <c r="U19" s="49">
        <f t="shared" si="3"/>
        <v>9.4253357523234111</v>
      </c>
      <c r="V19" s="49">
        <f t="shared" si="4"/>
        <v>9.4135071602345572</v>
      </c>
      <c r="W19" s="49">
        <f t="shared" si="5"/>
        <v>9.4661576856983789</v>
      </c>
      <c r="X19" s="49">
        <f xml:space="preserve"> STDEV(U19:W19)*Calculation!I19/Calculation!K18</f>
        <v>2.9374958279878714E-2</v>
      </c>
    </row>
    <row r="20" spans="1:24">
      <c r="A20" s="63">
        <v>16</v>
      </c>
      <c r="B20" s="32">
        <v>1080</v>
      </c>
      <c r="C20" s="32">
        <f>C19+B20</f>
        <v>2880</v>
      </c>
      <c r="D20" s="13">
        <f t="shared" si="0"/>
        <v>48</v>
      </c>
      <c r="E20" s="32">
        <v>3</v>
      </c>
      <c r="F20" s="32">
        <v>18658</v>
      </c>
      <c r="G20" s="32">
        <v>7</v>
      </c>
      <c r="H20" s="44">
        <f>('Flow cytometer'!F20/'Flow cytometer'!G20)*POWER(10,'Flow cytometer'!E20+2)*10.2</f>
        <v>2718737142.8571429</v>
      </c>
      <c r="I20" s="32">
        <v>3</v>
      </c>
      <c r="J20" s="32">
        <v>17538</v>
      </c>
      <c r="K20" s="32">
        <v>7</v>
      </c>
      <c r="L20" s="44">
        <f>('Flow cytometer'!J20/'Flow cytometer'!K20)*POWER(10,'Flow cytometer'!I20+2)*10.2</f>
        <v>2555537142.8571429</v>
      </c>
      <c r="M20" s="32">
        <v>3</v>
      </c>
      <c r="N20" s="32">
        <v>20285</v>
      </c>
      <c r="O20" s="32">
        <v>7</v>
      </c>
      <c r="P20" s="44">
        <f>('Flow cytometer'!N20/'Flow cytometer'!O20)*POWER(10,'Flow cytometer'!M20+2)*10.2</f>
        <v>2955814285.7142854</v>
      </c>
      <c r="Q20" s="47">
        <f>AVERAGE(H20,L20,P20)*Calculation!I20/Calculation!K19</f>
        <v>2917280231.4194431</v>
      </c>
      <c r="R20" s="48">
        <f>STDEV(H20,L20,P20)*Calculation!I20/Calculation!K19</f>
        <v>214031378.28738958</v>
      </c>
      <c r="S20" s="49">
        <f t="shared" ref="S20" si="7">LOG(Q20)</f>
        <v>9.464978149078398</v>
      </c>
      <c r="T20" s="49">
        <f t="shared" ref="T20" si="8">LN(Q20)</f>
        <v>21.793917591582293</v>
      </c>
      <c r="U20" s="49">
        <f t="shared" si="3"/>
        <v>9.4343672204874398</v>
      </c>
      <c r="V20" s="49">
        <f t="shared" si="4"/>
        <v>9.4074821974887399</v>
      </c>
      <c r="W20" s="49">
        <f t="shared" si="5"/>
        <v>9.4706771437880057</v>
      </c>
      <c r="X20" s="49">
        <f xml:space="preserve"> STDEV(U20:W20)*Calculation!I20/Calculation!K19</f>
        <v>3.3724948437384814E-2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R48"/>
  <sheetViews>
    <sheetView topLeftCell="A19" workbookViewId="0">
      <selection activeCell="M41" sqref="M41"/>
    </sheetView>
  </sheetViews>
  <sheetFormatPr baseColWidth="10" defaultColWidth="8.83203125" defaultRowHeight="14" x14ac:dyDescent="0"/>
  <cols>
    <col min="1" max="2" width="8.83203125" style="83"/>
    <col min="3" max="3" width="9.83203125" style="83" customWidth="1"/>
    <col min="4" max="17" width="8.83203125" style="83"/>
    <col min="18" max="18" width="13.83203125" style="83" bestFit="1" customWidth="1"/>
    <col min="19" max="16384" width="8.83203125" style="83"/>
  </cols>
  <sheetData>
    <row r="1" spans="2:18">
      <c r="B1" s="143" t="s">
        <v>4</v>
      </c>
      <c r="C1" s="145" t="s">
        <v>185</v>
      </c>
      <c r="D1" s="146" t="s">
        <v>18</v>
      </c>
      <c r="E1" s="146"/>
      <c r="F1" s="146"/>
      <c r="G1" s="146"/>
      <c r="H1" s="146" t="s">
        <v>20</v>
      </c>
      <c r="I1" s="146"/>
      <c r="J1" s="146"/>
      <c r="K1" s="146"/>
      <c r="L1" s="146" t="s">
        <v>21</v>
      </c>
      <c r="M1" s="146"/>
      <c r="N1" s="146"/>
      <c r="O1" s="146"/>
      <c r="P1" s="82" t="s">
        <v>22</v>
      </c>
      <c r="Q1" s="82" t="s">
        <v>22</v>
      </c>
      <c r="R1" s="82" t="s">
        <v>22</v>
      </c>
    </row>
    <row r="2" spans="2:18">
      <c r="B2" s="144"/>
      <c r="C2" s="144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</row>
    <row r="3" spans="2:18"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40"/>
      <c r="Q3" s="141"/>
      <c r="R3" s="142"/>
    </row>
    <row r="4" spans="2:18">
      <c r="B4" s="89" t="s">
        <v>186</v>
      </c>
      <c r="C4" s="90">
        <v>500</v>
      </c>
      <c r="D4" s="90">
        <v>3</v>
      </c>
      <c r="E4" s="90">
        <v>14133</v>
      </c>
      <c r="F4" s="90">
        <v>7</v>
      </c>
      <c r="G4" s="88">
        <f>(E4/F4)*(10.2)*POWER(10,D4+2)</f>
        <v>2059380000</v>
      </c>
      <c r="H4" s="90">
        <v>3</v>
      </c>
      <c r="I4" s="90">
        <v>15082</v>
      </c>
      <c r="J4" s="90">
        <v>7</v>
      </c>
      <c r="K4" s="88">
        <f t="shared" ref="K4:K18" si="0">(I4/J4)*(10.2)*POWER(10,H4+2)</f>
        <v>2197662857.1428571</v>
      </c>
      <c r="L4" s="90">
        <v>3</v>
      </c>
      <c r="M4" s="90">
        <v>15922</v>
      </c>
      <c r="N4" s="90">
        <v>7</v>
      </c>
      <c r="O4" s="88">
        <f t="shared" ref="O4:O19" si="1">(M4/N4)*(10.2)*POWER(10,L4+2)</f>
        <v>2320062857.1428571</v>
      </c>
      <c r="P4" s="91">
        <f t="shared" ref="P4:P19" si="2">AVERAGE(O4,K4,G4)</f>
        <v>2192368571.4285712</v>
      </c>
      <c r="Q4" s="91">
        <f t="shared" ref="Q4:Q19" si="3">STDEV(O4,K4,G4)</f>
        <v>130422046.05801573</v>
      </c>
      <c r="R4" s="92">
        <f>LOG(P4)</f>
        <v>9.3409135676416426</v>
      </c>
    </row>
    <row r="5" spans="2:18">
      <c r="B5" s="89" t="s">
        <v>187</v>
      </c>
      <c r="C5" s="90">
        <v>500</v>
      </c>
      <c r="D5" s="90">
        <v>2</v>
      </c>
      <c r="E5" s="90">
        <v>16544</v>
      </c>
      <c r="F5" s="90">
        <v>7</v>
      </c>
      <c r="G5" s="88">
        <f t="shared" ref="G5:G19" si="4">(E5/F5)*(10.2)*POWER(10,D5+2)</f>
        <v>241069714.2857143</v>
      </c>
      <c r="H5" s="90">
        <v>2</v>
      </c>
      <c r="I5" s="90">
        <v>15924</v>
      </c>
      <c r="J5" s="90">
        <v>7</v>
      </c>
      <c r="K5" s="88">
        <f t="shared" si="0"/>
        <v>232035428.57142854</v>
      </c>
      <c r="L5" s="90">
        <v>2</v>
      </c>
      <c r="M5" s="90">
        <v>15173</v>
      </c>
      <c r="N5" s="90">
        <v>7</v>
      </c>
      <c r="O5" s="88">
        <f t="shared" si="1"/>
        <v>221092285.71428567</v>
      </c>
      <c r="P5" s="91">
        <f t="shared" si="2"/>
        <v>231399142.85714284</v>
      </c>
      <c r="Q5" s="91">
        <f t="shared" si="3"/>
        <v>10003902.124385577</v>
      </c>
      <c r="R5" s="92">
        <f t="shared" ref="R5:R19" si="5">LOG(P5)</f>
        <v>8.3643617459160655</v>
      </c>
    </row>
    <row r="6" spans="2:18">
      <c r="B6" s="89" t="s">
        <v>188</v>
      </c>
      <c r="C6" s="90">
        <v>500</v>
      </c>
      <c r="D6" s="90">
        <v>1</v>
      </c>
      <c r="E6" s="90">
        <v>18107</v>
      </c>
      <c r="F6" s="90">
        <v>7</v>
      </c>
      <c r="G6" s="88">
        <f t="shared" si="4"/>
        <v>26384485.714285713</v>
      </c>
      <c r="H6" s="90">
        <v>1</v>
      </c>
      <c r="I6" s="90">
        <v>18423</v>
      </c>
      <c r="J6" s="90">
        <v>7</v>
      </c>
      <c r="K6" s="88">
        <f t="shared" si="0"/>
        <v>26844942.857142854</v>
      </c>
      <c r="L6" s="90">
        <v>1</v>
      </c>
      <c r="M6" s="90">
        <v>17005</v>
      </c>
      <c r="N6" s="90">
        <v>7</v>
      </c>
      <c r="O6" s="88">
        <f t="shared" si="1"/>
        <v>24778714.285714284</v>
      </c>
      <c r="P6" s="91">
        <f t="shared" si="2"/>
        <v>26002714.285714284</v>
      </c>
      <c r="Q6" s="91">
        <f t="shared" si="3"/>
        <v>1084729.0883451225</v>
      </c>
      <c r="R6" s="92">
        <f t="shared" si="5"/>
        <v>7.4150186840393397</v>
      </c>
    </row>
    <row r="7" spans="2:18">
      <c r="B7" s="89" t="s">
        <v>189</v>
      </c>
      <c r="C7" s="90">
        <v>500</v>
      </c>
      <c r="D7" s="90">
        <v>1</v>
      </c>
      <c r="E7" s="90">
        <v>1825</v>
      </c>
      <c r="F7" s="90">
        <v>7</v>
      </c>
      <c r="G7" s="88">
        <f t="shared" si="4"/>
        <v>2659285.7142857141</v>
      </c>
      <c r="H7" s="90">
        <v>1</v>
      </c>
      <c r="I7" s="90">
        <v>1808</v>
      </c>
      <c r="J7" s="90">
        <v>7</v>
      </c>
      <c r="K7" s="88">
        <f t="shared" si="0"/>
        <v>2634514.2857142854</v>
      </c>
      <c r="L7" s="90">
        <v>1</v>
      </c>
      <c r="M7" s="90">
        <v>1822</v>
      </c>
      <c r="N7" s="90">
        <v>7</v>
      </c>
      <c r="O7" s="88">
        <f t="shared" si="1"/>
        <v>2654914.2857142854</v>
      </c>
      <c r="P7" s="91">
        <f t="shared" si="2"/>
        <v>2649571.4285714286</v>
      </c>
      <c r="Q7" s="91">
        <f t="shared" si="3"/>
        <v>13221.78165770719</v>
      </c>
      <c r="R7" s="92">
        <f t="shared" si="5"/>
        <v>6.4231756319523594</v>
      </c>
    </row>
    <row r="8" spans="2:18">
      <c r="B8" s="89" t="s">
        <v>190</v>
      </c>
      <c r="C8" s="90">
        <v>500</v>
      </c>
      <c r="D8" s="90">
        <v>0</v>
      </c>
      <c r="E8" s="90">
        <v>2306</v>
      </c>
      <c r="F8" s="90">
        <v>7</v>
      </c>
      <c r="G8" s="88">
        <f t="shared" si="4"/>
        <v>336017.14285714284</v>
      </c>
      <c r="H8" s="90">
        <v>0</v>
      </c>
      <c r="I8" s="90">
        <v>2052</v>
      </c>
      <c r="J8" s="90">
        <v>7</v>
      </c>
      <c r="K8" s="88">
        <f t="shared" si="0"/>
        <v>299005.71428571432</v>
      </c>
      <c r="L8" s="90">
        <v>0</v>
      </c>
      <c r="M8" s="90">
        <v>2049</v>
      </c>
      <c r="N8" s="90">
        <v>7</v>
      </c>
      <c r="O8" s="88">
        <f t="shared" si="1"/>
        <v>298568.57142857142</v>
      </c>
      <c r="P8" s="91">
        <f t="shared" si="2"/>
        <v>311197.14285714284</v>
      </c>
      <c r="Q8" s="91">
        <f t="shared" si="3"/>
        <v>21495.861775453133</v>
      </c>
      <c r="R8" s="92">
        <f t="shared" si="5"/>
        <v>5.4930356010198587</v>
      </c>
    </row>
    <row r="9" spans="2:18">
      <c r="B9" s="89" t="s">
        <v>191</v>
      </c>
      <c r="C9" s="90">
        <v>1000</v>
      </c>
      <c r="D9" s="90">
        <v>3</v>
      </c>
      <c r="E9" s="90">
        <v>13995</v>
      </c>
      <c r="F9" s="90">
        <v>7</v>
      </c>
      <c r="G9" s="88">
        <f t="shared" si="4"/>
        <v>2039271428.5714283</v>
      </c>
      <c r="H9" s="90">
        <v>3</v>
      </c>
      <c r="I9" s="90">
        <v>13769</v>
      </c>
      <c r="J9" s="90">
        <v>7</v>
      </c>
      <c r="K9" s="88">
        <f t="shared" si="0"/>
        <v>2006339999.9999998</v>
      </c>
      <c r="L9" s="90">
        <v>3</v>
      </c>
      <c r="M9" s="90">
        <v>15093</v>
      </c>
      <c r="N9" s="90">
        <v>7</v>
      </c>
      <c r="O9" s="88">
        <f t="shared" si="1"/>
        <v>2199265714.2857146</v>
      </c>
      <c r="P9" s="91">
        <f t="shared" si="2"/>
        <v>2081625714.2857141</v>
      </c>
      <c r="Q9" s="91">
        <f t="shared" si="3"/>
        <v>103201244.89045103</v>
      </c>
      <c r="R9" s="92">
        <f t="shared" si="5"/>
        <v>9.3184026440827186</v>
      </c>
    </row>
    <row r="10" spans="2:18">
      <c r="B10" s="89" t="s">
        <v>192</v>
      </c>
      <c r="C10" s="90">
        <v>900</v>
      </c>
      <c r="D10" s="90">
        <v>3</v>
      </c>
      <c r="E10" s="90">
        <v>6387</v>
      </c>
      <c r="F10" s="90">
        <v>7</v>
      </c>
      <c r="G10" s="88">
        <f t="shared" si="4"/>
        <v>930677142.85714281</v>
      </c>
      <c r="H10" s="90">
        <v>3</v>
      </c>
      <c r="I10" s="90">
        <v>7378</v>
      </c>
      <c r="J10" s="90">
        <v>7</v>
      </c>
      <c r="K10" s="88">
        <f t="shared" si="0"/>
        <v>1075080000</v>
      </c>
      <c r="L10" s="90">
        <v>3</v>
      </c>
      <c r="M10" s="90">
        <v>6564</v>
      </c>
      <c r="N10" s="90">
        <v>7</v>
      </c>
      <c r="O10" s="88">
        <f t="shared" si="1"/>
        <v>956468571.42857134</v>
      </c>
      <c r="P10" s="91">
        <f t="shared" si="2"/>
        <v>987408571.42857134</v>
      </c>
      <c r="Q10" s="91">
        <f t="shared" si="3"/>
        <v>77013044.270143658</v>
      </c>
      <c r="R10" s="92">
        <f t="shared" si="5"/>
        <v>8.9944968928936131</v>
      </c>
    </row>
    <row r="11" spans="2:18">
      <c r="B11" s="89" t="s">
        <v>193</v>
      </c>
      <c r="C11" s="90">
        <v>900</v>
      </c>
      <c r="D11" s="90">
        <v>3</v>
      </c>
      <c r="E11" s="90">
        <v>3341</v>
      </c>
      <c r="F11" s="90">
        <v>7</v>
      </c>
      <c r="G11" s="88">
        <f t="shared" si="4"/>
        <v>486831428.5714286</v>
      </c>
      <c r="H11" s="90">
        <v>3</v>
      </c>
      <c r="I11" s="90">
        <v>3712</v>
      </c>
      <c r="J11" s="90">
        <v>7</v>
      </c>
      <c r="K11" s="88">
        <f t="shared" si="0"/>
        <v>540891428.57142866</v>
      </c>
      <c r="L11" s="90">
        <v>3</v>
      </c>
      <c r="M11" s="90">
        <v>3690</v>
      </c>
      <c r="N11" s="90">
        <v>7</v>
      </c>
      <c r="O11" s="88">
        <f t="shared" si="1"/>
        <v>537685714.28571427</v>
      </c>
      <c r="P11" s="91">
        <f t="shared" si="2"/>
        <v>521802857.14285713</v>
      </c>
      <c r="Q11" s="91">
        <f t="shared" si="3"/>
        <v>30328530.516088422</v>
      </c>
      <c r="R11" s="92">
        <f t="shared" si="5"/>
        <v>8.7175064527595634</v>
      </c>
    </row>
    <row r="12" spans="2:18">
      <c r="B12" s="89" t="s">
        <v>194</v>
      </c>
      <c r="C12" s="90">
        <v>900</v>
      </c>
      <c r="D12" s="90">
        <v>2</v>
      </c>
      <c r="E12" s="90">
        <v>19134</v>
      </c>
      <c r="F12" s="90">
        <v>7</v>
      </c>
      <c r="G12" s="88">
        <f>(E12/F12)*(10.2)*POWER(10,D12+2)</f>
        <v>278809714.28571427</v>
      </c>
      <c r="H12" s="90">
        <v>2</v>
      </c>
      <c r="I12" s="90">
        <v>18838</v>
      </c>
      <c r="J12" s="90">
        <v>7</v>
      </c>
      <c r="K12" s="88">
        <f t="shared" si="0"/>
        <v>274496571.42857146</v>
      </c>
      <c r="L12" s="90">
        <v>2</v>
      </c>
      <c r="M12" s="90">
        <v>18096</v>
      </c>
      <c r="N12" s="90">
        <v>7</v>
      </c>
      <c r="O12" s="88">
        <f t="shared" si="1"/>
        <v>263684571.42857143</v>
      </c>
      <c r="P12" s="91">
        <f t="shared" si="2"/>
        <v>272330285.71428573</v>
      </c>
      <c r="Q12" s="91">
        <f t="shared" si="3"/>
        <v>7791795.8109272597</v>
      </c>
      <c r="R12" s="92">
        <f t="shared" si="5"/>
        <v>8.4350959416969342</v>
      </c>
    </row>
    <row r="13" spans="2:18">
      <c r="B13" s="89" t="s">
        <v>195</v>
      </c>
      <c r="C13" s="90">
        <v>900</v>
      </c>
      <c r="D13" s="90">
        <v>2</v>
      </c>
      <c r="E13" s="90">
        <v>9224</v>
      </c>
      <c r="F13" s="90">
        <v>7</v>
      </c>
      <c r="G13" s="88">
        <f t="shared" si="4"/>
        <v>134406857.14285713</v>
      </c>
      <c r="H13" s="90">
        <v>2</v>
      </c>
      <c r="I13" s="90">
        <v>9341</v>
      </c>
      <c r="J13" s="90">
        <v>7</v>
      </c>
      <c r="K13" s="88">
        <f t="shared" si="0"/>
        <v>136111714.28571427</v>
      </c>
      <c r="L13" s="90">
        <v>2</v>
      </c>
      <c r="M13" s="90">
        <v>9173</v>
      </c>
      <c r="N13" s="90">
        <v>7</v>
      </c>
      <c r="O13" s="88">
        <f t="shared" si="1"/>
        <v>133663714.28571427</v>
      </c>
      <c r="P13" s="91">
        <f t="shared" si="2"/>
        <v>134727428.57142857</v>
      </c>
      <c r="Q13" s="91">
        <f t="shared" si="3"/>
        <v>1255089.8496172463</v>
      </c>
      <c r="R13" s="92">
        <f t="shared" si="5"/>
        <v>8.1294560208497231</v>
      </c>
    </row>
    <row r="14" spans="2:18">
      <c r="B14" s="89" t="s">
        <v>196</v>
      </c>
      <c r="C14" s="90">
        <v>900</v>
      </c>
      <c r="D14" s="90">
        <v>2</v>
      </c>
      <c r="E14" s="90">
        <v>4238</v>
      </c>
      <c r="F14" s="90">
        <v>7</v>
      </c>
      <c r="G14" s="88">
        <f t="shared" si="4"/>
        <v>61753714.285714284</v>
      </c>
      <c r="H14" s="90">
        <v>2</v>
      </c>
      <c r="I14" s="90">
        <v>4832</v>
      </c>
      <c r="J14" s="90">
        <v>7</v>
      </c>
      <c r="K14" s="88">
        <f t="shared" si="0"/>
        <v>70409142.857142866</v>
      </c>
      <c r="L14" s="90">
        <v>2</v>
      </c>
      <c r="M14" s="90">
        <v>4770</v>
      </c>
      <c r="N14" s="90">
        <v>7</v>
      </c>
      <c r="O14" s="88">
        <f t="shared" si="1"/>
        <v>69505714.285714284</v>
      </c>
      <c r="P14" s="91">
        <f t="shared" si="2"/>
        <v>67222857.142857134</v>
      </c>
      <c r="Q14" s="91">
        <f t="shared" si="3"/>
        <v>4757907.9950957391</v>
      </c>
      <c r="R14" s="92">
        <f t="shared" si="5"/>
        <v>7.8275169671487372</v>
      </c>
    </row>
    <row r="15" spans="2:18">
      <c r="B15" s="89" t="s">
        <v>197</v>
      </c>
      <c r="C15" s="90">
        <v>900</v>
      </c>
      <c r="D15" s="90">
        <v>1</v>
      </c>
      <c r="E15" s="90">
        <v>22411</v>
      </c>
      <c r="F15" s="90">
        <v>7</v>
      </c>
      <c r="G15" s="88">
        <f t="shared" si="4"/>
        <v>32656028.571428567</v>
      </c>
      <c r="H15" s="90">
        <v>1</v>
      </c>
      <c r="I15" s="90">
        <v>23826</v>
      </c>
      <c r="J15" s="90">
        <v>7</v>
      </c>
      <c r="K15" s="88">
        <f t="shared" si="0"/>
        <v>34717885.714285716</v>
      </c>
      <c r="L15" s="90">
        <v>1</v>
      </c>
      <c r="M15" s="90">
        <v>24471</v>
      </c>
      <c r="N15" s="90">
        <v>7</v>
      </c>
      <c r="O15" s="88">
        <f t="shared" si="1"/>
        <v>35657742.857142851</v>
      </c>
      <c r="P15" s="91">
        <f t="shared" si="2"/>
        <v>34343885.714285709</v>
      </c>
      <c r="Q15" s="91">
        <f t="shared" si="3"/>
        <v>1535408.4678890193</v>
      </c>
      <c r="R15" s="92">
        <f t="shared" si="5"/>
        <v>7.5358494302775298</v>
      </c>
    </row>
    <row r="16" spans="2:18">
      <c r="B16" s="89" t="s">
        <v>198</v>
      </c>
      <c r="C16" s="90">
        <v>900</v>
      </c>
      <c r="D16" s="90">
        <v>1</v>
      </c>
      <c r="E16" s="90">
        <v>12012</v>
      </c>
      <c r="F16" s="90">
        <v>7</v>
      </c>
      <c r="G16" s="88">
        <f t="shared" si="4"/>
        <v>17503199.999999996</v>
      </c>
      <c r="H16" s="90">
        <v>1</v>
      </c>
      <c r="I16" s="90">
        <v>12668</v>
      </c>
      <c r="J16" s="90">
        <v>7</v>
      </c>
      <c r="K16" s="88">
        <f t="shared" si="0"/>
        <v>18459085.714285713</v>
      </c>
      <c r="L16" s="90">
        <v>1</v>
      </c>
      <c r="M16" s="90">
        <v>11470</v>
      </c>
      <c r="N16" s="90">
        <v>7</v>
      </c>
      <c r="O16" s="88">
        <f t="shared" si="1"/>
        <v>16713428.571428573</v>
      </c>
      <c r="P16" s="91">
        <f t="shared" si="2"/>
        <v>17558571.428571429</v>
      </c>
      <c r="Q16" s="91">
        <f t="shared" si="3"/>
        <v>874144.84579420183</v>
      </c>
      <c r="R16" s="92">
        <f t="shared" si="5"/>
        <v>7.2444891786585481</v>
      </c>
    </row>
    <row r="17" spans="2:18">
      <c r="B17" s="89" t="s">
        <v>199</v>
      </c>
      <c r="C17" s="90">
        <v>900</v>
      </c>
      <c r="D17" s="90">
        <v>1</v>
      </c>
      <c r="E17" s="90">
        <v>5750</v>
      </c>
      <c r="F17" s="90">
        <v>7</v>
      </c>
      <c r="G17" s="88">
        <f t="shared" si="4"/>
        <v>8378571.4285714272</v>
      </c>
      <c r="H17" s="90">
        <v>1</v>
      </c>
      <c r="I17" s="90">
        <v>5481</v>
      </c>
      <c r="J17" s="90">
        <v>7</v>
      </c>
      <c r="K17" s="88">
        <f t="shared" si="0"/>
        <v>7986599.9999999991</v>
      </c>
      <c r="L17" s="90">
        <v>1</v>
      </c>
      <c r="M17" s="90">
        <v>5831</v>
      </c>
      <c r="N17" s="90">
        <v>7</v>
      </c>
      <c r="O17" s="88">
        <f t="shared" si="1"/>
        <v>8496599.9999999981</v>
      </c>
      <c r="P17" s="91">
        <f t="shared" si="2"/>
        <v>8287257.1428571418</v>
      </c>
      <c r="Q17" s="91">
        <f t="shared" si="3"/>
        <v>266980.75601367303</v>
      </c>
      <c r="R17" s="92">
        <f t="shared" si="5"/>
        <v>6.9184108146481318</v>
      </c>
    </row>
    <row r="18" spans="2:18">
      <c r="B18" s="89" t="s">
        <v>200</v>
      </c>
      <c r="C18" s="90">
        <v>900</v>
      </c>
      <c r="D18" s="90">
        <v>1</v>
      </c>
      <c r="E18" s="90">
        <v>2868</v>
      </c>
      <c r="F18" s="90">
        <v>7</v>
      </c>
      <c r="G18" s="88">
        <f t="shared" si="4"/>
        <v>4179085.7142857141</v>
      </c>
      <c r="H18" s="90">
        <v>1</v>
      </c>
      <c r="I18" s="90">
        <v>2835</v>
      </c>
      <c r="J18" s="90">
        <v>7</v>
      </c>
      <c r="K18" s="88">
        <f t="shared" si="0"/>
        <v>4131000</v>
      </c>
      <c r="L18" s="90">
        <v>1</v>
      </c>
      <c r="M18" s="90">
        <v>2976</v>
      </c>
      <c r="N18" s="90">
        <v>7</v>
      </c>
      <c r="O18" s="88">
        <f t="shared" si="1"/>
        <v>4336457.1428571427</v>
      </c>
      <c r="P18" s="91">
        <f t="shared" si="2"/>
        <v>4215514.2857142854</v>
      </c>
      <c r="Q18" s="91">
        <f t="shared" si="3"/>
        <v>107463.6682790979</v>
      </c>
      <c r="R18" s="92">
        <f t="shared" si="5"/>
        <v>6.6248505653956435</v>
      </c>
    </row>
    <row r="19" spans="2:18">
      <c r="B19" s="89" t="s">
        <v>201</v>
      </c>
      <c r="C19" s="90">
        <v>900</v>
      </c>
      <c r="D19" s="90">
        <v>0</v>
      </c>
      <c r="E19" s="90">
        <v>10096</v>
      </c>
      <c r="F19" s="90">
        <v>7</v>
      </c>
      <c r="G19" s="88">
        <f t="shared" si="4"/>
        <v>1471131.4285714284</v>
      </c>
      <c r="H19" s="90">
        <v>0</v>
      </c>
      <c r="I19" s="90">
        <v>8923</v>
      </c>
      <c r="J19" s="90">
        <v>7</v>
      </c>
      <c r="K19" s="88">
        <f>(I19/J19)*(10.2)*POWER(10,H19+2)</f>
        <v>1300208.5714285716</v>
      </c>
      <c r="L19" s="90">
        <v>0</v>
      </c>
      <c r="M19" s="90">
        <v>8050</v>
      </c>
      <c r="N19" s="90">
        <v>7</v>
      </c>
      <c r="O19" s="88">
        <f t="shared" si="1"/>
        <v>1173000</v>
      </c>
      <c r="P19" s="91">
        <f t="shared" si="2"/>
        <v>1314780</v>
      </c>
      <c r="Q19" s="91">
        <f t="shared" si="3"/>
        <v>149598.9039848533</v>
      </c>
      <c r="R19" s="92">
        <f t="shared" si="5"/>
        <v>6.118853089115321</v>
      </c>
    </row>
    <row r="20" spans="2:18" ht="15" thickBot="1"/>
    <row r="21" spans="2:18" ht="55" customHeight="1" thickBot="1"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208</v>
      </c>
      <c r="J21" s="95" t="s">
        <v>209</v>
      </c>
      <c r="K21" s="95" t="s">
        <v>210</v>
      </c>
      <c r="L21" s="95" t="s">
        <v>211</v>
      </c>
      <c r="M21" s="96" t="s">
        <v>212</v>
      </c>
    </row>
    <row r="23" spans="2:18">
      <c r="B23" s="89" t="s">
        <v>186</v>
      </c>
      <c r="C23" s="97">
        <v>16.382114410400391</v>
      </c>
      <c r="D23" s="97">
        <v>16.2430419921875</v>
      </c>
      <c r="E23" s="97">
        <v>16.416009902954102</v>
      </c>
      <c r="F23" s="97">
        <f>AVERAGE(C23:E23)</f>
        <v>16.347055435180664</v>
      </c>
      <c r="G23" s="83">
        <f>15*180/4*1000/900</f>
        <v>750</v>
      </c>
      <c r="H23" s="83">
        <f>LOG(G23)/LOG(2)</f>
        <v>9.5507467853832431</v>
      </c>
      <c r="I23" s="90">
        <f>C23-H23</f>
        <v>6.8313676250171476</v>
      </c>
      <c r="J23" s="90">
        <f>D23-H23</f>
        <v>6.6922952068042569</v>
      </c>
      <c r="K23" s="90">
        <f>E23-H23</f>
        <v>6.8652631175708585</v>
      </c>
      <c r="L23" s="98">
        <f>AVERAGE(I23:K23)</f>
        <v>6.796308649797421</v>
      </c>
    </row>
    <row r="24" spans="2:18">
      <c r="B24" s="89" t="s">
        <v>187</v>
      </c>
      <c r="C24" s="97">
        <v>20.246736526489258</v>
      </c>
      <c r="D24" s="97">
        <v>20.337041854858398</v>
      </c>
      <c r="E24" s="97">
        <v>20.223323822021484</v>
      </c>
      <c r="F24" s="97">
        <f t="shared" ref="F24:F38" si="6">AVERAGE(C24:E24)</f>
        <v>20.269034067789715</v>
      </c>
      <c r="G24" s="83">
        <f t="shared" ref="G24:G26" si="7">15*180/4*1000/900</f>
        <v>750</v>
      </c>
      <c r="H24" s="83">
        <f t="shared" ref="H24:H38" si="8">LOG(G24)/LOG(2)</f>
        <v>9.5507467853832431</v>
      </c>
      <c r="I24" s="90">
        <f t="shared" ref="I24:I38" si="9">C24-H24</f>
        <v>10.695989741106015</v>
      </c>
      <c r="J24" s="90">
        <f t="shared" ref="J24:J38" si="10">D24-H24</f>
        <v>10.786295069475155</v>
      </c>
      <c r="K24" s="90">
        <f t="shared" ref="K24:K38" si="11">E24-H24</f>
        <v>10.672577036638241</v>
      </c>
      <c r="L24" s="98">
        <f t="shared" ref="L24:L38" si="12">AVERAGE(I24:K24)</f>
        <v>10.71828728240647</v>
      </c>
    </row>
    <row r="25" spans="2:18">
      <c r="B25" s="89" t="s">
        <v>188</v>
      </c>
      <c r="C25" s="97">
        <v>23.471084594726562</v>
      </c>
      <c r="D25" s="97">
        <v>23.434993743896484</v>
      </c>
      <c r="E25" s="97">
        <v>23.65556526184082</v>
      </c>
      <c r="F25" s="97">
        <f t="shared" si="6"/>
        <v>23.520547866821289</v>
      </c>
      <c r="G25" s="83">
        <f t="shared" si="7"/>
        <v>750</v>
      </c>
      <c r="H25" s="83">
        <f t="shared" si="8"/>
        <v>9.5507467853832431</v>
      </c>
      <c r="I25" s="90">
        <f t="shared" si="9"/>
        <v>13.920337809343319</v>
      </c>
      <c r="J25" s="90">
        <f t="shared" si="10"/>
        <v>13.884246958513241</v>
      </c>
      <c r="K25" s="90">
        <f t="shared" si="11"/>
        <v>14.104818476457577</v>
      </c>
      <c r="L25" s="98">
        <f t="shared" si="12"/>
        <v>13.969801081438044</v>
      </c>
    </row>
    <row r="26" spans="2:18">
      <c r="B26" s="89" t="s">
        <v>189</v>
      </c>
      <c r="C26" s="97">
        <v>27.687118530273438</v>
      </c>
      <c r="D26" s="97">
        <v>27.683933258056641</v>
      </c>
      <c r="E26" s="97">
        <v>27.721792221069336</v>
      </c>
      <c r="F26" s="97">
        <f t="shared" si="6"/>
        <v>27.697614669799805</v>
      </c>
      <c r="G26" s="83">
        <f t="shared" si="7"/>
        <v>750</v>
      </c>
      <c r="H26" s="83">
        <f t="shared" si="8"/>
        <v>9.5507467853832431</v>
      </c>
      <c r="I26" s="90">
        <f t="shared" si="9"/>
        <v>18.136371744890194</v>
      </c>
      <c r="J26" s="90">
        <f t="shared" si="10"/>
        <v>18.133186472673398</v>
      </c>
      <c r="K26" s="90">
        <f t="shared" si="11"/>
        <v>18.171045435686093</v>
      </c>
      <c r="L26" s="98">
        <f t="shared" si="12"/>
        <v>18.146867884416562</v>
      </c>
    </row>
    <row r="27" spans="2:18">
      <c r="B27" s="89" t="s">
        <v>190</v>
      </c>
      <c r="C27" s="97">
        <v>31.580327987670898</v>
      </c>
      <c r="D27" s="97">
        <v>31.876550674438477</v>
      </c>
      <c r="E27" s="97">
        <v>31.972114562988281</v>
      </c>
      <c r="F27" s="97">
        <f t="shared" si="6"/>
        <v>31.809664408365887</v>
      </c>
      <c r="G27" s="83">
        <f>15*180/4*1000/900</f>
        <v>750</v>
      </c>
      <c r="H27" s="83">
        <f>LOG(G27)/LOG(2)</f>
        <v>9.5507467853832431</v>
      </c>
      <c r="I27" s="90">
        <f t="shared" si="9"/>
        <v>22.029581202287655</v>
      </c>
      <c r="J27" s="90">
        <f t="shared" si="10"/>
        <v>22.325803889055233</v>
      </c>
      <c r="K27" s="90">
        <f t="shared" si="11"/>
        <v>22.421367777605038</v>
      </c>
      <c r="L27" s="98">
        <f t="shared" si="12"/>
        <v>22.25891762298264</v>
      </c>
    </row>
    <row r="28" spans="2:18">
      <c r="B28" s="89" t="s">
        <v>191</v>
      </c>
      <c r="C28" s="97">
        <v>16.648801803588867</v>
      </c>
      <c r="D28" s="97">
        <v>17.485513687133789</v>
      </c>
      <c r="E28" s="97">
        <v>16.725131988525391</v>
      </c>
      <c r="F28" s="97">
        <f t="shared" si="6"/>
        <v>16.953149159749348</v>
      </c>
      <c r="G28" s="83">
        <f>15*180/4*1000/1000</f>
        <v>675</v>
      </c>
      <c r="H28" s="83">
        <f t="shared" si="8"/>
        <v>9.3987436919381935</v>
      </c>
      <c r="I28" s="90">
        <f t="shared" si="9"/>
        <v>7.2500581116506737</v>
      </c>
      <c r="J28" s="90">
        <f t="shared" si="10"/>
        <v>8.0867699951955956</v>
      </c>
      <c r="K28" s="90">
        <f t="shared" si="11"/>
        <v>7.3263882965871971</v>
      </c>
      <c r="L28" s="98">
        <f t="shared" si="12"/>
        <v>7.5544054678111552</v>
      </c>
    </row>
    <row r="29" spans="2:18">
      <c r="B29" s="89" t="s">
        <v>192</v>
      </c>
      <c r="C29" s="97">
        <v>19.15205192565918</v>
      </c>
      <c r="D29" s="97">
        <v>18.957448959350586</v>
      </c>
      <c r="E29" s="97">
        <v>18.855649948120117</v>
      </c>
      <c r="F29" s="97">
        <f t="shared" si="6"/>
        <v>18.988383611043293</v>
      </c>
      <c r="G29" s="83">
        <f>15*180/4*1000/500</f>
        <v>1350</v>
      </c>
      <c r="H29" s="83">
        <f t="shared" si="8"/>
        <v>10.398743691938193</v>
      </c>
      <c r="I29" s="90">
        <f t="shared" si="9"/>
        <v>8.7533082337209862</v>
      </c>
      <c r="J29" s="90">
        <f t="shared" si="10"/>
        <v>8.5587052674123925</v>
      </c>
      <c r="K29" s="90">
        <f t="shared" si="11"/>
        <v>8.4569062561819237</v>
      </c>
      <c r="L29" s="98">
        <f t="shared" si="12"/>
        <v>8.5896399191051014</v>
      </c>
    </row>
    <row r="30" spans="2:18">
      <c r="B30" s="89" t="s">
        <v>193</v>
      </c>
      <c r="C30" s="97">
        <v>19.934587478637695</v>
      </c>
      <c r="D30" s="97">
        <v>19.768661499023438</v>
      </c>
      <c r="E30" s="97">
        <v>19.823604583740234</v>
      </c>
      <c r="F30" s="97">
        <f t="shared" si="6"/>
        <v>19.842284520467121</v>
      </c>
      <c r="G30" s="83">
        <f t="shared" ref="G30:G38" si="13">15*180/4*1000/500</f>
        <v>1350</v>
      </c>
      <c r="H30" s="83">
        <f t="shared" si="8"/>
        <v>10.398743691938193</v>
      </c>
      <c r="I30" s="90">
        <f t="shared" si="9"/>
        <v>9.5358437866995018</v>
      </c>
      <c r="J30" s="90">
        <f t="shared" si="10"/>
        <v>9.369917807085244</v>
      </c>
      <c r="K30" s="90">
        <f t="shared" si="11"/>
        <v>9.4248608918020409</v>
      </c>
      <c r="L30" s="98">
        <f t="shared" si="12"/>
        <v>9.4435408285289295</v>
      </c>
    </row>
    <row r="31" spans="2:18">
      <c r="B31" s="89" t="s">
        <v>194</v>
      </c>
      <c r="C31" s="97">
        <v>20.650510787963867</v>
      </c>
      <c r="D31" s="97">
        <v>20.447122573852539</v>
      </c>
      <c r="E31" s="97">
        <v>20.447004318237305</v>
      </c>
      <c r="F31" s="97">
        <f t="shared" si="6"/>
        <v>20.51487922668457</v>
      </c>
      <c r="G31" s="83">
        <f t="shared" si="13"/>
        <v>1350</v>
      </c>
      <c r="H31" s="83">
        <f t="shared" si="8"/>
        <v>10.398743691938193</v>
      </c>
      <c r="I31" s="90">
        <f t="shared" si="9"/>
        <v>10.251767096025674</v>
      </c>
      <c r="J31" s="90">
        <f t="shared" si="10"/>
        <v>10.048378881914346</v>
      </c>
      <c r="K31" s="90">
        <f t="shared" si="11"/>
        <v>10.048260626299111</v>
      </c>
      <c r="L31" s="98">
        <f t="shared" si="12"/>
        <v>10.116135534746377</v>
      </c>
    </row>
    <row r="32" spans="2:18">
      <c r="B32" s="89" t="s">
        <v>195</v>
      </c>
      <c r="C32" s="97">
        <v>21.825428009033203</v>
      </c>
      <c r="D32" s="97">
        <v>21.617404937744141</v>
      </c>
      <c r="E32" s="97">
        <v>21.863065719604492</v>
      </c>
      <c r="F32" s="97">
        <f t="shared" si="6"/>
        <v>21.768632888793945</v>
      </c>
      <c r="G32" s="83">
        <f t="shared" si="13"/>
        <v>1350</v>
      </c>
      <c r="H32" s="83">
        <f t="shared" si="8"/>
        <v>10.398743691938193</v>
      </c>
      <c r="I32" s="90">
        <f t="shared" si="9"/>
        <v>11.42668431709501</v>
      </c>
      <c r="J32" s="90">
        <f t="shared" si="10"/>
        <v>11.218661245805947</v>
      </c>
      <c r="K32" s="90">
        <f t="shared" si="11"/>
        <v>11.464322027666299</v>
      </c>
      <c r="L32" s="98">
        <f t="shared" si="12"/>
        <v>11.369889196855752</v>
      </c>
    </row>
    <row r="33" spans="2:12">
      <c r="B33" s="89" t="s">
        <v>196</v>
      </c>
      <c r="C33" s="97">
        <v>22.909189224243164</v>
      </c>
      <c r="D33" s="97">
        <v>22.986705780029297</v>
      </c>
      <c r="E33" s="97">
        <v>23.151363372802734</v>
      </c>
      <c r="F33" s="97">
        <f t="shared" si="6"/>
        <v>23.015752792358398</v>
      </c>
      <c r="G33" s="83">
        <f>15*180/4*1000/500</f>
        <v>1350</v>
      </c>
      <c r="H33" s="83">
        <f t="shared" si="8"/>
        <v>10.398743691938193</v>
      </c>
      <c r="I33" s="90">
        <f t="shared" si="9"/>
        <v>12.510445532304971</v>
      </c>
      <c r="J33" s="90">
        <f t="shared" si="10"/>
        <v>12.587962088091103</v>
      </c>
      <c r="K33" s="90">
        <f t="shared" si="11"/>
        <v>12.752619680864541</v>
      </c>
      <c r="L33" s="98">
        <f t="shared" si="12"/>
        <v>12.617009100420205</v>
      </c>
    </row>
    <row r="34" spans="2:12">
      <c r="B34" s="89" t="s">
        <v>197</v>
      </c>
      <c r="C34" s="97">
        <v>24.431295394897461</v>
      </c>
      <c r="D34" s="97">
        <v>24.009675979614258</v>
      </c>
      <c r="E34" s="97">
        <v>23.951196670532227</v>
      </c>
      <c r="F34" s="97">
        <f t="shared" si="6"/>
        <v>24.130722681681316</v>
      </c>
      <c r="G34" s="83">
        <f t="shared" si="13"/>
        <v>1350</v>
      </c>
      <c r="H34" s="83">
        <f t="shared" si="8"/>
        <v>10.398743691938193</v>
      </c>
      <c r="I34" s="90">
        <f t="shared" si="9"/>
        <v>14.032551702959267</v>
      </c>
      <c r="J34" s="90">
        <f t="shared" si="10"/>
        <v>13.610932287676064</v>
      </c>
      <c r="K34" s="90">
        <f t="shared" si="11"/>
        <v>13.552452978594033</v>
      </c>
      <c r="L34" s="98">
        <f t="shared" si="12"/>
        <v>13.731978989743121</v>
      </c>
    </row>
    <row r="35" spans="2:12">
      <c r="B35" s="89" t="s">
        <v>198</v>
      </c>
      <c r="C35" s="97">
        <v>25.132335662841797</v>
      </c>
      <c r="D35" s="97">
        <v>24.967596054077148</v>
      </c>
      <c r="E35" s="97">
        <v>25.03386116027832</v>
      </c>
      <c r="F35" s="97">
        <f t="shared" si="6"/>
        <v>25.044597625732422</v>
      </c>
      <c r="G35" s="83">
        <f t="shared" si="13"/>
        <v>1350</v>
      </c>
      <c r="H35" s="83">
        <f t="shared" si="8"/>
        <v>10.398743691938193</v>
      </c>
      <c r="I35" s="90">
        <f t="shared" si="9"/>
        <v>14.733591970903603</v>
      </c>
      <c r="J35" s="90">
        <f t="shared" si="10"/>
        <v>14.568852362138955</v>
      </c>
      <c r="K35" s="90">
        <f t="shared" si="11"/>
        <v>14.635117468340127</v>
      </c>
      <c r="L35" s="98">
        <f t="shared" si="12"/>
        <v>14.645853933794228</v>
      </c>
    </row>
    <row r="36" spans="2:12">
      <c r="B36" s="89" t="s">
        <v>199</v>
      </c>
      <c r="C36" s="97">
        <v>26.708147048950195</v>
      </c>
      <c r="D36" s="97">
        <v>26.763067245483398</v>
      </c>
      <c r="E36" s="97"/>
      <c r="F36" s="97">
        <f t="shared" si="6"/>
        <v>26.735607147216797</v>
      </c>
      <c r="G36" s="83">
        <f t="shared" si="13"/>
        <v>1350</v>
      </c>
      <c r="H36" s="83">
        <f t="shared" si="8"/>
        <v>10.398743691938193</v>
      </c>
      <c r="I36" s="90">
        <f t="shared" si="9"/>
        <v>16.309403357012002</v>
      </c>
      <c r="J36" s="90">
        <f t="shared" si="10"/>
        <v>16.364323553545205</v>
      </c>
      <c r="K36" s="90"/>
      <c r="L36" s="98">
        <f t="shared" si="12"/>
        <v>16.336863455278603</v>
      </c>
    </row>
    <row r="37" spans="2:12">
      <c r="B37" s="89" t="s">
        <v>200</v>
      </c>
      <c r="C37" s="97">
        <v>27.613700866699219</v>
      </c>
      <c r="D37" s="97">
        <v>27.812423706054688</v>
      </c>
      <c r="E37" s="97">
        <v>27.789873123168945</v>
      </c>
      <c r="F37" s="97">
        <f t="shared" si="6"/>
        <v>27.738665898640949</v>
      </c>
      <c r="G37" s="83">
        <f t="shared" si="13"/>
        <v>1350</v>
      </c>
      <c r="H37" s="83">
        <f t="shared" si="8"/>
        <v>10.398743691938193</v>
      </c>
      <c r="I37" s="90">
        <f t="shared" si="9"/>
        <v>17.214957174761025</v>
      </c>
      <c r="J37" s="90">
        <f t="shared" si="10"/>
        <v>17.413680014116494</v>
      </c>
      <c r="K37" s="90">
        <f t="shared" si="11"/>
        <v>17.391129431230752</v>
      </c>
      <c r="L37" s="98">
        <f t="shared" si="12"/>
        <v>17.339922206702756</v>
      </c>
    </row>
    <row r="38" spans="2:12">
      <c r="B38" s="89" t="s">
        <v>201</v>
      </c>
      <c r="C38" s="97">
        <v>29.07282829284668</v>
      </c>
      <c r="D38" s="97">
        <v>28.964012145996094</v>
      </c>
      <c r="E38" s="97">
        <v>29.311826705932617</v>
      </c>
      <c r="F38" s="97">
        <f t="shared" si="6"/>
        <v>29.116222381591797</v>
      </c>
      <c r="G38" s="83">
        <f t="shared" si="13"/>
        <v>1350</v>
      </c>
      <c r="H38" s="83">
        <f t="shared" si="8"/>
        <v>10.398743691938193</v>
      </c>
      <c r="I38" s="90">
        <f t="shared" si="9"/>
        <v>18.674084600908486</v>
      </c>
      <c r="J38" s="90">
        <f t="shared" si="10"/>
        <v>18.5652684540579</v>
      </c>
      <c r="K38" s="90">
        <f t="shared" si="11"/>
        <v>18.913083013994424</v>
      </c>
      <c r="L38" s="98">
        <f t="shared" si="12"/>
        <v>18.717478689653603</v>
      </c>
    </row>
    <row r="40" spans="2:12">
      <c r="B40" s="89" t="s">
        <v>213</v>
      </c>
      <c r="C40" s="97">
        <v>15.713388442993164</v>
      </c>
      <c r="D40" s="97">
        <v>15.726656913757324</v>
      </c>
      <c r="E40" s="97">
        <v>15.612536430358887</v>
      </c>
      <c r="F40" s="97">
        <f>AVERAGE(C40:E40)</f>
        <v>15.684193929036459</v>
      </c>
    </row>
    <row r="42" spans="2:12">
      <c r="B42" s="99" t="s">
        <v>214</v>
      </c>
      <c r="C42" s="83" t="s">
        <v>215</v>
      </c>
    </row>
    <row r="43" spans="2:12">
      <c r="B43" s="96" t="s">
        <v>216</v>
      </c>
      <c r="C43" s="83" t="s">
        <v>215</v>
      </c>
    </row>
    <row r="44" spans="2:12">
      <c r="C44" s="100" t="s">
        <v>217</v>
      </c>
      <c r="D44" s="98">
        <v>-3.6977000000000002</v>
      </c>
    </row>
    <row r="45" spans="2:12">
      <c r="C45" s="100" t="s">
        <v>218</v>
      </c>
      <c r="D45" s="98">
        <v>41.616</v>
      </c>
    </row>
    <row r="48" spans="2:12">
      <c r="B48" s="96" t="s">
        <v>219</v>
      </c>
      <c r="D48" s="83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3"/>
  <sheetViews>
    <sheetView topLeftCell="A31" workbookViewId="0">
      <selection activeCell="I11" sqref="I11"/>
    </sheetView>
  </sheetViews>
  <sheetFormatPr baseColWidth="10" defaultColWidth="8.83203125" defaultRowHeight="14" x14ac:dyDescent="0"/>
  <cols>
    <col min="1" max="1" width="13.33203125" style="83" bestFit="1" customWidth="1"/>
    <col min="2" max="4" width="8.83203125" style="83"/>
    <col min="5" max="6" width="13.33203125" style="83" bestFit="1" customWidth="1"/>
    <col min="7" max="10" width="13.6640625" style="83" customWidth="1"/>
    <col min="11" max="11" width="16.5" style="83" bestFit="1" customWidth="1"/>
    <col min="12" max="12" width="17" style="83" customWidth="1"/>
    <col min="13" max="13" width="19.1640625" style="83" customWidth="1"/>
    <col min="14" max="14" width="17" style="83" customWidth="1"/>
    <col min="15" max="15" width="18.83203125" style="83" customWidth="1"/>
    <col min="16" max="16" width="18" style="83" customWidth="1"/>
    <col min="17" max="17" width="23.5" style="83" customWidth="1"/>
    <col min="18" max="18" width="18.5" style="83" customWidth="1"/>
    <col min="19" max="19" width="23.5" style="83" customWidth="1"/>
    <col min="20" max="16384" width="8.83203125" style="83"/>
  </cols>
  <sheetData>
    <row r="1" spans="1:19">
      <c r="A1" s="101" t="s">
        <v>220</v>
      </c>
    </row>
    <row r="2" spans="1:19">
      <c r="A2" s="131" t="s">
        <v>4</v>
      </c>
      <c r="B2" s="131" t="s">
        <v>117</v>
      </c>
      <c r="C2" s="131" t="s">
        <v>117</v>
      </c>
      <c r="D2" s="131" t="s">
        <v>5</v>
      </c>
      <c r="E2" s="143" t="s">
        <v>221</v>
      </c>
      <c r="F2" s="143" t="s">
        <v>222</v>
      </c>
      <c r="G2" s="143" t="s">
        <v>223</v>
      </c>
      <c r="H2" s="145" t="s">
        <v>224</v>
      </c>
      <c r="I2" s="145" t="s">
        <v>225</v>
      </c>
      <c r="J2" s="145" t="s">
        <v>226</v>
      </c>
      <c r="K2" s="143" t="s">
        <v>227</v>
      </c>
      <c r="L2" s="143" t="s">
        <v>228</v>
      </c>
      <c r="M2" s="143" t="s">
        <v>229</v>
      </c>
      <c r="N2" s="143" t="s">
        <v>230</v>
      </c>
      <c r="O2" s="143" t="s">
        <v>231</v>
      </c>
      <c r="P2" s="145" t="s">
        <v>232</v>
      </c>
      <c r="Q2" s="145" t="s">
        <v>233</v>
      </c>
      <c r="R2" s="148" t="s">
        <v>234</v>
      </c>
      <c r="S2" s="145" t="s">
        <v>235</v>
      </c>
    </row>
    <row r="3" spans="1:19">
      <c r="A3" s="132"/>
      <c r="B3" s="132"/>
      <c r="C3" s="132"/>
      <c r="D3" s="132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9"/>
      <c r="S3" s="144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34.909069061279297</v>
      </c>
      <c r="F4" s="97">
        <v>36.104389190673828</v>
      </c>
      <c r="G4" s="97">
        <v>34.545291900634766</v>
      </c>
      <c r="H4" s="97">
        <f>E4-$H$62+$H$73</f>
        <v>34.753947540485498</v>
      </c>
      <c r="I4" s="97">
        <f>F4-$H$62+$H$73</f>
        <v>35.94926766988003</v>
      </c>
      <c r="J4" s="97">
        <f>G4-$H$62+$H$73</f>
        <v>34.390170379840967</v>
      </c>
      <c r="K4" s="102">
        <f>((H4-'Calibration R. intestinalis '!$D$45)/('Calibration R. intestinalis '!$D$44))+$C$24</f>
        <v>5.7877284695742937</v>
      </c>
      <c r="L4" s="102">
        <f>((I4-'Calibration R. intestinalis '!$D$45)/('Calibration R. intestinalis '!$D$44))+$C$24</f>
        <v>5.464468029464352</v>
      </c>
      <c r="M4" s="102">
        <f>((J4-'Calibration R. intestinalis '!$D$45)/('Calibration R. intestinalis '!$D$44))+$C$24</f>
        <v>5.8861077758037155</v>
      </c>
      <c r="N4" s="103">
        <f>AVERAGE(K4:M4)</f>
        <v>5.7127680916141204</v>
      </c>
      <c r="O4" s="103">
        <f>STDEV(K4:M4)</f>
        <v>0.2205885595882745</v>
      </c>
      <c r="P4" s="98">
        <f>(AVERAGE(POWER(10,K4),POWER(10,L4),POWER(10,M4)))*Calculation!$I4/Calculation!$K3</f>
        <v>558028.42789314117</v>
      </c>
      <c r="Q4" s="104">
        <f>(STDEV(POWER(10,K4),POWER(10,L4),POWER(10,M4)))*Calculation!$I4/Calculation!$K3</f>
        <v>243728.05316905124</v>
      </c>
      <c r="R4" s="103">
        <f>LOG(P4)</f>
        <v>5.7466563239602353</v>
      </c>
      <c r="S4" s="103">
        <f>O4*Calculation!$I4/Calculation!$K3</f>
        <v>0.22058855958827453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105">
        <v>32.360988616943359</v>
      </c>
      <c r="F5" s="97">
        <v>34.251163482666016</v>
      </c>
      <c r="G5" s="97">
        <v>32.662090301513672</v>
      </c>
      <c r="H5" s="97">
        <f>E5-$H$62+$H$73</f>
        <v>32.205867096149561</v>
      </c>
      <c r="I5" s="97">
        <f>F5-$H$62+$H$73</f>
        <v>34.096041961872217</v>
      </c>
      <c r="J5" s="97">
        <f>G5-$H$62+$H$73</f>
        <v>32.506968780719873</v>
      </c>
      <c r="K5" s="102">
        <f>((H5-'Calibration R. intestinalis '!$D$45)/('Calibration R. intestinalis '!$D$44))+$C$24</f>
        <v>6.4768272186171956</v>
      </c>
      <c r="L5" s="102">
        <f>((I5-'Calibration R. intestinalis '!$D$45)/('Calibration R. intestinalis '!$D$44))+$C$24</f>
        <v>5.9656513888520291</v>
      </c>
      <c r="M5" s="102">
        <f>((J5-'Calibration R. intestinalis '!$D$45)/('Calibration R. intestinalis '!$D$44))+$C$24</f>
        <v>6.3953977666415582</v>
      </c>
      <c r="N5" s="103">
        <f t="shared" ref="N5:N20" si="1">AVERAGE(K5:M5)</f>
        <v>6.2792921247035949</v>
      </c>
      <c r="O5" s="103">
        <f t="shared" ref="O5:O20" si="2">STDEV(K5:M5)</f>
        <v>0.27465537005745339</v>
      </c>
      <c r="P5" s="98">
        <f>(AVERAGE(POWER(10,K5),POWER(10,L5),POWER(10,M5)))*Calculation!$I5/Calculation!$K4</f>
        <v>2135778.0653084693</v>
      </c>
      <c r="Q5" s="104">
        <f>(STDEV(POWER(10,K5),POWER(10,L5),POWER(10,M5)))*Calculation!$I5/Calculation!$K4</f>
        <v>1080307.3101713101</v>
      </c>
      <c r="R5" s="103">
        <f t="shared" ref="R5:R20" si="3">LOG(P5)</f>
        <v>6.3295561219428862</v>
      </c>
      <c r="S5" s="103">
        <f>O5*Calculation!$I5/Calculation!$K4</f>
        <v>0.27465537005745339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33.952503204345703</v>
      </c>
      <c r="F6" s="97">
        <v>33.121231079101562</v>
      </c>
      <c r="G6" s="97">
        <v>33.911720275878906</v>
      </c>
      <c r="H6" s="97">
        <f>E6-$H$62+$H$73</f>
        <v>33.797381683551905</v>
      </c>
      <c r="I6" s="97">
        <f>F6-$H$62+$H$73</f>
        <v>32.966109558307764</v>
      </c>
      <c r="J6" s="97">
        <f>G6-$H$62+$H$73</f>
        <v>33.756598755085108</v>
      </c>
      <c r="K6" s="102">
        <f>((H6-'Calibration R. intestinalis '!$D$45)/('Calibration R. intestinalis '!$D$44))+$C$24</f>
        <v>6.0464205908749928</v>
      </c>
      <c r="L6" s="102">
        <f>((I6-'Calibration R. intestinalis '!$D$45)/('Calibration R. intestinalis '!$D$44))+$C$24</f>
        <v>6.2712284782763881</v>
      </c>
      <c r="M6" s="102">
        <f>((J6-'Calibration R. intestinalis '!$D$45)/('Calibration R. intestinalis '!$D$44))+$C$24</f>
        <v>6.0574498600062894</v>
      </c>
      <c r="N6" s="103">
        <f t="shared" si="1"/>
        <v>6.1250329763858895</v>
      </c>
      <c r="O6" s="103">
        <f t="shared" si="2"/>
        <v>0.12672906049582153</v>
      </c>
      <c r="P6" s="98">
        <f>(AVERAGE(POWER(10,K6),POWER(10,L6),POWER(10,M6)))*Calculation!$I6/Calculation!$K5</f>
        <v>1373867.4174223447</v>
      </c>
      <c r="Q6" s="104">
        <f>(STDEV(POWER(10,K6),POWER(10,L6),POWER(10,M6)))*Calculation!$I6/Calculation!$K5</f>
        <v>427618.25032049743</v>
      </c>
      <c r="R6" s="103">
        <f t="shared" si="3"/>
        <v>6.1379448239461638</v>
      </c>
      <c r="S6" s="103">
        <f>O6*Calculation!$I6/Calculation!$K5</f>
        <v>0.12672906049582153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33.651172637939453</v>
      </c>
      <c r="F7" s="97">
        <v>35.487407684326172</v>
      </c>
      <c r="G7" s="97">
        <v>34.321121215820312</v>
      </c>
      <c r="H7" s="97">
        <f>E7-$H$62+$H$73</f>
        <v>33.496051117145655</v>
      </c>
      <c r="I7" s="97">
        <f>F7-$H$62+$H$73</f>
        <v>35.332286163532373</v>
      </c>
      <c r="J7" s="97">
        <f>G7-$H$62+$H$73</f>
        <v>34.165999695026514</v>
      </c>
      <c r="K7" s="102">
        <f>((H7-'Calibration R. intestinalis '!$D$45)/('Calibration R. intestinalis '!$D$44))+$C$24</f>
        <v>6.127911941283692</v>
      </c>
      <c r="L7" s="102">
        <f>((I7-'Calibration R. intestinalis '!$D$45)/('Calibration R. intestinalis '!$D$44))+$C$24</f>
        <v>5.631323508910401</v>
      </c>
      <c r="M7" s="102">
        <f>((J7-'Calibration R. intestinalis '!$D$45)/('Calibration R. intestinalis '!$D$44))+$C$24</f>
        <v>5.9467321327862859</v>
      </c>
      <c r="N7" s="103">
        <f t="shared" si="1"/>
        <v>5.9019891943267924</v>
      </c>
      <c r="O7" s="103">
        <f t="shared" si="2"/>
        <v>0.25129955371674084</v>
      </c>
      <c r="P7" s="98">
        <f>(AVERAGE(POWER(10,K7),POWER(10,L7),POWER(10,M7)))*Calculation!$I7/Calculation!$K6</f>
        <v>884981.35857289517</v>
      </c>
      <c r="Q7" s="104">
        <f>(STDEV(POWER(10,K7),POWER(10,L7),POWER(10,M7)))*Calculation!$I7/Calculation!$K6</f>
        <v>457305.75226237514</v>
      </c>
      <c r="R7" s="103">
        <f t="shared" si="3"/>
        <v>5.9469341227269865</v>
      </c>
      <c r="S7" s="103">
        <f>O7*Calculation!$I7/Calculation!$K6</f>
        <v>0.25129955371674084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35.453575134277344</v>
      </c>
      <c r="F8" s="97">
        <v>36.006561279296875</v>
      </c>
      <c r="G8" s="97">
        <v>34.578235626220703</v>
      </c>
      <c r="H8" s="97">
        <f>E8-$H$62+$H$73</f>
        <v>35.298453613483545</v>
      </c>
      <c r="I8" s="97">
        <f>F8-$H$62+$H$73</f>
        <v>35.851439758503076</v>
      </c>
      <c r="J8" s="97">
        <f>G8-$H$62+$H$73</f>
        <v>34.423114105426905</v>
      </c>
      <c r="K8" s="102">
        <f>((H8-'Calibration R. intestinalis '!$D$45)/('Calibration R. intestinalis '!$D$44))+$C$24</f>
        <v>5.6404731289576819</v>
      </c>
      <c r="L8" s="102">
        <f>((I8-'Calibration R. intestinalis '!$D$45)/('Calibration R. intestinalis '!$D$44))+$C$24</f>
        <v>5.4909244513960811</v>
      </c>
      <c r="M8" s="102">
        <f>((J8-'Calibration R. intestinalis '!$D$45)/('Calibration R. intestinalis '!$D$44))+$C$24</f>
        <v>5.87719852800483</v>
      </c>
      <c r="N8" s="103">
        <f t="shared" si="1"/>
        <v>5.6695320361195307</v>
      </c>
      <c r="O8" s="103">
        <f t="shared" si="2"/>
        <v>0.19476968611430817</v>
      </c>
      <c r="P8" s="98">
        <f>(AVERAGE(POWER(10,K8),POWER(10,L8),POWER(10,M8)))*Calculation!$I8/Calculation!$K7</f>
        <v>500503.57050993742</v>
      </c>
      <c r="Q8" s="104">
        <f>(STDEV(POWER(10,K8),POWER(10,L8),POWER(10,M8)))*Calculation!$I8/Calculation!$K7</f>
        <v>228812.18030987706</v>
      </c>
      <c r="R8" s="103">
        <f t="shared" si="3"/>
        <v>5.6994071800116055</v>
      </c>
      <c r="S8" s="103">
        <f>O8*Calculation!$I8/Calculation!$K7</f>
        <v>0.19491650481332393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36.648628234863281</v>
      </c>
      <c r="F9" s="97">
        <v>36.611476898193359</v>
      </c>
      <c r="G9" s="97">
        <v>37.549579620361328</v>
      </c>
      <c r="H9" s="97">
        <f>E9-$H$62+$H$73</f>
        <v>36.493506714069483</v>
      </c>
      <c r="I9" s="97">
        <f>F9-$H$62+$H$73</f>
        <v>36.456355377399561</v>
      </c>
      <c r="J9" s="97">
        <f>G9-$H$62+$H$73</f>
        <v>37.39445809956753</v>
      </c>
      <c r="K9" s="102">
        <f>((H9-'Calibration R. intestinalis '!$D$45)/('Calibration R. intestinalis '!$D$44))+$C$24</f>
        <v>5.3172849036863132</v>
      </c>
      <c r="L9" s="102">
        <f>((I9-'Calibration R. intestinalis '!$D$45)/('Calibration R. intestinalis '!$D$44))+$C$24</f>
        <v>5.3273320510130091</v>
      </c>
      <c r="M9" s="102">
        <f>((J9-'Calibration R. intestinalis '!$D$45)/('Calibration R. intestinalis '!$D$44))+$C$24</f>
        <v>5.0736330699794019</v>
      </c>
      <c r="N9" s="103">
        <f t="shared" si="1"/>
        <v>5.2394166748929081</v>
      </c>
      <c r="O9" s="103">
        <f t="shared" si="2"/>
        <v>0.14366067324058876</v>
      </c>
      <c r="P9" s="98">
        <f>(AVERAGE(POWER(10,K9),POWER(10,L9),POWER(10,M9)))*Calculation!$I9/Calculation!$K8</f>
        <v>179665.69560410673</v>
      </c>
      <c r="Q9" s="104">
        <f>(STDEV(POWER(10,K9),POWER(10,L9),POWER(10,M9)))*Calculation!$I9/Calculation!$K8</f>
        <v>52969.689211729419</v>
      </c>
      <c r="R9" s="103">
        <f t="shared" si="3"/>
        <v>5.2544651631855306</v>
      </c>
      <c r="S9" s="103">
        <f>O9*Calculation!$I9/Calculation!$K8</f>
        <v>0.14376896562204555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34.845500946044922</v>
      </c>
      <c r="F10" s="97">
        <v>34.988689422607422</v>
      </c>
      <c r="G10" s="97">
        <v>34.532611846923828</v>
      </c>
      <c r="H10" s="97">
        <f>E10-$H$62+$H$73</f>
        <v>34.690379425251123</v>
      </c>
      <c r="I10" s="97">
        <f>F10-$H$62+$H$73</f>
        <v>34.833567901813623</v>
      </c>
      <c r="J10" s="97">
        <f>G10-$H$62+$H$73</f>
        <v>34.37749032613003</v>
      </c>
      <c r="K10" s="102">
        <f>((H10-'Calibration R. intestinalis '!$D$45)/('Calibration R. intestinalis '!$D$44))+$B$24</f>
        <v>5.5261661267641955</v>
      </c>
      <c r="L10" s="102">
        <f>((I10-'Calibration R. intestinalis '!$D$45)/('Calibration R. intestinalis '!$D$44))+$B$24</f>
        <v>5.4874424670399069</v>
      </c>
      <c r="M10" s="102">
        <f>((J10-'Calibration R. intestinalis '!$D$45)/('Calibration R. intestinalis '!$D$44))+$B$24</f>
        <v>5.6107833480425828</v>
      </c>
      <c r="N10" s="103">
        <f t="shared" si="1"/>
        <v>5.5414639806155614</v>
      </c>
      <c r="O10" s="103">
        <f t="shared" si="2"/>
        <v>6.3077424495396023E-2</v>
      </c>
      <c r="P10" s="98">
        <f>(AVERAGE(POWER(10,K10),POWER(10,L10),POWER(10,M10)))*Calculation!$I10/Calculation!$K9</f>
        <v>351518.63520690094</v>
      </c>
      <c r="Q10" s="104">
        <f>(STDEV(POWER(10,K10),POWER(10,L10),POWER(10,M10)))*Calculation!$I10/Calculation!$K9</f>
        <v>52162.707773144561</v>
      </c>
      <c r="R10" s="103">
        <f t="shared" si="3"/>
        <v>5.5459483534042047</v>
      </c>
      <c r="S10" s="103">
        <f>O10*Calculation!$I10/Calculation!$K9</f>
        <v>6.3278986115785113E-2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35.113044738769531</v>
      </c>
      <c r="F11" s="97">
        <v>35.049530029296875</v>
      </c>
      <c r="G11" s="97">
        <v>34.183406829833984</v>
      </c>
      <c r="H11" s="97">
        <f>E11-$H$62+$H$73</f>
        <v>34.957923217975733</v>
      </c>
      <c r="I11" s="97">
        <f>F11-$H$62+$H$73</f>
        <v>34.894408508503076</v>
      </c>
      <c r="J11" s="97">
        <f>G11-$H$62+$H$73</f>
        <v>34.028285309040186</v>
      </c>
      <c r="K11" s="102">
        <f>((H11-'Calibration R. intestinalis '!$D$45)/('Calibration R. intestinalis '!$D$44))+$B$24</f>
        <v>5.4538120167161628</v>
      </c>
      <c r="L11" s="102">
        <f>((I11-'Calibration R. intestinalis '!$D$45)/('Calibration R. intestinalis '!$D$44))+$B$24</f>
        <v>5.4709888318911784</v>
      </c>
      <c r="M11" s="102">
        <f>((J11-'Calibration R. intestinalis '!$D$45)/('Calibration R. intestinalis '!$D$44))+$B$24</f>
        <v>5.7052217873669857</v>
      </c>
      <c r="N11" s="103">
        <f t="shared" si="1"/>
        <v>5.5433408786581095</v>
      </c>
      <c r="O11" s="103">
        <f t="shared" si="2"/>
        <v>0.14045580158255455</v>
      </c>
      <c r="P11" s="98">
        <f>(AVERAGE(POWER(10,K11),POWER(10,L11),POWER(10,M11)))*Calculation!$I11/Calculation!$K10</f>
        <v>364846.66729158571</v>
      </c>
      <c r="Q11" s="104">
        <f>(STDEV(POWER(10,K11),POWER(10,L11),POWER(10,M11)))*Calculation!$I11/Calculation!$K10</f>
        <v>126354.71509713666</v>
      </c>
      <c r="R11" s="103">
        <f t="shared" si="3"/>
        <v>5.562110383524181</v>
      </c>
      <c r="S11" s="103">
        <f>O11*Calculation!$I11/Calculation!$K10</f>
        <v>0.14138242775578233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33.968288421630859</v>
      </c>
      <c r="F12" s="97">
        <v>33.663658142089844</v>
      </c>
      <c r="G12" s="97">
        <v>33.611408233642578</v>
      </c>
      <c r="H12" s="97">
        <f>E12-$H$62+$H$73</f>
        <v>33.813166900837061</v>
      </c>
      <c r="I12" s="97">
        <f>F12-$H$62+$H$73</f>
        <v>33.508536621296045</v>
      </c>
      <c r="J12" s="97">
        <f>G12-$H$62+$H$73</f>
        <v>33.45628671284878</v>
      </c>
      <c r="K12" s="102">
        <f>((H12-'Calibration R. intestinalis '!$D$45)/('Calibration R. intestinalis '!$D$44))+$B$24</f>
        <v>5.7633980613219098</v>
      </c>
      <c r="L12" s="102">
        <f>((I12-'Calibration R. intestinalis '!$D$45)/('Calibration R. intestinalis '!$D$44))+$B$24</f>
        <v>5.8457817808072701</v>
      </c>
      <c r="M12" s="102">
        <f>((J12-'Calibration R. intestinalis '!$D$45)/('Calibration R. intestinalis '!$D$44))+$B$24</f>
        <v>5.8599121614350294</v>
      </c>
      <c r="N12" s="103">
        <f t="shared" si="1"/>
        <v>5.823030667854737</v>
      </c>
      <c r="O12" s="103">
        <f t="shared" si="2"/>
        <v>5.2124396740830727E-2</v>
      </c>
      <c r="P12" s="98">
        <f>(AVERAGE(POWER(10,K12),POWER(10,L12),POWER(10,M12)))*Calculation!$I12/Calculation!$K11</f>
        <v>677004.71986486157</v>
      </c>
      <c r="Q12" s="104">
        <f>(STDEV(POWER(10,K12),POWER(10,L12),POWER(10,M12)))*Calculation!$I12/Calculation!$K11</f>
        <v>78499.03583199151</v>
      </c>
      <c r="R12" s="103">
        <f t="shared" si="3"/>
        <v>5.8305916964608011</v>
      </c>
      <c r="S12" s="103">
        <f>O12*Calculation!$I12/Calculation!$K11</f>
        <v>5.2791413319516901E-2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33.113296508789062</v>
      </c>
      <c r="F13" s="97">
        <v>33.93768310546875</v>
      </c>
      <c r="G13" s="97">
        <v>34.021976470947266</v>
      </c>
      <c r="H13" s="97">
        <f>E13-$H$62+$H$73</f>
        <v>32.958174987995264</v>
      </c>
      <c r="I13" s="97">
        <f>F13-$H$62+$H$73</f>
        <v>33.782561584674951</v>
      </c>
      <c r="J13" s="97">
        <f>G13-$H$62+$H$73</f>
        <v>33.866854950153467</v>
      </c>
      <c r="K13" s="102">
        <f>((H13-'Calibration R. intestinalis '!$D$45)/('Calibration R. intestinalis '!$D$44))+$B$24</f>
        <v>5.9946206896697465</v>
      </c>
      <c r="L13" s="102">
        <f>((I13-'Calibration R. intestinalis '!$D$45)/('Calibration R. intestinalis '!$D$44))+$B$24</f>
        <v>5.7716749134630003</v>
      </c>
      <c r="M13" s="102">
        <f>((J13-'Calibration R. intestinalis '!$D$45)/('Calibration R. intestinalis '!$D$44))+$B$24</f>
        <v>5.7488787522064033</v>
      </c>
      <c r="N13" s="103">
        <f t="shared" si="1"/>
        <v>5.8383914517797164</v>
      </c>
      <c r="O13" s="103">
        <f t="shared" si="2"/>
        <v>0.13577774972646967</v>
      </c>
      <c r="P13" s="98">
        <f>(AVERAGE(POWER(10,K13),POWER(10,L13),POWER(10,M13)))*Calculation!$I13/Calculation!$K12</f>
        <v>727649.57302413846</v>
      </c>
      <c r="Q13" s="104">
        <f>(STDEV(POWER(10,K13),POWER(10,L13),POWER(10,M13)))*Calculation!$I13/Calculation!$K12</f>
        <v>242980.31786040566</v>
      </c>
      <c r="R13" s="103">
        <f t="shared" si="3"/>
        <v>5.8619222788431342</v>
      </c>
      <c r="S13" s="103">
        <f>O13*Calculation!$I13/Calculation!$K12</f>
        <v>0.13852213172230754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32.977073669433594</v>
      </c>
      <c r="F14" s="97">
        <v>33.420982360839844</v>
      </c>
      <c r="G14" s="97">
        <v>32.945919036865234</v>
      </c>
      <c r="H14" s="97">
        <f>E14-$H$62+$H$73</f>
        <v>32.821952148639795</v>
      </c>
      <c r="I14" s="97">
        <f>F14-$H$62+$H$73</f>
        <v>33.265860840046045</v>
      </c>
      <c r="J14" s="97">
        <f>G14-$H$62+$H$73</f>
        <v>32.790797516071436</v>
      </c>
      <c r="K14" s="102">
        <f>((H14-'Calibration R. intestinalis '!$D$45)/('Calibration R. intestinalis '!$D$44))+$B$24</f>
        <v>6.0314605737478137</v>
      </c>
      <c r="L14" s="102">
        <f>((I14-'Calibration R. intestinalis '!$D$45)/('Calibration R. intestinalis '!$D$44))+$B$24</f>
        <v>5.9114106261029944</v>
      </c>
      <c r="M14" s="102">
        <f>((J14-'Calibration R. intestinalis '!$D$45)/('Calibration R. intestinalis '!$D$44))+$B$24</f>
        <v>6.039885982128256</v>
      </c>
      <c r="N14" s="103">
        <f t="shared" si="1"/>
        <v>5.9942523939930217</v>
      </c>
      <c r="O14" s="103">
        <f t="shared" si="2"/>
        <v>7.1866652607124659E-2</v>
      </c>
      <c r="P14" s="98">
        <f>(AVERAGE(POWER(10,K14),POWER(10,L14),POWER(10,M14)))*Calculation!$I14/Calculation!$K13</f>
        <v>1026366.3891958569</v>
      </c>
      <c r="Q14" s="104">
        <f>(STDEV(POWER(10,K14),POWER(10,L14),POWER(10,M14)))*Calculation!$I14/Calculation!$K13</f>
        <v>161178.05135044552</v>
      </c>
      <c r="R14" s="103">
        <f t="shared" si="3"/>
        <v>6.0113024215958513</v>
      </c>
      <c r="S14" s="103">
        <f>O14*Calculation!$I14/Calculation!$K13</f>
        <v>7.4087642768564541E-2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31.955133438110352</v>
      </c>
      <c r="F15" s="97">
        <v>31.965841293334961</v>
      </c>
      <c r="G15" s="97">
        <v>31.862485885620117</v>
      </c>
      <c r="H15" s="97">
        <f>E15-$H$62+$H$73</f>
        <v>31.800011917316553</v>
      </c>
      <c r="I15" s="97">
        <f>F15-$H$62+$H$73</f>
        <v>31.810719772541162</v>
      </c>
      <c r="J15" s="97">
        <f>G15-$H$62+$H$73</f>
        <v>31.707364364826319</v>
      </c>
      <c r="K15" s="102">
        <f>((H15-'Calibration R. intestinalis '!$D$45)/('Calibration R. intestinalis '!$D$44))+$B$24</f>
        <v>6.3078324349921662</v>
      </c>
      <c r="L15" s="102">
        <f>((I15-'Calibration R. intestinalis '!$D$45)/('Calibration R. intestinalis '!$D$44))+$B$24</f>
        <v>6.304936619965364</v>
      </c>
      <c r="M15" s="102">
        <f>((J15-'Calibration R. intestinalis '!$D$45)/('Calibration R. intestinalis '!$D$44))+$B$24</f>
        <v>6.3328878890555664</v>
      </c>
      <c r="N15" s="103">
        <f t="shared" si="1"/>
        <v>6.315218981337698</v>
      </c>
      <c r="O15" s="103">
        <f t="shared" si="2"/>
        <v>1.537007355624081E-2</v>
      </c>
      <c r="P15" s="98">
        <f>(AVERAGE(POWER(10,K15),POWER(10,L15),POWER(10,M15)))*Calculation!$I15/Calculation!$K14</f>
        <v>2152183.6214514477</v>
      </c>
      <c r="Q15" s="104">
        <f>(STDEV(POWER(10,K15),POWER(10,L15),POWER(10,M15)))*Calculation!$I15/Calculation!$K14</f>
        <v>76898.944922730618</v>
      </c>
      <c r="R15" s="103">
        <f t="shared" si="3"/>
        <v>6.3328793220041675</v>
      </c>
      <c r="S15" s="103">
        <f>O15*Calculation!$I15/Calculation!$K14</f>
        <v>1.6001245916975774E-2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30.974241256713867</v>
      </c>
      <c r="F16" s="97">
        <v>31.219755172729492</v>
      </c>
      <c r="G16" s="97">
        <v>30.972080230712891</v>
      </c>
      <c r="H16" s="97">
        <f>E16-$H$62+$H$73</f>
        <v>30.819119735920069</v>
      </c>
      <c r="I16" s="97">
        <f>F16-$H$62+$H$73</f>
        <v>31.064633651935694</v>
      </c>
      <c r="J16" s="97">
        <f>G16-$H$62+$H$73</f>
        <v>30.816958709919092</v>
      </c>
      <c r="K16" s="102">
        <f>((H16-'Calibration R. intestinalis '!$D$45)/('Calibration R. intestinalis '!$D$44))+$B$24</f>
        <v>6.5731033280869244</v>
      </c>
      <c r="L16" s="102">
        <f>((I16-'Calibration R. intestinalis '!$D$45)/('Calibration R. intestinalis '!$D$44))+$B$24</f>
        <v>6.5067069422212169</v>
      </c>
      <c r="M16" s="102">
        <f>((J16-'Calibration R. intestinalis '!$D$45)/('Calibration R. intestinalis '!$D$44))+$B$24</f>
        <v>6.5736877524590946</v>
      </c>
      <c r="N16" s="103">
        <f t="shared" si="1"/>
        <v>6.5511660075890781</v>
      </c>
      <c r="O16" s="103">
        <f t="shared" si="2"/>
        <v>3.8503788878492845E-2</v>
      </c>
      <c r="P16" s="98">
        <f>(AVERAGE(POWER(10,K16),POWER(10,L16),POWER(10,M16)))*Calculation!$I16/Calculation!$K15</f>
        <v>3747569.340557348</v>
      </c>
      <c r="Q16" s="104">
        <f>(STDEV(POWER(10,K16),POWER(10,L16),POWER(10,M16)))*Calculation!$I16/Calculation!$K15</f>
        <v>323344.61318707338</v>
      </c>
      <c r="R16" s="103">
        <f t="shared" si="3"/>
        <v>6.5737496772622324</v>
      </c>
      <c r="S16" s="103">
        <f>O16*Calculation!$I16/Calculation!$K15</f>
        <v>4.045473503600755E-2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29.979068756103516</v>
      </c>
      <c r="F17" s="97">
        <v>29.853763580322266</v>
      </c>
      <c r="G17" s="97">
        <v>29.906818389892578</v>
      </c>
      <c r="H17" s="97">
        <f>E17-$H$62+$H$73</f>
        <v>29.823947235309717</v>
      </c>
      <c r="I17" s="97">
        <f>F17-$H$62+$H$73</f>
        <v>29.698642059528467</v>
      </c>
      <c r="J17" s="97">
        <f>G17-$H$62+$H$73</f>
        <v>29.75169686909878</v>
      </c>
      <c r="K17" s="102">
        <f>((H17-'Calibration R. intestinalis '!$D$45)/('Calibration R. intestinalis '!$D$44))+$B$24</f>
        <v>6.8422361675845442</v>
      </c>
      <c r="L17" s="102">
        <f>((I17-'Calibration R. intestinalis '!$D$45)/('Calibration R. intestinalis '!$D$44))+$B$24</f>
        <v>6.8761234964055005</v>
      </c>
      <c r="M17" s="102">
        <f>((J17-'Calibration R. intestinalis '!$D$45)/('Calibration R. intestinalis '!$D$44))+$B$24</f>
        <v>6.8617754396214696</v>
      </c>
      <c r="N17" s="103">
        <f t="shared" si="1"/>
        <v>6.8600450345371717</v>
      </c>
      <c r="O17" s="103">
        <f t="shared" si="2"/>
        <v>1.7009805700587136E-2</v>
      </c>
      <c r="P17" s="98">
        <f>(AVERAGE(POWER(10,K17),POWER(10,L17),POWER(10,M17)))*Calculation!$I17/Calculation!$K16</f>
        <v>7664784.0811184961</v>
      </c>
      <c r="Q17" s="104">
        <f>(STDEV(POWER(10,K17),POWER(10,L17),POWER(10,M17)))*Calculation!$I17/Calculation!$K16</f>
        <v>299256.90193270741</v>
      </c>
      <c r="R17" s="103">
        <f t="shared" si="3"/>
        <v>6.8844999251787096</v>
      </c>
      <c r="S17" s="103">
        <f>O17*Calculation!$I17/Calculation!$K16</f>
        <v>1.7985919190057903E-2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26.240667343139648</v>
      </c>
      <c r="F18" s="97">
        <v>26.404178619384766</v>
      </c>
      <c r="G18" s="97">
        <v>26.424688339233398</v>
      </c>
      <c r="H18" s="97">
        <f>E18-$H$62+$H$73</f>
        <v>26.08554582234585</v>
      </c>
      <c r="I18" s="97">
        <f>F18-$H$62+$H$73</f>
        <v>26.249057098590967</v>
      </c>
      <c r="J18" s="97">
        <f>G18-$H$62+$H$73</f>
        <v>26.2695668184396</v>
      </c>
      <c r="K18" s="102">
        <f>((H18-'Calibration R. intestinalis '!$D$45)/('Calibration R. intestinalis '!$D$44))+$B$24</f>
        <v>7.8532433917952336</v>
      </c>
      <c r="L18" s="102">
        <f>((I18-'Calibration R. intestinalis '!$D$45)/('Calibration R. intestinalis '!$D$44))+$B$24</f>
        <v>7.8090236670352162</v>
      </c>
      <c r="M18" s="102">
        <f>((J18-'Calibration R. intestinalis '!$D$45)/('Calibration R. intestinalis '!$D$44))+$B$24</f>
        <v>7.8034770516124858</v>
      </c>
      <c r="N18" s="103">
        <f t="shared" si="1"/>
        <v>7.8219147034809779</v>
      </c>
      <c r="O18" s="103">
        <f t="shared" si="2"/>
        <v>2.727281190637889E-2</v>
      </c>
      <c r="P18" s="98">
        <f>(AVERAGE(POWER(10,K18),POWER(10,L18),POWER(10,M18)))*Calculation!$I18/Calculation!$K17</f>
        <v>70577285.46085991</v>
      </c>
      <c r="Q18" s="104">
        <f>(STDEV(POWER(10,K18),POWER(10,L18),POWER(10,M18)))*Calculation!$I18/Calculation!$K17</f>
        <v>4505761.3496338148</v>
      </c>
      <c r="R18" s="103">
        <f t="shared" si="3"/>
        <v>7.8486649505379669</v>
      </c>
      <c r="S18" s="103">
        <f>O18*Calculation!$I18/Calculation!$K17</f>
        <v>2.8966957764564458E-2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24.910591125488281</v>
      </c>
      <c r="F19" s="97">
        <v>25.010663986206055</v>
      </c>
      <c r="G19" s="97">
        <v>25.060024261474609</v>
      </c>
      <c r="H19" s="97">
        <f>E19-$H$62+$H$73</f>
        <v>24.755469604694483</v>
      </c>
      <c r="I19" s="97">
        <f>F19-$H$62+$H$73</f>
        <v>24.855542465412256</v>
      </c>
      <c r="J19" s="97">
        <f>G19-$H$62+$H$73</f>
        <v>24.904902740680811</v>
      </c>
      <c r="K19" s="102">
        <f>((H19-'Calibration R. intestinalis '!$D$45)/('Calibration R. intestinalis '!$D$44))+$B$24</f>
        <v>8.2129470501913637</v>
      </c>
      <c r="L19" s="102">
        <f>((I19-'Calibration R. intestinalis '!$D$45)/('Calibration R. intestinalis '!$D$44))+$B$24</f>
        <v>8.1858835077953405</v>
      </c>
      <c r="M19" s="102">
        <f>((J19-'Calibration R. intestinalis '!$D$45)/('Calibration R. intestinalis '!$D$44))+$B$24</f>
        <v>8.1725345948850023</v>
      </c>
      <c r="N19" s="103">
        <f t="shared" si="1"/>
        <v>8.1904550509572349</v>
      </c>
      <c r="O19" s="103">
        <f t="shared" si="2"/>
        <v>2.0590432028808097E-2</v>
      </c>
      <c r="P19" s="98">
        <f>(AVERAGE(POWER(10,K19),POWER(10,L19),POWER(10,M19)))*Calculation!$I19/Calculation!$K18</f>
        <v>164997330.54725003</v>
      </c>
      <c r="Q19" s="104">
        <f>(STDEV(POWER(10,K19),POWER(10,L19),POWER(10,M19)))*Calculation!$I19/Calculation!$K18</f>
        <v>7878963.069385183</v>
      </c>
      <c r="R19" s="103">
        <f t="shared" si="3"/>
        <v>8.2174769179231362</v>
      </c>
      <c r="S19" s="103">
        <f>O19*Calculation!$I19/Calculation!$K18</f>
        <v>2.1895776622341153E-2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26.027297973632812</v>
      </c>
      <c r="F20" s="97">
        <v>26.35302734375</v>
      </c>
      <c r="G20" s="97">
        <v>25.929584503173828</v>
      </c>
      <c r="H20" s="97">
        <f>E20-$H$62+$H$73</f>
        <v>25.872176452839014</v>
      </c>
      <c r="I20" s="97">
        <f>F20-$H$62+$H$73</f>
        <v>26.197905822956201</v>
      </c>
      <c r="J20" s="97">
        <f>G20-$H$62+$H$73</f>
        <v>25.77446298238003</v>
      </c>
      <c r="K20" s="102">
        <f>((H20-'Calibration R. intestinalis '!$D$45)/('Calibration R. intestinalis '!$D$44))+$B$24</f>
        <v>7.910946658557501</v>
      </c>
      <c r="L20" s="102">
        <f>((I20-'Calibration R. intestinalis '!$D$45)/('Calibration R. intestinalis '!$D$44))+$B$24</f>
        <v>7.8228569351842729</v>
      </c>
      <c r="M20" s="102">
        <f>((J20-'Calibration R. intestinalis '!$D$45)/('Calibration R. intestinalis '!$D$44))+$B$24</f>
        <v>7.9373721312726992</v>
      </c>
      <c r="N20" s="103">
        <f t="shared" si="1"/>
        <v>7.8903919083381568</v>
      </c>
      <c r="O20" s="103">
        <f t="shared" si="2"/>
        <v>5.9960869333485954E-2</v>
      </c>
      <c r="P20" s="98">
        <f>(AVERAGE(POWER(10,K20),POWER(10,L20),POWER(10,M20)))*Calculation!$I20/Calculation!$K19</f>
        <v>83135128.523054764</v>
      </c>
      <c r="Q20" s="104">
        <f>(STDEV(POWER(10,K20),POWER(10,L20),POWER(10,M20)))*Calculation!$I20/Calculation!$K19</f>
        <v>11088551.356650012</v>
      </c>
      <c r="R20" s="103">
        <f t="shared" si="3"/>
        <v>7.9197845725211646</v>
      </c>
      <c r="S20" s="103">
        <f>O20*Calculation!$I20/Calculation!$K19</f>
        <v>6.3762129865489403E-2</v>
      </c>
    </row>
    <row r="21" spans="1:19">
      <c r="A21" s="10"/>
      <c r="B21" s="10"/>
      <c r="C21" s="10"/>
      <c r="D21" s="106"/>
    </row>
    <row r="24" spans="1:19">
      <c r="A24" s="100" t="s">
        <v>236</v>
      </c>
      <c r="B24" s="107">
        <f>LOG(B25)</f>
        <v>3.6532125137753435</v>
      </c>
      <c r="C24" s="83">
        <f>LOG(C25)</f>
        <v>3.9319661147281728</v>
      </c>
    </row>
    <row r="25" spans="1:19">
      <c r="A25" s="83" t="s">
        <v>237</v>
      </c>
      <c r="B25" s="83">
        <f>20*1800/4/2</f>
        <v>4500</v>
      </c>
      <c r="C25" s="83">
        <f>2*19*1800/4/2</f>
        <v>8550</v>
      </c>
    </row>
    <row r="26" spans="1:19">
      <c r="E26" s="147" t="s">
        <v>220</v>
      </c>
      <c r="F26" s="147"/>
      <c r="G26" s="147"/>
      <c r="H26" s="147"/>
    </row>
    <row r="27" spans="1:19">
      <c r="A27" s="96" t="s">
        <v>238</v>
      </c>
      <c r="B27" s="96" t="s">
        <v>239</v>
      </c>
      <c r="E27" s="97">
        <v>15.713388442993164</v>
      </c>
      <c r="F27" s="97">
        <v>15.726656913757324</v>
      </c>
      <c r="G27" s="97">
        <v>15.612536430358887</v>
      </c>
      <c r="H27" s="108">
        <f>AVERAGE(E27:G27)</f>
        <v>15.684193929036459</v>
      </c>
    </row>
    <row r="28" spans="1:19">
      <c r="A28" s="96" t="s">
        <v>238</v>
      </c>
      <c r="B28" s="96" t="s">
        <v>240</v>
      </c>
      <c r="E28" s="109">
        <v>15.18875789642334</v>
      </c>
      <c r="F28" s="108">
        <v>15.280285835266113</v>
      </c>
      <c r="G28" s="108">
        <v>15.261421203613281</v>
      </c>
      <c r="H28" s="108">
        <f t="shared" ref="H28:H68" si="5">AVERAGE(E28:G28)</f>
        <v>15.243488311767578</v>
      </c>
    </row>
    <row r="29" spans="1:19">
      <c r="A29" s="96" t="s">
        <v>238</v>
      </c>
      <c r="B29" s="96" t="s">
        <v>241</v>
      </c>
      <c r="E29" s="109">
        <v>15.903929710388184</v>
      </c>
      <c r="F29" s="108">
        <v>15.71695613861084</v>
      </c>
      <c r="G29" s="108">
        <v>15.745060920715332</v>
      </c>
      <c r="H29" s="108">
        <f t="shared" si="5"/>
        <v>15.788648923238119</v>
      </c>
    </row>
    <row r="30" spans="1:19">
      <c r="A30" s="96" t="s">
        <v>238</v>
      </c>
      <c r="B30" s="96" t="s">
        <v>242</v>
      </c>
      <c r="E30" s="109">
        <v>15.95374870300293</v>
      </c>
      <c r="F30" s="108">
        <v>15.781205177307129</v>
      </c>
      <c r="G30" s="108">
        <v>15.694306373596191</v>
      </c>
      <c r="H30" s="108">
        <f t="shared" si="5"/>
        <v>15.80975341796875</v>
      </c>
    </row>
    <row r="31" spans="1:19">
      <c r="A31" s="96" t="s">
        <v>243</v>
      </c>
      <c r="B31" s="96" t="s">
        <v>244</v>
      </c>
      <c r="E31" s="109">
        <v>15.793012619018555</v>
      </c>
      <c r="F31" s="108">
        <v>15.662893295288086</v>
      </c>
      <c r="G31" s="108">
        <v>15.729142189025879</v>
      </c>
      <c r="H31" s="108">
        <f t="shared" si="5"/>
        <v>15.728349367777506</v>
      </c>
    </row>
    <row r="32" spans="1:19">
      <c r="A32" s="96" t="s">
        <v>243</v>
      </c>
      <c r="B32" s="96" t="s">
        <v>245</v>
      </c>
      <c r="E32" s="109">
        <v>15.790358543395996</v>
      </c>
      <c r="F32" s="108">
        <v>15.747311592102051</v>
      </c>
      <c r="G32" s="108">
        <v>15.724276542663574</v>
      </c>
      <c r="H32" s="108">
        <f t="shared" si="5"/>
        <v>15.753982226053873</v>
      </c>
    </row>
    <row r="33" spans="1:8">
      <c r="A33" s="96" t="s">
        <v>243</v>
      </c>
      <c r="B33" s="96" t="s">
        <v>245</v>
      </c>
      <c r="E33" s="109">
        <v>15.449001312255859</v>
      </c>
      <c r="F33" s="108">
        <v>15.556774139404297</v>
      </c>
      <c r="G33" s="108">
        <v>15.49962043762207</v>
      </c>
      <c r="H33" s="108">
        <f t="shared" si="5"/>
        <v>15.501798629760742</v>
      </c>
    </row>
    <row r="34" spans="1:8">
      <c r="A34" s="96" t="s">
        <v>243</v>
      </c>
      <c r="B34" s="96" t="s">
        <v>246</v>
      </c>
      <c r="E34" s="109">
        <v>15.347023010253906</v>
      </c>
      <c r="F34" s="108">
        <v>15.780600547790527</v>
      </c>
      <c r="G34" s="108">
        <v>15.718053817749023</v>
      </c>
      <c r="H34" s="108">
        <f t="shared" si="5"/>
        <v>15.615225791931152</v>
      </c>
    </row>
    <row r="35" spans="1:8">
      <c r="A35" s="96" t="s">
        <v>247</v>
      </c>
      <c r="B35" s="96" t="s">
        <v>246</v>
      </c>
      <c r="E35" s="109">
        <v>15.825298309326172</v>
      </c>
      <c r="F35" s="108">
        <v>15.804603576660156</v>
      </c>
      <c r="G35" s="108">
        <v>15.760408401489258</v>
      </c>
      <c r="H35" s="108">
        <f t="shared" si="5"/>
        <v>15.796770095825195</v>
      </c>
    </row>
    <row r="36" spans="1:8">
      <c r="A36" s="96" t="s">
        <v>247</v>
      </c>
      <c r="B36" s="96" t="s">
        <v>248</v>
      </c>
      <c r="E36" s="109">
        <v>15.800871849060059</v>
      </c>
      <c r="F36" s="108">
        <v>15.699575424194336</v>
      </c>
      <c r="G36" s="108">
        <v>15.968178749084473</v>
      </c>
      <c r="H36" s="108">
        <f>AVERAGE(E36:G36)</f>
        <v>15.822875340779623</v>
      </c>
    </row>
    <row r="37" spans="1:8">
      <c r="A37" s="96" t="s">
        <v>247</v>
      </c>
      <c r="B37" s="96" t="s">
        <v>248</v>
      </c>
      <c r="E37" s="109">
        <v>15.717584609985352</v>
      </c>
      <c r="F37" s="108">
        <v>15.693602561950684</v>
      </c>
      <c r="G37" s="108">
        <v>15.63984489440918</v>
      </c>
      <c r="H37" s="108">
        <f t="shared" si="5"/>
        <v>15.683677355448404</v>
      </c>
    </row>
    <row r="38" spans="1:8">
      <c r="A38" s="96" t="s">
        <v>247</v>
      </c>
      <c r="B38" s="96" t="s">
        <v>248</v>
      </c>
      <c r="E38" s="109">
        <v>15.61665153503418</v>
      </c>
      <c r="F38" s="108">
        <v>15.740999221801758</v>
      </c>
      <c r="G38" s="108">
        <v>15.586724281311035</v>
      </c>
      <c r="H38" s="108">
        <f t="shared" si="5"/>
        <v>15.648125012715658</v>
      </c>
    </row>
    <row r="39" spans="1:8">
      <c r="A39" s="96" t="s">
        <v>249</v>
      </c>
      <c r="B39" s="96" t="s">
        <v>250</v>
      </c>
      <c r="E39" s="109">
        <v>15.755837440490723</v>
      </c>
      <c r="F39" s="108">
        <v>15.457893371582031</v>
      </c>
      <c r="G39" s="108">
        <v>15.691001892089844</v>
      </c>
      <c r="H39" s="108">
        <f t="shared" si="5"/>
        <v>15.634910901387533</v>
      </c>
    </row>
    <row r="40" spans="1:8">
      <c r="A40" s="96" t="s">
        <v>249</v>
      </c>
      <c r="B40" s="96" t="s">
        <v>250</v>
      </c>
      <c r="E40" s="109">
        <v>15.560844421386719</v>
      </c>
      <c r="F40" s="108">
        <v>15.738679885864258</v>
      </c>
      <c r="G40" s="108">
        <v>15.730792999267578</v>
      </c>
      <c r="H40" s="108">
        <f t="shared" si="5"/>
        <v>15.676772435506185</v>
      </c>
    </row>
    <row r="41" spans="1:8">
      <c r="A41" s="96" t="s">
        <v>249</v>
      </c>
      <c r="B41" s="96" t="s">
        <v>251</v>
      </c>
      <c r="E41" s="109">
        <v>15.789995193481445</v>
      </c>
      <c r="F41" s="108">
        <v>15.670146942138672</v>
      </c>
      <c r="G41" s="108">
        <v>15.804409980773926</v>
      </c>
      <c r="H41" s="108">
        <f t="shared" si="5"/>
        <v>15.754850705464682</v>
      </c>
    </row>
    <row r="42" spans="1:8">
      <c r="A42" s="96" t="s">
        <v>249</v>
      </c>
      <c r="B42" s="96" t="s">
        <v>252</v>
      </c>
      <c r="E42" s="109">
        <v>15.759750366210938</v>
      </c>
      <c r="F42" s="108">
        <v>15.668698310852051</v>
      </c>
      <c r="G42" s="108">
        <v>15.640106201171875</v>
      </c>
      <c r="H42" s="108">
        <f t="shared" si="5"/>
        <v>15.689518292744955</v>
      </c>
    </row>
    <row r="43" spans="1:8">
      <c r="A43" s="96" t="s">
        <v>253</v>
      </c>
      <c r="B43" s="96" t="s">
        <v>254</v>
      </c>
      <c r="E43" s="109">
        <v>15.258575439453125</v>
      </c>
      <c r="F43" s="108">
        <v>15.478802680969238</v>
      </c>
      <c r="G43" s="108">
        <v>15.974754333496094</v>
      </c>
      <c r="H43" s="108">
        <f t="shared" si="5"/>
        <v>15.570710817972818</v>
      </c>
    </row>
    <row r="44" spans="1:8">
      <c r="A44" s="96" t="s">
        <v>253</v>
      </c>
      <c r="B44" s="96" t="s">
        <v>255</v>
      </c>
      <c r="E44" s="109">
        <v>15.35291576385498</v>
      </c>
      <c r="F44" s="108">
        <v>15.170954704284668</v>
      </c>
      <c r="G44" s="108">
        <v>15.236812591552734</v>
      </c>
      <c r="H44" s="108">
        <f t="shared" si="5"/>
        <v>15.253561019897461</v>
      </c>
    </row>
    <row r="45" spans="1:8">
      <c r="A45" s="96" t="s">
        <v>253</v>
      </c>
      <c r="B45" s="96" t="s">
        <v>256</v>
      </c>
      <c r="E45" s="109">
        <v>15.810567855834961</v>
      </c>
      <c r="F45" s="108">
        <v>15.790656089782715</v>
      </c>
      <c r="G45" s="108">
        <v>15.956247329711914</v>
      </c>
      <c r="H45" s="108">
        <f t="shared" si="5"/>
        <v>15.852490425109863</v>
      </c>
    </row>
    <row r="46" spans="1:8">
      <c r="A46" s="96" t="s">
        <v>253</v>
      </c>
      <c r="B46" s="96" t="s">
        <v>300</v>
      </c>
      <c r="E46" s="109">
        <v>15.760116577148438</v>
      </c>
      <c r="F46" s="108">
        <v>15.89314079284668</v>
      </c>
      <c r="G46" s="108">
        <v>15.903885841369629</v>
      </c>
      <c r="H46" s="108">
        <f t="shared" si="5"/>
        <v>15.852381070454916</v>
      </c>
    </row>
    <row r="47" spans="1:8">
      <c r="A47" s="96" t="s">
        <v>304</v>
      </c>
      <c r="B47" s="96" t="s">
        <v>305</v>
      </c>
      <c r="E47" s="109">
        <v>15.956473350524902</v>
      </c>
      <c r="F47" s="108">
        <v>15.595272064208984</v>
      </c>
      <c r="G47" s="108">
        <v>15.919502258300781</v>
      </c>
      <c r="H47" s="108">
        <f t="shared" si="5"/>
        <v>15.823749224344889</v>
      </c>
    </row>
    <row r="48" spans="1:8">
      <c r="A48" s="96" t="s">
        <v>304</v>
      </c>
      <c r="B48" s="96" t="s">
        <v>307</v>
      </c>
      <c r="E48" s="109">
        <v>15.711461067199707</v>
      </c>
      <c r="F48" s="108">
        <v>15.73438835144043</v>
      </c>
      <c r="G48" s="108">
        <v>15.689187049865723</v>
      </c>
      <c r="H48" s="108">
        <f t="shared" si="5"/>
        <v>15.711678822835287</v>
      </c>
    </row>
    <row r="49" spans="1:8">
      <c r="A49" s="96" t="s">
        <v>304</v>
      </c>
      <c r="B49" s="96" t="s">
        <v>308</v>
      </c>
      <c r="E49" s="109">
        <v>15.574808120727539</v>
      </c>
      <c r="F49" s="108">
        <v>15.501856803894043</v>
      </c>
      <c r="G49" s="108">
        <v>15.596255302429199</v>
      </c>
      <c r="H49" s="108">
        <f t="shared" si="5"/>
        <v>15.557640075683594</v>
      </c>
    </row>
    <row r="50" spans="1:8">
      <c r="A50" s="96" t="s">
        <v>304</v>
      </c>
      <c r="B50" s="96" t="s">
        <v>309</v>
      </c>
      <c r="E50" s="109">
        <v>15.60640811920166</v>
      </c>
      <c r="F50" s="108">
        <v>15.595258712768555</v>
      </c>
      <c r="G50" s="108">
        <v>15.58064079284668</v>
      </c>
      <c r="H50" s="108">
        <f t="shared" si="5"/>
        <v>15.594102541605631</v>
      </c>
    </row>
    <row r="51" spans="1:8">
      <c r="A51" s="96" t="s">
        <v>310</v>
      </c>
      <c r="B51" s="96" t="s">
        <v>311</v>
      </c>
      <c r="E51" s="109">
        <v>15.40764331817627</v>
      </c>
      <c r="F51" s="108">
        <v>15.702505111694336</v>
      </c>
      <c r="G51" s="108">
        <v>15.805522918701172</v>
      </c>
      <c r="H51" s="108">
        <f t="shared" si="5"/>
        <v>15.638557116190592</v>
      </c>
    </row>
    <row r="52" spans="1:8">
      <c r="A52" s="59" t="s">
        <v>310</v>
      </c>
      <c r="B52" s="59" t="s">
        <v>312</v>
      </c>
      <c r="C52" s="59"/>
      <c r="D52" s="59"/>
      <c r="E52" s="109">
        <v>15.5</v>
      </c>
      <c r="F52" s="108">
        <v>15.5</v>
      </c>
      <c r="G52" s="108">
        <v>15.4</v>
      </c>
      <c r="H52" s="108">
        <f t="shared" si="5"/>
        <v>15.466666666666667</v>
      </c>
    </row>
    <row r="53" spans="1:8">
      <c r="A53" s="59" t="s">
        <v>310</v>
      </c>
      <c r="B53" s="59" t="s">
        <v>312</v>
      </c>
      <c r="C53" s="59"/>
      <c r="D53" s="59"/>
      <c r="E53" s="123">
        <v>15.8</v>
      </c>
      <c r="F53" s="124">
        <v>15.4</v>
      </c>
      <c r="G53" s="124">
        <v>15.4</v>
      </c>
      <c r="H53" s="108">
        <f t="shared" si="5"/>
        <v>15.533333333333333</v>
      </c>
    </row>
    <row r="54" spans="1:8">
      <c r="A54" s="59" t="s">
        <v>310</v>
      </c>
      <c r="B54" s="59" t="s">
        <v>313</v>
      </c>
      <c r="C54" s="59"/>
      <c r="D54" s="59"/>
      <c r="E54" s="123">
        <v>15.6</v>
      </c>
      <c r="F54" s="124">
        <v>15.5</v>
      </c>
      <c r="G54" s="124">
        <v>15.6</v>
      </c>
      <c r="H54" s="108">
        <f t="shared" si="5"/>
        <v>15.566666666666668</v>
      </c>
    </row>
    <row r="55" spans="1:8">
      <c r="A55" s="59" t="s">
        <v>327</v>
      </c>
      <c r="B55" s="59" t="s">
        <v>328</v>
      </c>
      <c r="C55" s="59"/>
      <c r="D55" s="59"/>
      <c r="E55" s="123">
        <v>15.6</v>
      </c>
      <c r="F55" s="124">
        <v>15.6</v>
      </c>
      <c r="G55" s="124">
        <v>15.8</v>
      </c>
      <c r="H55" s="108">
        <f t="shared" si="5"/>
        <v>15.666666666666666</v>
      </c>
    </row>
    <row r="56" spans="1:8">
      <c r="A56" s="59" t="s">
        <v>327</v>
      </c>
      <c r="B56" s="59" t="s">
        <v>328</v>
      </c>
      <c r="C56" s="59"/>
      <c r="D56" s="59"/>
      <c r="E56" s="123">
        <v>15.577789306640625</v>
      </c>
      <c r="F56" s="124">
        <v>15.603015899658203</v>
      </c>
      <c r="G56" s="124">
        <v>15.626909255981445</v>
      </c>
      <c r="H56" s="108">
        <f t="shared" si="5"/>
        <v>15.602571487426758</v>
      </c>
    </row>
    <row r="57" spans="1:8">
      <c r="A57" s="96" t="s">
        <v>327</v>
      </c>
      <c r="B57" s="96" t="s">
        <v>329</v>
      </c>
      <c r="E57" s="123">
        <v>15.925136566162109</v>
      </c>
      <c r="F57" s="124"/>
      <c r="G57" s="124">
        <v>15.940312385559082</v>
      </c>
      <c r="H57" s="108">
        <f t="shared" si="5"/>
        <v>15.932724475860596</v>
      </c>
    </row>
    <row r="58" spans="1:8">
      <c r="A58" s="96" t="s">
        <v>327</v>
      </c>
      <c r="B58" s="96" t="s">
        <v>329</v>
      </c>
      <c r="E58" s="109">
        <v>15.2</v>
      </c>
      <c r="F58" s="108">
        <v>15.3</v>
      </c>
      <c r="G58" s="108">
        <v>15.4</v>
      </c>
      <c r="H58" s="108">
        <f t="shared" si="5"/>
        <v>15.299999999999999</v>
      </c>
    </row>
    <row r="59" spans="1:8">
      <c r="A59" s="96" t="s">
        <v>330</v>
      </c>
      <c r="B59" s="96" t="s">
        <v>331</v>
      </c>
      <c r="E59" s="109">
        <v>15.989936828613281</v>
      </c>
      <c r="F59" s="108">
        <v>15.856328964233398</v>
      </c>
      <c r="G59" s="108">
        <v>15.836997985839844</v>
      </c>
      <c r="H59" s="108">
        <f t="shared" si="5"/>
        <v>15.894421259562174</v>
      </c>
    </row>
    <row r="60" spans="1:8">
      <c r="A60" s="96" t="s">
        <v>330</v>
      </c>
      <c r="B60" s="96" t="s">
        <v>340</v>
      </c>
      <c r="E60" s="109">
        <v>15.699069023132324</v>
      </c>
      <c r="F60" s="108">
        <v>15.817172050476074</v>
      </c>
      <c r="G60" s="108">
        <v>16.075807571411133</v>
      </c>
      <c r="H60" s="108">
        <f t="shared" si="5"/>
        <v>15.86401621500651</v>
      </c>
    </row>
    <row r="61" spans="1:8">
      <c r="A61" s="96" t="s">
        <v>330</v>
      </c>
      <c r="B61" s="96" t="s">
        <v>341</v>
      </c>
      <c r="E61" s="109">
        <v>14.193151473999023</v>
      </c>
      <c r="F61" s="108">
        <v>14.592436790466309</v>
      </c>
      <c r="G61" s="108">
        <v>14.826726913452148</v>
      </c>
      <c r="H61" s="108">
        <f t="shared" si="5"/>
        <v>14.53743839263916</v>
      </c>
    </row>
    <row r="62" spans="1:8">
      <c r="A62" s="96" t="s">
        <v>342</v>
      </c>
      <c r="B62" s="96" t="s">
        <v>341</v>
      </c>
      <c r="E62" s="109">
        <v>15.753643035888672</v>
      </c>
      <c r="F62" s="108">
        <v>15.53950309753418</v>
      </c>
      <c r="G62" s="108">
        <v>16.160148620605469</v>
      </c>
      <c r="H62" s="108">
        <f t="shared" si="5"/>
        <v>15.81776491800944</v>
      </c>
    </row>
    <row r="63" spans="1:8">
      <c r="A63" s="96" t="s">
        <v>342</v>
      </c>
      <c r="B63" s="96" t="s">
        <v>355</v>
      </c>
      <c r="E63" s="109">
        <v>16.152790069580078</v>
      </c>
      <c r="F63" s="108">
        <v>15.918967247009277</v>
      </c>
      <c r="G63" s="108">
        <v>16.004350662231445</v>
      </c>
      <c r="H63" s="108">
        <f t="shared" si="5"/>
        <v>16.025369326273601</v>
      </c>
    </row>
    <row r="64" spans="1:8">
      <c r="A64" s="96" t="s">
        <v>342</v>
      </c>
      <c r="B64" s="96" t="s">
        <v>350</v>
      </c>
      <c r="E64" s="109">
        <v>15.725796699523926</v>
      </c>
      <c r="F64" s="108">
        <v>15.72511100769043</v>
      </c>
      <c r="G64" s="108">
        <v>15.700724601745605</v>
      </c>
      <c r="H64" s="108">
        <f t="shared" si="5"/>
        <v>15.71721076965332</v>
      </c>
    </row>
    <row r="65" spans="1:8">
      <c r="A65" s="96" t="s">
        <v>342</v>
      </c>
      <c r="B65" s="96" t="s">
        <v>351</v>
      </c>
      <c r="E65" s="109">
        <v>15.868610382080078</v>
      </c>
      <c r="F65" s="108">
        <v>15.950244903564453</v>
      </c>
      <c r="G65" s="108">
        <v>15.73750114440918</v>
      </c>
      <c r="H65" s="108">
        <f t="shared" si="5"/>
        <v>15.852118810017904</v>
      </c>
    </row>
    <row r="66" spans="1:8">
      <c r="A66" s="96" t="s">
        <v>342</v>
      </c>
      <c r="B66" s="96" t="s">
        <v>351</v>
      </c>
      <c r="E66" s="109">
        <v>15.411773681640625</v>
      </c>
      <c r="F66" s="108">
        <v>15.347482681274414</v>
      </c>
      <c r="G66" s="108">
        <v>15.357060432434082</v>
      </c>
      <c r="H66" s="108">
        <f t="shared" si="5"/>
        <v>15.372105598449707</v>
      </c>
    </row>
    <row r="67" spans="1:8">
      <c r="A67" s="96" t="s">
        <v>238</v>
      </c>
      <c r="B67" s="96" t="s">
        <v>352</v>
      </c>
      <c r="E67" s="109">
        <v>15.701089859008789</v>
      </c>
      <c r="F67" s="108">
        <v>15.69521427154541</v>
      </c>
      <c r="G67" s="108">
        <v>15.858868598937988</v>
      </c>
      <c r="H67" s="108">
        <f t="shared" si="5"/>
        <v>15.751724243164062</v>
      </c>
    </row>
    <row r="68" spans="1:8">
      <c r="A68" s="96" t="s">
        <v>238</v>
      </c>
      <c r="B68" s="96" t="s">
        <v>353</v>
      </c>
      <c r="E68" s="109">
        <v>15.664003372192383</v>
      </c>
      <c r="F68" s="108">
        <v>15.706714630126953</v>
      </c>
      <c r="G68" s="108">
        <v>15.883712768554688</v>
      </c>
      <c r="H68" s="108">
        <f t="shared" si="5"/>
        <v>15.751476923624674</v>
      </c>
    </row>
    <row r="69" spans="1:8">
      <c r="A69" s="96" t="s">
        <v>238</v>
      </c>
      <c r="B69" s="96" t="s">
        <v>353</v>
      </c>
      <c r="E69" s="109">
        <v>15.815454483032227</v>
      </c>
      <c r="F69" s="108">
        <v>15.873584747314453</v>
      </c>
      <c r="G69" s="108">
        <v>15.955685615539551</v>
      </c>
      <c r="H69" s="108">
        <f>AVERAGE(E69:G69)</f>
        <v>15.881574948628744</v>
      </c>
    </row>
    <row r="70" spans="1:8">
      <c r="A70" s="96" t="s">
        <v>238</v>
      </c>
      <c r="B70" s="96" t="s">
        <v>354</v>
      </c>
      <c r="E70" s="109">
        <v>15.894612312316895</v>
      </c>
      <c r="F70" s="108">
        <v>15.946266174316406</v>
      </c>
      <c r="G70" s="108">
        <v>15.963062286376953</v>
      </c>
      <c r="H70" s="108">
        <f>AVERAGE(E70:G70)</f>
        <v>15.934646924336752</v>
      </c>
    </row>
    <row r="71" spans="1:8">
      <c r="A71" s="96"/>
      <c r="B71" s="96"/>
      <c r="E71"/>
    </row>
    <row r="72" spans="1:8">
      <c r="A72" s="96"/>
      <c r="B72" s="96"/>
      <c r="E72"/>
    </row>
    <row r="73" spans="1:8">
      <c r="F73" s="96" t="s">
        <v>257</v>
      </c>
      <c r="H73" s="111">
        <f>AVERAGE(H27:H70)</f>
        <v>15.662643397215641</v>
      </c>
    </row>
  </sheetData>
  <mergeCells count="20">
    <mergeCell ref="S2:S3"/>
    <mergeCell ref="E26:H26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O47" sqref="O47"/>
    </sheetView>
  </sheetViews>
  <sheetFormatPr baseColWidth="10" defaultRowHeight="14" x14ac:dyDescent="0"/>
  <sheetData>
    <row r="1" spans="1:21">
      <c r="A1" s="83"/>
      <c r="B1" s="143" t="s">
        <v>4</v>
      </c>
      <c r="C1" s="145" t="s">
        <v>185</v>
      </c>
      <c r="D1" s="146" t="s">
        <v>18</v>
      </c>
      <c r="E1" s="146"/>
      <c r="F1" s="146"/>
      <c r="G1" s="146"/>
      <c r="H1" s="146" t="s">
        <v>20</v>
      </c>
      <c r="I1" s="146"/>
      <c r="J1" s="146"/>
      <c r="K1" s="146"/>
      <c r="L1" s="146" t="s">
        <v>21</v>
      </c>
      <c r="M1" s="146"/>
      <c r="N1" s="146"/>
      <c r="O1" s="146"/>
      <c r="P1" s="82" t="s">
        <v>22</v>
      </c>
      <c r="Q1" s="82" t="s">
        <v>22</v>
      </c>
      <c r="R1" s="82" t="s">
        <v>22</v>
      </c>
      <c r="S1" s="150" t="s">
        <v>258</v>
      </c>
      <c r="T1" s="83"/>
      <c r="U1" s="83"/>
    </row>
    <row r="2" spans="1:21">
      <c r="A2" s="83"/>
      <c r="B2" s="144"/>
      <c r="C2" s="144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  <c r="S2" s="151"/>
      <c r="T2" s="83"/>
      <c r="U2" s="83"/>
    </row>
    <row r="3" spans="1:21">
      <c r="A3" s="83"/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40"/>
      <c r="Q3" s="141"/>
      <c r="R3" s="142"/>
      <c r="S3" s="83"/>
      <c r="T3" s="83"/>
      <c r="U3" s="83"/>
    </row>
    <row r="4" spans="1:21">
      <c r="A4" s="83"/>
      <c r="B4" s="89" t="s">
        <v>186</v>
      </c>
      <c r="C4" s="90">
        <v>500</v>
      </c>
      <c r="D4" s="90">
        <v>2</v>
      </c>
      <c r="E4" s="90">
        <v>26960</v>
      </c>
      <c r="F4" s="90">
        <v>7</v>
      </c>
      <c r="G4" s="88">
        <f t="shared" ref="G4:G19" si="0">(E4/F4)*(10.2)*POWER(10,D4+2)</f>
        <v>392845714.28571427</v>
      </c>
      <c r="H4" s="90">
        <v>2</v>
      </c>
      <c r="I4" s="90">
        <v>28998</v>
      </c>
      <c r="J4" s="90">
        <v>7</v>
      </c>
      <c r="K4" s="88">
        <f t="shared" ref="K4:K19" si="1">(I4/J4)*(10.2)*POWER(10,H4+2)</f>
        <v>422542285.71428567</v>
      </c>
      <c r="L4" s="90">
        <v>2</v>
      </c>
      <c r="M4" s="90">
        <v>29053</v>
      </c>
      <c r="N4" s="90">
        <v>7</v>
      </c>
      <c r="O4" s="88">
        <f t="shared" ref="O4:O19" si="2">(M4/N4)*(10.2)*POWER(10,L4+2)</f>
        <v>423343714.28571433</v>
      </c>
      <c r="P4" s="91">
        <f t="shared" ref="P4:P19" si="3">AVERAGE(O4,K4,G4)</f>
        <v>412910571.4285714</v>
      </c>
      <c r="Q4" s="91">
        <f t="shared" ref="Q4:Q19" si="4">STDEV(O4,K4,G4)</f>
        <v>17381295.724462688</v>
      </c>
      <c r="R4" s="92">
        <f>LOG(P4)</f>
        <v>8.6158560019212569</v>
      </c>
      <c r="S4" s="83"/>
      <c r="T4" s="83"/>
      <c r="U4" s="83"/>
    </row>
    <row r="5" spans="1:21">
      <c r="A5" s="83"/>
      <c r="B5" s="89" t="s">
        <v>187</v>
      </c>
      <c r="C5" s="90">
        <v>500</v>
      </c>
      <c r="D5" s="90">
        <v>1</v>
      </c>
      <c r="E5" s="90">
        <v>25770</v>
      </c>
      <c r="F5" s="90">
        <v>7</v>
      </c>
      <c r="G5" s="88">
        <f t="shared" si="0"/>
        <v>37550571.428571425</v>
      </c>
      <c r="H5" s="90">
        <v>1</v>
      </c>
      <c r="I5" s="90">
        <v>24760</v>
      </c>
      <c r="J5" s="90">
        <v>7</v>
      </c>
      <c r="K5" s="88">
        <f t="shared" si="1"/>
        <v>36078857.142857142</v>
      </c>
      <c r="L5" s="90">
        <v>1</v>
      </c>
      <c r="M5" s="90">
        <v>27526</v>
      </c>
      <c r="N5" s="90">
        <v>7</v>
      </c>
      <c r="O5" s="88">
        <f t="shared" si="2"/>
        <v>40109314.285714284</v>
      </c>
      <c r="P5" s="91">
        <f t="shared" si="3"/>
        <v>37912914.285714291</v>
      </c>
      <c r="Q5" s="91">
        <f t="shared" si="4"/>
        <v>2039513.5338344474</v>
      </c>
      <c r="R5" s="92">
        <f t="shared" ref="R5:R19" si="5">LOG(P5)</f>
        <v>7.5787871690098934</v>
      </c>
      <c r="S5" s="83"/>
      <c r="T5" s="83"/>
      <c r="U5" s="83"/>
    </row>
    <row r="6" spans="1:21">
      <c r="A6" s="83"/>
      <c r="B6" s="89" t="s">
        <v>188</v>
      </c>
      <c r="C6" s="90">
        <v>500</v>
      </c>
      <c r="D6" s="90">
        <v>0</v>
      </c>
      <c r="E6" s="90">
        <v>2493</v>
      </c>
      <c r="F6" s="90">
        <v>7</v>
      </c>
      <c r="G6" s="88">
        <f t="shared" si="0"/>
        <v>363265.71428571426</v>
      </c>
      <c r="H6" s="90">
        <v>0</v>
      </c>
      <c r="I6" s="90">
        <v>2459</v>
      </c>
      <c r="J6" s="90">
        <v>7</v>
      </c>
      <c r="K6" s="88">
        <f t="shared" si="1"/>
        <v>358311.42857142852</v>
      </c>
      <c r="L6" s="90">
        <v>0</v>
      </c>
      <c r="M6" s="90">
        <v>2550</v>
      </c>
      <c r="N6" s="90">
        <v>7</v>
      </c>
      <c r="O6" s="88">
        <f t="shared" si="2"/>
        <v>371571.42857142852</v>
      </c>
      <c r="P6" s="91">
        <f t="shared" si="3"/>
        <v>364382.8571428571</v>
      </c>
      <c r="Q6" s="91">
        <f t="shared" si="4"/>
        <v>6700.2168712996863</v>
      </c>
      <c r="R6" s="92">
        <f t="shared" si="5"/>
        <v>5.5615579368427026</v>
      </c>
      <c r="S6" s="96" t="s">
        <v>129</v>
      </c>
      <c r="T6" s="83"/>
      <c r="U6" s="83"/>
    </row>
    <row r="7" spans="1:21">
      <c r="A7" s="83"/>
      <c r="B7" s="89" t="s">
        <v>189</v>
      </c>
      <c r="C7" s="90">
        <v>500</v>
      </c>
      <c r="D7" s="90">
        <f>LOG(705/250)</f>
        <v>0.45024910831936105</v>
      </c>
      <c r="E7" s="90">
        <v>946</v>
      </c>
      <c r="F7" s="90">
        <v>7</v>
      </c>
      <c r="G7" s="88">
        <f>(E7/F7)*(1)*POWER(10,D7+2)</f>
        <v>38110.285714285717</v>
      </c>
      <c r="H7" s="90">
        <f>LOG(705/250)</f>
        <v>0.45024910831936105</v>
      </c>
      <c r="I7" s="90">
        <v>885</v>
      </c>
      <c r="J7" s="90">
        <v>7</v>
      </c>
      <c r="K7" s="88">
        <f t="shared" si="1"/>
        <v>363659.1428571429</v>
      </c>
      <c r="L7" s="90">
        <f>LOG(705/250)</f>
        <v>0.45024910831936105</v>
      </c>
      <c r="M7" s="90">
        <v>947</v>
      </c>
      <c r="N7" s="90">
        <v>7</v>
      </c>
      <c r="O7" s="88">
        <f>(M7/N7)*(1)*POWER(10,L7+2)</f>
        <v>38150.571428571435</v>
      </c>
      <c r="P7" s="91">
        <f t="shared" si="3"/>
        <v>146640.00000000003</v>
      </c>
      <c r="Q7" s="91">
        <f t="shared" si="4"/>
        <v>187944.09190121258</v>
      </c>
      <c r="R7" s="92">
        <f t="shared" si="5"/>
        <v>5.1662524519541604</v>
      </c>
      <c r="S7" s="83"/>
      <c r="T7" s="83"/>
      <c r="U7" s="83"/>
    </row>
    <row r="8" spans="1:21">
      <c r="A8" s="83"/>
      <c r="B8" s="89" t="s">
        <v>190</v>
      </c>
      <c r="C8" s="90">
        <v>500</v>
      </c>
      <c r="D8" s="90">
        <f>LOG(705/250)</f>
        <v>0.45024910831936105</v>
      </c>
      <c r="E8" s="90">
        <v>1248</v>
      </c>
      <c r="F8" s="90">
        <v>70</v>
      </c>
      <c r="G8" s="88">
        <f>(E8/F8)*(1)*POWER(10,D8+2)</f>
        <v>5027.6571428571442</v>
      </c>
      <c r="H8" s="90">
        <f>LOG(705/250)</f>
        <v>0.45024910831936105</v>
      </c>
      <c r="I8" s="90">
        <v>1303</v>
      </c>
      <c r="J8" s="90">
        <v>70</v>
      </c>
      <c r="K8" s="88">
        <f t="shared" si="1"/>
        <v>53542.131428571432</v>
      </c>
      <c r="L8" s="90">
        <f>LOG(705/250)</f>
        <v>0.45024910831936105</v>
      </c>
      <c r="M8" s="90">
        <v>1278</v>
      </c>
      <c r="N8" s="90">
        <v>70</v>
      </c>
      <c r="O8" s="88">
        <f>(M8/N8)*(1)*POWER(10,L8+2)</f>
        <v>5148.5142857142864</v>
      </c>
      <c r="P8" s="91">
        <f t="shared" si="3"/>
        <v>21239.434285714287</v>
      </c>
      <c r="Q8" s="91">
        <f t="shared" si="4"/>
        <v>27975.021602129429</v>
      </c>
      <c r="R8" s="92">
        <f t="shared" si="5"/>
        <v>4.3271429450900092</v>
      </c>
      <c r="S8" s="83"/>
      <c r="T8" s="83"/>
      <c r="U8" s="83"/>
    </row>
    <row r="9" spans="1:21">
      <c r="A9" s="83"/>
      <c r="B9" s="89" t="s">
        <v>191</v>
      </c>
      <c r="C9" s="90">
        <v>900</v>
      </c>
      <c r="D9" s="90">
        <v>2</v>
      </c>
      <c r="E9" s="90">
        <v>26822</v>
      </c>
      <c r="F9" s="90">
        <v>7</v>
      </c>
      <c r="G9" s="88">
        <f t="shared" si="0"/>
        <v>390834857.14285713</v>
      </c>
      <c r="H9" s="90">
        <v>2</v>
      </c>
      <c r="I9" s="90">
        <v>25452</v>
      </c>
      <c r="J9" s="90">
        <v>7</v>
      </c>
      <c r="K9" s="88">
        <f t="shared" si="1"/>
        <v>370872000</v>
      </c>
      <c r="L9" s="90">
        <v>2</v>
      </c>
      <c r="M9" s="90">
        <v>29126</v>
      </c>
      <c r="N9" s="90">
        <v>7</v>
      </c>
      <c r="O9" s="88">
        <f t="shared" si="2"/>
        <v>424407428.57142854</v>
      </c>
      <c r="P9" s="91">
        <f t="shared" si="3"/>
        <v>395371428.57142854</v>
      </c>
      <c r="Q9" s="91">
        <f t="shared" si="4"/>
        <v>27054498.485954784</v>
      </c>
      <c r="R9" s="92">
        <f t="shared" si="5"/>
        <v>8.5970052819172</v>
      </c>
      <c r="S9" s="83"/>
      <c r="T9" s="83"/>
      <c r="U9" s="83"/>
    </row>
    <row r="10" spans="1:21">
      <c r="A10" s="83"/>
      <c r="B10" s="89" t="s">
        <v>192</v>
      </c>
      <c r="C10" s="90">
        <v>900</v>
      </c>
      <c r="D10" s="90">
        <v>1</v>
      </c>
      <c r="E10" s="90">
        <v>11669</v>
      </c>
      <c r="F10" s="90">
        <v>7</v>
      </c>
      <c r="G10" s="88">
        <f t="shared" si="0"/>
        <v>17003399.999999996</v>
      </c>
      <c r="H10" s="90">
        <v>1</v>
      </c>
      <c r="I10" s="90">
        <v>13970</v>
      </c>
      <c r="J10" s="90">
        <v>20</v>
      </c>
      <c r="K10" s="88">
        <f t="shared" si="1"/>
        <v>7124700</v>
      </c>
      <c r="L10" s="90">
        <v>1</v>
      </c>
      <c r="M10" s="90">
        <v>12995</v>
      </c>
      <c r="N10" s="90">
        <v>7</v>
      </c>
      <c r="O10" s="88">
        <f t="shared" si="2"/>
        <v>18935571.428571429</v>
      </c>
      <c r="P10" s="91">
        <f t="shared" si="3"/>
        <v>14354557.142857142</v>
      </c>
      <c r="Q10" s="91">
        <f t="shared" si="4"/>
        <v>6335333.2459262749</v>
      </c>
      <c r="R10" s="92">
        <f t="shared" si="5"/>
        <v>7.1569897984779303</v>
      </c>
      <c r="S10" s="96" t="s">
        <v>129</v>
      </c>
      <c r="T10" s="83"/>
      <c r="U10" s="83"/>
    </row>
    <row r="11" spans="1:21">
      <c r="A11" s="83"/>
      <c r="B11" s="89" t="s">
        <v>193</v>
      </c>
      <c r="C11" s="90">
        <v>900</v>
      </c>
      <c r="D11" s="90">
        <v>1</v>
      </c>
      <c r="E11" s="90">
        <v>6123</v>
      </c>
      <c r="F11" s="90">
        <v>7</v>
      </c>
      <c r="G11" s="88">
        <f t="shared" si="0"/>
        <v>8922085.7142857127</v>
      </c>
      <c r="H11" s="90">
        <v>1</v>
      </c>
      <c r="I11" s="90">
        <v>6639</v>
      </c>
      <c r="J11" s="90">
        <v>7</v>
      </c>
      <c r="K11" s="88">
        <f t="shared" si="1"/>
        <v>9673971.4285714272</v>
      </c>
      <c r="L11" s="90">
        <v>1</v>
      </c>
      <c r="M11" s="90">
        <v>7021</v>
      </c>
      <c r="N11" s="90">
        <v>7</v>
      </c>
      <c r="O11" s="88">
        <f t="shared" si="2"/>
        <v>10230599.999999998</v>
      </c>
      <c r="P11" s="91">
        <f t="shared" si="3"/>
        <v>9608885.7142857127</v>
      </c>
      <c r="Q11" s="91">
        <f t="shared" si="4"/>
        <v>656680.68468065432</v>
      </c>
      <c r="R11" s="92">
        <f t="shared" si="5"/>
        <v>6.9826730280228597</v>
      </c>
      <c r="S11" s="96" t="s">
        <v>129</v>
      </c>
      <c r="T11" s="83"/>
      <c r="U11" s="83"/>
    </row>
    <row r="12" spans="1:21">
      <c r="A12" s="83"/>
      <c r="B12" s="89" t="s">
        <v>194</v>
      </c>
      <c r="C12" s="90">
        <v>900</v>
      </c>
      <c r="D12" s="90">
        <v>1</v>
      </c>
      <c r="E12" s="90">
        <v>29009</v>
      </c>
      <c r="F12" s="90">
        <v>7</v>
      </c>
      <c r="G12" s="88">
        <f t="shared" si="0"/>
        <v>42270257.142857142</v>
      </c>
      <c r="H12" s="90">
        <v>1</v>
      </c>
      <c r="I12" s="90">
        <v>29016</v>
      </c>
      <c r="J12" s="90">
        <v>7</v>
      </c>
      <c r="K12" s="88">
        <f t="shared" si="1"/>
        <v>42280457.142857134</v>
      </c>
      <c r="L12" s="90">
        <v>1</v>
      </c>
      <c r="M12" s="90">
        <v>31568</v>
      </c>
      <c r="N12" s="90">
        <v>7</v>
      </c>
      <c r="O12" s="88">
        <f t="shared" si="2"/>
        <v>45999085.714285709</v>
      </c>
      <c r="P12" s="91">
        <f t="shared" si="3"/>
        <v>43516599.999999993</v>
      </c>
      <c r="Q12" s="91">
        <f t="shared" si="4"/>
        <v>2149901.7422255576</v>
      </c>
      <c r="R12" s="92">
        <f t="shared" si="5"/>
        <v>7.6386549561082937</v>
      </c>
      <c r="S12" s="83"/>
      <c r="T12" s="83"/>
      <c r="U12" s="83"/>
    </row>
    <row r="13" spans="1:21">
      <c r="A13" s="83"/>
      <c r="B13" s="89" t="s">
        <v>195</v>
      </c>
      <c r="C13" s="90">
        <v>900</v>
      </c>
      <c r="D13" s="90">
        <v>1</v>
      </c>
      <c r="E13" s="90">
        <v>13542</v>
      </c>
      <c r="F13" s="90">
        <v>7</v>
      </c>
      <c r="G13" s="88">
        <f t="shared" si="0"/>
        <v>19732628.571428571</v>
      </c>
      <c r="H13" s="90">
        <v>1</v>
      </c>
      <c r="I13" s="90">
        <v>14070</v>
      </c>
      <c r="J13" s="90">
        <v>7</v>
      </c>
      <c r="K13" s="88">
        <f t="shared" si="1"/>
        <v>20502000</v>
      </c>
      <c r="L13" s="90">
        <v>1</v>
      </c>
      <c r="M13" s="90">
        <v>15197</v>
      </c>
      <c r="N13" s="90">
        <v>7</v>
      </c>
      <c r="O13" s="88">
        <f t="shared" si="2"/>
        <v>22144199.999999996</v>
      </c>
      <c r="P13" s="91">
        <f t="shared" si="3"/>
        <v>20792942.857142854</v>
      </c>
      <c r="Q13" s="91">
        <f t="shared" si="4"/>
        <v>1231829.938898768</v>
      </c>
      <c r="R13" s="92">
        <f t="shared" si="5"/>
        <v>7.3179159600467427</v>
      </c>
      <c r="S13" s="83"/>
      <c r="T13" s="83"/>
      <c r="U13" s="83"/>
    </row>
    <row r="14" spans="1:21">
      <c r="A14" s="83"/>
      <c r="B14" s="89" t="s">
        <v>196</v>
      </c>
      <c r="C14" s="90">
        <v>900</v>
      </c>
      <c r="D14" s="90">
        <v>1</v>
      </c>
      <c r="E14" s="90">
        <v>6282</v>
      </c>
      <c r="F14" s="90">
        <v>7</v>
      </c>
      <c r="G14" s="88">
        <f t="shared" si="0"/>
        <v>9153771.4285714291</v>
      </c>
      <c r="H14" s="90">
        <v>1</v>
      </c>
      <c r="I14" s="90">
        <v>6343</v>
      </c>
      <c r="J14" s="90">
        <v>7</v>
      </c>
      <c r="K14" s="88">
        <f t="shared" si="1"/>
        <v>9242657.1428571418</v>
      </c>
      <c r="L14" s="90">
        <v>1</v>
      </c>
      <c r="M14" s="90">
        <v>7014</v>
      </c>
      <c r="N14" s="90">
        <v>7</v>
      </c>
      <c r="O14" s="88">
        <f t="shared" si="2"/>
        <v>10220400</v>
      </c>
      <c r="P14" s="91">
        <f t="shared" si="3"/>
        <v>9538942.8571428563</v>
      </c>
      <c r="Q14" s="91">
        <f t="shared" si="4"/>
        <v>591830.25075969705</v>
      </c>
      <c r="R14" s="92">
        <f t="shared" si="5"/>
        <v>6.9795002471622967</v>
      </c>
      <c r="S14" s="83"/>
      <c r="T14" s="83"/>
      <c r="U14" s="83"/>
    </row>
    <row r="15" spans="1:21">
      <c r="A15" s="83"/>
      <c r="B15" s="89" t="s">
        <v>197</v>
      </c>
      <c r="C15" s="90">
        <v>900</v>
      </c>
      <c r="D15" s="90">
        <v>1</v>
      </c>
      <c r="E15" s="90">
        <v>3249</v>
      </c>
      <c r="F15" s="90">
        <v>7</v>
      </c>
      <c r="G15" s="88">
        <f t="shared" si="0"/>
        <v>4734257.1428571427</v>
      </c>
      <c r="H15" s="90">
        <v>1</v>
      </c>
      <c r="I15" s="90">
        <v>3902</v>
      </c>
      <c r="J15" s="90">
        <v>7</v>
      </c>
      <c r="K15" s="88">
        <f t="shared" si="1"/>
        <v>5685771.4285714282</v>
      </c>
      <c r="L15" s="90">
        <v>1</v>
      </c>
      <c r="M15" s="90">
        <v>3833</v>
      </c>
      <c r="N15" s="90">
        <v>7</v>
      </c>
      <c r="O15" s="88">
        <f t="shared" si="2"/>
        <v>5585228.5714285709</v>
      </c>
      <c r="P15" s="91">
        <f t="shared" si="3"/>
        <v>5335085.7142857136</v>
      </c>
      <c r="Q15" s="91">
        <f t="shared" si="4"/>
        <v>522755.62714741344</v>
      </c>
      <c r="R15" s="92">
        <f t="shared" si="5"/>
        <v>6.7271414012566968</v>
      </c>
      <c r="S15" s="83"/>
      <c r="T15" s="83"/>
      <c r="U15" s="83"/>
    </row>
    <row r="16" spans="1:21">
      <c r="A16" s="83"/>
      <c r="B16" s="89" t="s">
        <v>198</v>
      </c>
      <c r="C16" s="90">
        <v>900</v>
      </c>
      <c r="D16" s="90">
        <v>0</v>
      </c>
      <c r="E16" s="90">
        <v>12331</v>
      </c>
      <c r="F16" s="90">
        <v>7</v>
      </c>
      <c r="G16" s="88">
        <f t="shared" si="0"/>
        <v>1796802.857142857</v>
      </c>
      <c r="H16" s="90">
        <v>0</v>
      </c>
      <c r="I16" s="90">
        <v>13246</v>
      </c>
      <c r="J16" s="90">
        <v>7</v>
      </c>
      <c r="K16" s="88">
        <f t="shared" si="1"/>
        <v>1930131.4285714284</v>
      </c>
      <c r="L16" s="90">
        <v>0</v>
      </c>
      <c r="M16" s="90">
        <v>11745</v>
      </c>
      <c r="N16" s="90">
        <v>7</v>
      </c>
      <c r="O16" s="88">
        <f t="shared" si="2"/>
        <v>1711414.2857142854</v>
      </c>
      <c r="P16" s="91">
        <f t="shared" si="3"/>
        <v>1812782.857142857</v>
      </c>
      <c r="Q16" s="91">
        <f t="shared" si="4"/>
        <v>110230.74636823416</v>
      </c>
      <c r="R16" s="92">
        <f t="shared" si="5"/>
        <v>6.2583457855668376</v>
      </c>
      <c r="S16" s="83"/>
      <c r="T16" s="83"/>
      <c r="U16" s="83"/>
    </row>
    <row r="17" spans="1:21">
      <c r="A17" s="83"/>
      <c r="B17" s="89" t="s">
        <v>199</v>
      </c>
      <c r="C17" s="90">
        <v>900</v>
      </c>
      <c r="D17" s="90">
        <v>0</v>
      </c>
      <c r="E17" s="90">
        <v>6389</v>
      </c>
      <c r="F17" s="90">
        <v>7</v>
      </c>
      <c r="G17" s="88">
        <f t="shared" si="0"/>
        <v>930968.57142857136</v>
      </c>
      <c r="H17" s="90">
        <v>0</v>
      </c>
      <c r="I17" s="90">
        <v>4586</v>
      </c>
      <c r="J17" s="90">
        <v>7</v>
      </c>
      <c r="K17" s="88">
        <f t="shared" si="1"/>
        <v>668245.7142857142</v>
      </c>
      <c r="L17" s="90">
        <v>0</v>
      </c>
      <c r="M17" s="90">
        <v>5332</v>
      </c>
      <c r="N17" s="90">
        <v>7</v>
      </c>
      <c r="O17" s="88">
        <f t="shared" si="2"/>
        <v>776948.57142857136</v>
      </c>
      <c r="P17" s="91">
        <f t="shared" si="3"/>
        <v>792054.28571428556</v>
      </c>
      <c r="Q17" s="91">
        <f t="shared" si="4"/>
        <v>132011.21872548491</v>
      </c>
      <c r="R17" s="92">
        <f t="shared" si="5"/>
        <v>5.8987549482286576</v>
      </c>
      <c r="S17" s="83"/>
      <c r="T17" s="83"/>
      <c r="U17" s="83"/>
    </row>
    <row r="18" spans="1:21">
      <c r="A18" s="83"/>
      <c r="B18" s="89" t="s">
        <v>200</v>
      </c>
      <c r="C18" s="90">
        <v>900</v>
      </c>
      <c r="D18" s="90">
        <v>0</v>
      </c>
      <c r="E18" s="90">
        <v>2453</v>
      </c>
      <c r="F18" s="90">
        <v>7</v>
      </c>
      <c r="G18" s="88">
        <f t="shared" si="0"/>
        <v>357437.14285714284</v>
      </c>
      <c r="H18" s="90">
        <v>0</v>
      </c>
      <c r="I18" s="90">
        <v>2433</v>
      </c>
      <c r="J18" s="90">
        <v>7</v>
      </c>
      <c r="K18" s="88">
        <f t="shared" si="1"/>
        <v>354522.8571428571</v>
      </c>
      <c r="L18" s="90">
        <v>0</v>
      </c>
      <c r="M18" s="90">
        <v>1833</v>
      </c>
      <c r="N18" s="90">
        <v>7</v>
      </c>
      <c r="O18" s="88">
        <f t="shared" si="2"/>
        <v>267094.28571428568</v>
      </c>
      <c r="P18" s="91">
        <f t="shared" si="3"/>
        <v>326351.42857142852</v>
      </c>
      <c r="Q18" s="91">
        <f t="shared" si="4"/>
        <v>51338.874159841398</v>
      </c>
      <c r="R18" s="92">
        <f t="shared" si="5"/>
        <v>5.5136855181177333</v>
      </c>
      <c r="S18" s="83"/>
      <c r="T18" s="83"/>
      <c r="U18" s="83"/>
    </row>
    <row r="19" spans="1:21">
      <c r="A19" s="83"/>
      <c r="B19" s="89" t="s">
        <v>201</v>
      </c>
      <c r="C19" s="90">
        <v>900</v>
      </c>
      <c r="D19" s="90">
        <v>0</v>
      </c>
      <c r="E19" s="90">
        <v>2574</v>
      </c>
      <c r="F19" s="90">
        <v>14</v>
      </c>
      <c r="G19" s="88">
        <f t="shared" si="0"/>
        <v>187534.28571428571</v>
      </c>
      <c r="H19" s="90">
        <v>0</v>
      </c>
      <c r="I19" s="90">
        <v>1997</v>
      </c>
      <c r="J19" s="90">
        <v>14</v>
      </c>
      <c r="K19" s="88">
        <f t="shared" si="1"/>
        <v>145495.71428571429</v>
      </c>
      <c r="L19" s="90">
        <v>0</v>
      </c>
      <c r="M19" s="90">
        <v>1974</v>
      </c>
      <c r="N19" s="90">
        <v>14</v>
      </c>
      <c r="O19" s="88">
        <f t="shared" si="2"/>
        <v>143819.99999999997</v>
      </c>
      <c r="P19" s="91">
        <f t="shared" si="3"/>
        <v>158950</v>
      </c>
      <c r="Q19" s="91">
        <f t="shared" si="4"/>
        <v>24768.892727345858</v>
      </c>
      <c r="R19" s="92">
        <f t="shared" si="5"/>
        <v>5.2012605322507914</v>
      </c>
      <c r="S19" s="83"/>
      <c r="T19" s="83"/>
      <c r="U19" s="83"/>
    </row>
    <row r="20" spans="1:21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</row>
    <row r="21" spans="1:21" ht="43" thickBot="1">
      <c r="A21" s="83"/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259</v>
      </c>
      <c r="J21" s="95" t="s">
        <v>260</v>
      </c>
      <c r="K21" s="95" t="s">
        <v>261</v>
      </c>
      <c r="L21" s="95" t="s">
        <v>262</v>
      </c>
      <c r="M21" s="96" t="s">
        <v>212</v>
      </c>
      <c r="N21" s="83"/>
      <c r="O21" s="83"/>
      <c r="P21" s="83"/>
      <c r="Q21" s="83"/>
      <c r="R21" s="83"/>
      <c r="S21" s="83"/>
      <c r="T21" s="83"/>
      <c r="U21" s="83"/>
    </row>
    <row r="22" spans="1:2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</row>
    <row r="23" spans="1:21">
      <c r="A23" s="83"/>
      <c r="B23" s="89" t="s">
        <v>186</v>
      </c>
      <c r="C23" s="97">
        <v>13.733217239379883</v>
      </c>
      <c r="D23" s="97">
        <v>13.964070320129395</v>
      </c>
      <c r="E23" s="97">
        <v>13.836982727050781</v>
      </c>
      <c r="F23" s="102">
        <f>AVERAGE(C23:E23)</f>
        <v>13.844756762186686</v>
      </c>
      <c r="G23" s="83">
        <f>150/100*180/4*1000/900</f>
        <v>75</v>
      </c>
      <c r="H23" s="111">
        <f>LOG(G23)/LOG(2)</f>
        <v>6.2288186904958813</v>
      </c>
      <c r="I23" s="97">
        <f>C23-H23</f>
        <v>7.5043985488840015</v>
      </c>
      <c r="J23" s="97">
        <f>D23-H23</f>
        <v>7.7352516296335132</v>
      </c>
      <c r="K23" s="97">
        <f>E23-H23</f>
        <v>7.6081640365548999</v>
      </c>
      <c r="L23" s="102">
        <f>AVERAGE(I23:K23)</f>
        <v>7.6159380716908052</v>
      </c>
      <c r="M23" s="83"/>
      <c r="N23" s="83"/>
      <c r="O23" s="83"/>
      <c r="P23" s="83"/>
      <c r="Q23" s="83"/>
      <c r="R23" s="83"/>
      <c r="S23" s="83"/>
      <c r="T23" s="83"/>
      <c r="U23" s="83"/>
    </row>
    <row r="24" spans="1:21">
      <c r="A24" s="83"/>
      <c r="B24" s="89" t="s">
        <v>187</v>
      </c>
      <c r="C24" s="97">
        <v>17.19072151184082</v>
      </c>
      <c r="D24" s="97">
        <v>17.22271728515625</v>
      </c>
      <c r="E24" s="97">
        <v>17.264667510986328</v>
      </c>
      <c r="F24" s="102">
        <f t="shared" ref="F24:F38" si="6">AVERAGE(C24:E24)</f>
        <v>17.226035435994465</v>
      </c>
      <c r="G24" s="83">
        <f t="shared" ref="G24:G27" si="7">150/100*180/4*1000/900</f>
        <v>75</v>
      </c>
      <c r="H24" s="111">
        <f t="shared" ref="H24:H37" si="8">LOG(G24)/LOG(2)</f>
        <v>6.2288186904958813</v>
      </c>
      <c r="I24" s="97">
        <f t="shared" ref="I24:I38" si="9">C24-H24</f>
        <v>10.961902821344939</v>
      </c>
      <c r="J24" s="97">
        <f t="shared" ref="J24:J38" si="10">D24-H24</f>
        <v>10.993898594660369</v>
      </c>
      <c r="K24" s="97">
        <f t="shared" ref="K24:K38" si="11">E24-H24</f>
        <v>11.035848820490447</v>
      </c>
      <c r="L24" s="102">
        <f t="shared" ref="L24:L38" si="12">AVERAGE(I24:K24)</f>
        <v>10.997216745498585</v>
      </c>
      <c r="M24" s="83"/>
      <c r="N24" s="83"/>
      <c r="O24" s="83"/>
      <c r="P24" s="83"/>
      <c r="Q24" s="83"/>
      <c r="R24" s="83"/>
      <c r="S24" s="83"/>
      <c r="T24" s="83"/>
      <c r="U24" s="83"/>
    </row>
    <row r="25" spans="1:21">
      <c r="A25" s="83"/>
      <c r="B25" s="89" t="s">
        <v>188</v>
      </c>
      <c r="C25" s="97">
        <v>20.897546768188477</v>
      </c>
      <c r="D25" s="97">
        <v>20.622665405273438</v>
      </c>
      <c r="E25" s="97">
        <v>20.75037956237793</v>
      </c>
      <c r="F25" s="102">
        <f t="shared" si="6"/>
        <v>20.756863911946613</v>
      </c>
      <c r="G25" s="83">
        <f t="shared" si="7"/>
        <v>75</v>
      </c>
      <c r="H25" s="111">
        <f t="shared" si="8"/>
        <v>6.2288186904958813</v>
      </c>
      <c r="I25" s="97">
        <f t="shared" si="9"/>
        <v>14.668728077692595</v>
      </c>
      <c r="J25" s="97">
        <f t="shared" si="10"/>
        <v>14.393846714777556</v>
      </c>
      <c r="K25" s="97">
        <f t="shared" si="11"/>
        <v>14.521560871882048</v>
      </c>
      <c r="L25" s="102">
        <f t="shared" si="12"/>
        <v>14.528045221450734</v>
      </c>
      <c r="M25" s="96" t="s">
        <v>129</v>
      </c>
      <c r="N25" s="83"/>
      <c r="O25" s="83"/>
      <c r="P25" s="83"/>
      <c r="Q25" s="83"/>
      <c r="R25" s="83"/>
      <c r="S25" s="83"/>
      <c r="T25" s="83"/>
      <c r="U25" s="83"/>
    </row>
    <row r="26" spans="1:21">
      <c r="A26" s="83"/>
      <c r="B26" s="89" t="s">
        <v>189</v>
      </c>
      <c r="C26" s="97">
        <v>25.132444381713867</v>
      </c>
      <c r="D26" s="97">
        <v>25.147838592529297</v>
      </c>
      <c r="E26" s="97">
        <v>25.181661605834961</v>
      </c>
      <c r="F26" s="102">
        <f t="shared" si="6"/>
        <v>25.153981526692707</v>
      </c>
      <c r="G26" s="83">
        <f t="shared" si="7"/>
        <v>75</v>
      </c>
      <c r="H26" s="111">
        <f t="shared" si="8"/>
        <v>6.2288186904958813</v>
      </c>
      <c r="I26" s="97">
        <f t="shared" si="9"/>
        <v>18.903625691217986</v>
      </c>
      <c r="J26" s="97">
        <f t="shared" si="10"/>
        <v>18.919019902033416</v>
      </c>
      <c r="K26" s="97">
        <f t="shared" si="11"/>
        <v>18.95284291533908</v>
      </c>
      <c r="L26" s="102">
        <f t="shared" si="12"/>
        <v>18.925162836196829</v>
      </c>
      <c r="M26" s="83"/>
      <c r="N26" s="83"/>
      <c r="O26" s="83"/>
      <c r="P26" s="83"/>
      <c r="Q26" s="83"/>
      <c r="R26" s="83"/>
      <c r="S26" s="83"/>
      <c r="T26" s="83"/>
      <c r="U26" s="83"/>
    </row>
    <row r="27" spans="1:21">
      <c r="A27" s="83"/>
      <c r="B27" s="89" t="s">
        <v>190</v>
      </c>
      <c r="C27" s="97">
        <v>28.415132522583008</v>
      </c>
      <c r="D27" s="97">
        <v>28.359806060791016</v>
      </c>
      <c r="E27" s="97">
        <v>28.363668441772461</v>
      </c>
      <c r="F27" s="102">
        <f t="shared" si="6"/>
        <v>28.379535675048828</v>
      </c>
      <c r="G27" s="83">
        <f t="shared" si="7"/>
        <v>75</v>
      </c>
      <c r="H27" s="111">
        <f t="shared" si="8"/>
        <v>6.2288186904958813</v>
      </c>
      <c r="I27" s="97">
        <f t="shared" si="9"/>
        <v>22.186313832087126</v>
      </c>
      <c r="J27" s="97">
        <f t="shared" si="10"/>
        <v>22.130987370295134</v>
      </c>
      <c r="K27" s="97">
        <f t="shared" si="11"/>
        <v>22.13484975127658</v>
      </c>
      <c r="L27" s="102">
        <f t="shared" si="12"/>
        <v>22.150716984552947</v>
      </c>
      <c r="M27" s="83"/>
      <c r="N27" s="83"/>
      <c r="O27" s="83"/>
      <c r="P27" s="83"/>
      <c r="Q27" s="83"/>
      <c r="R27" s="83"/>
      <c r="S27" s="83"/>
      <c r="T27" s="83"/>
      <c r="U27" s="83"/>
    </row>
    <row r="28" spans="1:21">
      <c r="A28" s="83"/>
      <c r="B28" s="89" t="s">
        <v>191</v>
      </c>
      <c r="C28" s="97">
        <v>14.936457633972168</v>
      </c>
      <c r="D28" s="97">
        <v>14.999619483947754</v>
      </c>
      <c r="E28" s="97">
        <v>15.074687957763672</v>
      </c>
      <c r="F28" s="102">
        <f t="shared" si="6"/>
        <v>15.003588358561197</v>
      </c>
      <c r="G28" s="83">
        <f>150/100*180/4*1000/500</f>
        <v>135</v>
      </c>
      <c r="H28" s="111">
        <f t="shared" si="8"/>
        <v>7.0768155970508309</v>
      </c>
      <c r="I28" s="97">
        <f t="shared" si="9"/>
        <v>7.8596420369213371</v>
      </c>
      <c r="J28" s="97">
        <f t="shared" si="10"/>
        <v>7.9228038868969231</v>
      </c>
      <c r="K28" s="97">
        <f t="shared" si="11"/>
        <v>7.997872360712841</v>
      </c>
      <c r="L28" s="102">
        <f t="shared" si="12"/>
        <v>7.9267727615103674</v>
      </c>
      <c r="M28" s="83"/>
      <c r="N28" s="83"/>
      <c r="O28" s="83"/>
      <c r="P28" s="83"/>
      <c r="Q28" s="83"/>
      <c r="R28" s="83"/>
      <c r="S28" s="83"/>
      <c r="T28" s="83"/>
      <c r="U28" s="83"/>
    </row>
    <row r="29" spans="1:21">
      <c r="A29" s="83"/>
      <c r="B29" s="89" t="s">
        <v>192</v>
      </c>
      <c r="C29" s="97">
        <v>16.18989372253418</v>
      </c>
      <c r="D29" s="97">
        <v>15.8782958984375</v>
      </c>
      <c r="E29" s="97">
        <v>15.960098266601562</v>
      </c>
      <c r="F29" s="102">
        <f t="shared" si="6"/>
        <v>16.009429295857746</v>
      </c>
      <c r="G29" s="83">
        <f t="shared" ref="G29:G37" si="13">150/100*180/4*1000/500</f>
        <v>135</v>
      </c>
      <c r="H29" s="111">
        <f t="shared" si="8"/>
        <v>7.0768155970508309</v>
      </c>
      <c r="I29" s="97">
        <f t="shared" si="9"/>
        <v>9.1130781254833479</v>
      </c>
      <c r="J29" s="97">
        <f t="shared" si="10"/>
        <v>8.8014803013866683</v>
      </c>
      <c r="K29" s="97">
        <f t="shared" si="11"/>
        <v>8.8832826695507308</v>
      </c>
      <c r="L29" s="102">
        <f t="shared" si="12"/>
        <v>8.9326136988069162</v>
      </c>
      <c r="M29" s="96" t="s">
        <v>129</v>
      </c>
      <c r="N29" s="83"/>
      <c r="O29" s="83"/>
      <c r="P29" s="83"/>
      <c r="Q29" s="83"/>
      <c r="R29" s="83"/>
      <c r="S29" s="83"/>
      <c r="T29" s="83"/>
      <c r="U29" s="83"/>
    </row>
    <row r="30" spans="1:21">
      <c r="A30" s="83"/>
      <c r="B30" s="89" t="s">
        <v>193</v>
      </c>
      <c r="C30" s="97">
        <v>16.854721069335938</v>
      </c>
      <c r="D30" s="97">
        <v>16.93126106262207</v>
      </c>
      <c r="E30" s="97">
        <v>17.05010986328125</v>
      </c>
      <c r="F30" s="102">
        <f t="shared" si="6"/>
        <v>16.945363998413086</v>
      </c>
      <c r="G30" s="83">
        <f t="shared" si="13"/>
        <v>135</v>
      </c>
      <c r="H30" s="111">
        <f t="shared" si="8"/>
        <v>7.0768155970508309</v>
      </c>
      <c r="I30" s="97">
        <f t="shared" si="9"/>
        <v>9.7779054722851058</v>
      </c>
      <c r="J30" s="97">
        <f t="shared" si="10"/>
        <v>9.8544454655712386</v>
      </c>
      <c r="K30" s="97">
        <f t="shared" si="11"/>
        <v>9.9732942662304183</v>
      </c>
      <c r="L30" s="102">
        <f t="shared" si="12"/>
        <v>9.8685484013622542</v>
      </c>
      <c r="M30" s="96" t="s">
        <v>129</v>
      </c>
      <c r="N30" s="83"/>
      <c r="O30" s="83"/>
      <c r="P30" s="83"/>
      <c r="Q30" s="83"/>
      <c r="R30" s="83"/>
      <c r="S30" s="83"/>
      <c r="T30" s="83"/>
      <c r="U30" s="83"/>
    </row>
    <row r="31" spans="1:21">
      <c r="A31" s="83"/>
      <c r="B31" s="89" t="s">
        <v>194</v>
      </c>
      <c r="C31" s="97">
        <v>18.072385787963867</v>
      </c>
      <c r="D31" s="97">
        <v>18.182058334350586</v>
      </c>
      <c r="E31" s="97">
        <v>18.225353240966797</v>
      </c>
      <c r="F31" s="102">
        <f t="shared" si="6"/>
        <v>18.159932454427082</v>
      </c>
      <c r="G31" s="83">
        <f t="shared" si="13"/>
        <v>135</v>
      </c>
      <c r="H31" s="111">
        <f t="shared" si="8"/>
        <v>7.0768155970508309</v>
      </c>
      <c r="I31" s="97">
        <f t="shared" si="9"/>
        <v>10.995570190913035</v>
      </c>
      <c r="J31" s="97">
        <f t="shared" si="10"/>
        <v>11.105242737299754</v>
      </c>
      <c r="K31" s="97">
        <f t="shared" si="11"/>
        <v>11.148537643915965</v>
      </c>
      <c r="L31" s="102">
        <f t="shared" si="12"/>
        <v>11.083116857376252</v>
      </c>
      <c r="M31" s="83"/>
      <c r="N31" s="83"/>
      <c r="O31" s="83"/>
      <c r="P31" s="83"/>
      <c r="Q31" s="83"/>
      <c r="R31" s="83"/>
      <c r="S31" s="83"/>
      <c r="T31" s="83"/>
      <c r="U31" s="83"/>
    </row>
    <row r="32" spans="1:21">
      <c r="A32" s="83"/>
      <c r="B32" s="89" t="s">
        <v>195</v>
      </c>
      <c r="C32" s="97">
        <v>20.280126571655273</v>
      </c>
      <c r="D32" s="97">
        <v>20.968669891357422</v>
      </c>
      <c r="E32" s="97">
        <v>20.306863784790039</v>
      </c>
      <c r="F32" s="102">
        <f t="shared" si="6"/>
        <v>20.518553415934246</v>
      </c>
      <c r="G32" s="83">
        <f t="shared" si="13"/>
        <v>135</v>
      </c>
      <c r="H32" s="111">
        <f t="shared" si="8"/>
        <v>7.0768155970508309</v>
      </c>
      <c r="I32" s="97">
        <f t="shared" si="9"/>
        <v>13.203310974604442</v>
      </c>
      <c r="J32" s="97">
        <f t="shared" si="10"/>
        <v>13.89185429430659</v>
      </c>
      <c r="K32" s="97">
        <f t="shared" si="11"/>
        <v>13.230048187739207</v>
      </c>
      <c r="L32" s="102">
        <f t="shared" si="12"/>
        <v>13.441737818883412</v>
      </c>
      <c r="M32" s="83"/>
      <c r="N32" s="83"/>
      <c r="O32" s="83"/>
      <c r="P32" s="83"/>
      <c r="Q32" s="83"/>
      <c r="R32" s="83"/>
      <c r="S32" s="83"/>
      <c r="T32" s="83"/>
      <c r="U32" s="83"/>
    </row>
    <row r="33" spans="1:21">
      <c r="A33" s="83"/>
      <c r="B33" s="89" t="s">
        <v>196</v>
      </c>
      <c r="C33" s="97">
        <v>21.049312591552734</v>
      </c>
      <c r="D33" s="97">
        <v>21.128349304199219</v>
      </c>
      <c r="E33" s="97">
        <v>21.15723991394043</v>
      </c>
      <c r="F33" s="102">
        <f t="shared" si="6"/>
        <v>21.111633936564129</v>
      </c>
      <c r="G33" s="83">
        <f t="shared" si="13"/>
        <v>135</v>
      </c>
      <c r="H33" s="111">
        <f t="shared" si="8"/>
        <v>7.0768155970508309</v>
      </c>
      <c r="I33" s="97">
        <f t="shared" si="9"/>
        <v>13.972496994501903</v>
      </c>
      <c r="J33" s="97">
        <f t="shared" si="10"/>
        <v>14.051533707148387</v>
      </c>
      <c r="K33" s="97">
        <f t="shared" si="11"/>
        <v>14.080424316889598</v>
      </c>
      <c r="L33" s="102">
        <f t="shared" si="12"/>
        <v>14.034818339513295</v>
      </c>
      <c r="M33" s="83"/>
      <c r="N33" s="83"/>
      <c r="O33" s="83"/>
      <c r="P33" s="83"/>
      <c r="Q33" s="83"/>
      <c r="R33" s="83"/>
      <c r="S33" s="83"/>
      <c r="T33" s="83"/>
      <c r="U33" s="83"/>
    </row>
    <row r="34" spans="1:21">
      <c r="A34" s="83"/>
      <c r="B34" s="89" t="s">
        <v>197</v>
      </c>
      <c r="C34" s="97">
        <v>21.142179489135742</v>
      </c>
      <c r="D34" s="97">
        <v>21.006193161010742</v>
      </c>
      <c r="E34" s="97">
        <v>21.079441070556641</v>
      </c>
      <c r="F34" s="102">
        <f t="shared" si="6"/>
        <v>21.075937906901043</v>
      </c>
      <c r="G34" s="83">
        <f t="shared" si="13"/>
        <v>135</v>
      </c>
      <c r="H34" s="111">
        <f t="shared" si="8"/>
        <v>7.0768155970508309</v>
      </c>
      <c r="I34" s="97">
        <f t="shared" si="9"/>
        <v>14.06536389208491</v>
      </c>
      <c r="J34" s="97">
        <f t="shared" si="10"/>
        <v>13.92937756395991</v>
      </c>
      <c r="K34" s="97">
        <f t="shared" si="11"/>
        <v>14.002625473505809</v>
      </c>
      <c r="L34" s="102">
        <f t="shared" si="12"/>
        <v>13.999122309850209</v>
      </c>
      <c r="M34" s="83"/>
      <c r="N34" s="83"/>
      <c r="O34" s="83"/>
      <c r="P34" s="83"/>
      <c r="Q34" s="83"/>
      <c r="R34" s="83"/>
      <c r="S34" s="83"/>
      <c r="T34" s="83"/>
      <c r="U34" s="83"/>
    </row>
    <row r="35" spans="1:21">
      <c r="A35" s="83"/>
      <c r="B35" s="89" t="s">
        <v>198</v>
      </c>
      <c r="C35" s="97">
        <v>22.919816970825195</v>
      </c>
      <c r="D35" s="97">
        <v>22.845848083496094</v>
      </c>
      <c r="E35" s="97">
        <v>22.840835571289062</v>
      </c>
      <c r="F35" s="102">
        <f t="shared" si="6"/>
        <v>22.868833541870117</v>
      </c>
      <c r="G35" s="83">
        <f t="shared" si="13"/>
        <v>135</v>
      </c>
      <c r="H35" s="111">
        <f t="shared" si="8"/>
        <v>7.0768155970508309</v>
      </c>
      <c r="I35" s="97">
        <f t="shared" si="9"/>
        <v>15.843001373774364</v>
      </c>
      <c r="J35" s="97">
        <f t="shared" si="10"/>
        <v>15.769032486445262</v>
      </c>
      <c r="K35" s="97">
        <f t="shared" si="11"/>
        <v>15.764019974238231</v>
      </c>
      <c r="L35" s="102">
        <f t="shared" si="12"/>
        <v>15.792017944819285</v>
      </c>
      <c r="M35" s="83"/>
      <c r="N35" s="83"/>
      <c r="O35" s="83"/>
      <c r="P35" s="83"/>
      <c r="Q35" s="83"/>
      <c r="R35" s="83"/>
      <c r="S35" s="83"/>
      <c r="T35" s="83"/>
      <c r="U35" s="83"/>
    </row>
    <row r="36" spans="1:21">
      <c r="A36" s="83"/>
      <c r="B36" s="89" t="s">
        <v>199</v>
      </c>
      <c r="C36" s="97">
        <v>23.948450088500977</v>
      </c>
      <c r="D36" s="97">
        <v>24.184415817260742</v>
      </c>
      <c r="E36" s="97">
        <v>24.005857467651367</v>
      </c>
      <c r="F36" s="102">
        <f t="shared" si="6"/>
        <v>24.046241124471027</v>
      </c>
      <c r="G36" s="83">
        <f t="shared" si="13"/>
        <v>135</v>
      </c>
      <c r="H36" s="111">
        <f t="shared" si="8"/>
        <v>7.0768155970508309</v>
      </c>
      <c r="I36" s="97">
        <f t="shared" si="9"/>
        <v>16.871634491450145</v>
      </c>
      <c r="J36" s="97">
        <f t="shared" si="10"/>
        <v>17.10760022020991</v>
      </c>
      <c r="K36" s="97">
        <f t="shared" si="11"/>
        <v>16.929041870600535</v>
      </c>
      <c r="L36" s="102">
        <f t="shared" si="12"/>
        <v>16.969425527420196</v>
      </c>
      <c r="M36" s="83"/>
      <c r="N36" s="83"/>
      <c r="O36" s="83"/>
      <c r="P36" s="83"/>
      <c r="Q36" s="83"/>
      <c r="R36" s="83"/>
      <c r="S36" s="83"/>
      <c r="T36" s="83"/>
      <c r="U36" s="83"/>
    </row>
    <row r="37" spans="1:21">
      <c r="A37" s="83"/>
      <c r="B37" s="89" t="s">
        <v>200</v>
      </c>
      <c r="C37" s="97">
        <v>24.632528305053711</v>
      </c>
      <c r="D37" s="97">
        <v>24.451812744140625</v>
      </c>
      <c r="E37" s="97">
        <v>24.549453735351562</v>
      </c>
      <c r="F37" s="102">
        <f t="shared" si="6"/>
        <v>24.544598261515301</v>
      </c>
      <c r="G37" s="83">
        <f t="shared" si="13"/>
        <v>135</v>
      </c>
      <c r="H37" s="111">
        <f t="shared" si="8"/>
        <v>7.0768155970508309</v>
      </c>
      <c r="I37" s="97">
        <f t="shared" si="9"/>
        <v>17.555712708002879</v>
      </c>
      <c r="J37" s="97">
        <f t="shared" si="10"/>
        <v>17.374997147089793</v>
      </c>
      <c r="K37" s="97">
        <f t="shared" si="11"/>
        <v>17.472638138300731</v>
      </c>
      <c r="L37" s="102">
        <f t="shared" si="12"/>
        <v>17.467782664464469</v>
      </c>
      <c r="M37" s="83"/>
      <c r="N37" s="83"/>
      <c r="O37" s="83"/>
      <c r="P37" s="83"/>
      <c r="Q37" s="83"/>
      <c r="R37" s="83"/>
      <c r="S37" s="83"/>
      <c r="T37" s="83"/>
      <c r="U37" s="83"/>
    </row>
    <row r="38" spans="1:21">
      <c r="A38" s="83"/>
      <c r="B38" s="89" t="s">
        <v>201</v>
      </c>
      <c r="C38" s="90"/>
      <c r="D38" s="90"/>
      <c r="E38" s="90"/>
      <c r="F38" s="102" t="e">
        <f t="shared" si="6"/>
        <v>#DIV/0!</v>
      </c>
      <c r="G38" s="83">
        <v>0</v>
      </c>
      <c r="H38" s="111">
        <v>0</v>
      </c>
      <c r="I38" s="97">
        <f t="shared" si="9"/>
        <v>0</v>
      </c>
      <c r="J38" s="97">
        <f t="shared" si="10"/>
        <v>0</v>
      </c>
      <c r="K38" s="97">
        <f t="shared" si="11"/>
        <v>0</v>
      </c>
      <c r="L38" s="102">
        <f t="shared" si="12"/>
        <v>0</v>
      </c>
      <c r="M38" s="83"/>
      <c r="N38" s="83"/>
      <c r="O38" s="83"/>
      <c r="P38" s="83"/>
      <c r="Q38" s="83"/>
      <c r="R38" s="83"/>
      <c r="S38" s="83"/>
      <c r="T38" s="83"/>
      <c r="U38" s="83"/>
    </row>
    <row r="39" spans="1:21">
      <c r="A39" s="83"/>
      <c r="B39" s="83"/>
      <c r="C39" s="83"/>
      <c r="D39" s="83"/>
      <c r="E39" s="83"/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</row>
    <row r="40" spans="1:21">
      <c r="A40" s="83"/>
      <c r="B40" s="89" t="s">
        <v>263</v>
      </c>
      <c r="C40" s="97">
        <v>14.390941619873047</v>
      </c>
      <c r="D40" s="97">
        <v>14.411395072937012</v>
      </c>
      <c r="E40" s="97">
        <v>14.301624298095703</v>
      </c>
      <c r="F40" s="102">
        <f>AVERAGE(C40:E40)</f>
        <v>14.367986996968588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</row>
    <row r="41" spans="1:2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</row>
    <row r="42" spans="1:21">
      <c r="A42" s="83"/>
      <c r="B42" s="96" t="s">
        <v>214</v>
      </c>
      <c r="C42" s="83" t="s">
        <v>215</v>
      </c>
      <c r="D42" s="83"/>
      <c r="E42" s="83"/>
      <c r="F42" t="s">
        <v>264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</row>
    <row r="43" spans="1:21">
      <c r="A43" s="83"/>
      <c r="B43" s="83" t="s">
        <v>265</v>
      </c>
      <c r="C43" s="83" t="s">
        <v>215</v>
      </c>
      <c r="D43" s="83"/>
      <c r="E43" s="83"/>
      <c r="F43">
        <v>0.35990572856564834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</row>
    <row r="44" spans="1:21">
      <c r="A44" s="83"/>
      <c r="B44" s="83"/>
      <c r="C44" s="100" t="s">
        <v>217</v>
      </c>
      <c r="D44" s="112">
        <v>-3.2483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</row>
    <row r="45" spans="1:21">
      <c r="A45" s="83"/>
      <c r="B45" s="83"/>
      <c r="C45" s="100" t="s">
        <v>218</v>
      </c>
      <c r="D45" s="98">
        <v>36.023000000000003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</row>
    <row r="46" spans="1:2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</row>
    <row r="47" spans="1:2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</row>
    <row r="48" spans="1:21">
      <c r="A48" s="83"/>
      <c r="B48" s="96" t="s">
        <v>219</v>
      </c>
      <c r="C48" s="83"/>
      <c r="D48" s="83">
        <f>-1+ POWER(10,-(1/D44))</f>
        <v>1.0316707994539165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</row>
    <row r="49" spans="1:2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</row>
    <row r="50" spans="1:2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</row>
    <row r="51" spans="1:2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</row>
    <row r="52" spans="1:2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</row>
    <row r="53" spans="1:2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57" workbookViewId="0">
      <selection activeCell="J15" sqref="J15"/>
    </sheetView>
  </sheetViews>
  <sheetFormatPr baseColWidth="10" defaultRowHeight="14" x14ac:dyDescent="0"/>
  <cols>
    <col min="16" max="16" width="13.5" customWidth="1"/>
    <col min="17" max="17" width="11.33203125" customWidth="1"/>
    <col min="19" max="19" width="15.33203125" customWidth="1"/>
  </cols>
  <sheetData>
    <row r="1" spans="1:19">
      <c r="A1" s="101" t="s">
        <v>266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>
      <c r="A2" s="131" t="s">
        <v>4</v>
      </c>
      <c r="B2" s="131" t="s">
        <v>117</v>
      </c>
      <c r="C2" s="131" t="s">
        <v>117</v>
      </c>
      <c r="D2" s="131" t="s">
        <v>5</v>
      </c>
      <c r="E2" s="143" t="s">
        <v>221</v>
      </c>
      <c r="F2" s="143" t="s">
        <v>222</v>
      </c>
      <c r="G2" s="143" t="s">
        <v>223</v>
      </c>
      <c r="H2" s="145" t="s">
        <v>224</v>
      </c>
      <c r="I2" s="145" t="s">
        <v>225</v>
      </c>
      <c r="J2" s="145" t="s">
        <v>226</v>
      </c>
      <c r="K2" s="143" t="s">
        <v>227</v>
      </c>
      <c r="L2" s="143" t="s">
        <v>228</v>
      </c>
      <c r="M2" s="143" t="s">
        <v>229</v>
      </c>
      <c r="N2" s="143" t="s">
        <v>230</v>
      </c>
      <c r="O2" s="143" t="s">
        <v>231</v>
      </c>
      <c r="P2" s="145" t="s">
        <v>232</v>
      </c>
      <c r="Q2" s="145" t="s">
        <v>267</v>
      </c>
      <c r="R2" s="145" t="s">
        <v>234</v>
      </c>
      <c r="S2" s="145" t="s">
        <v>235</v>
      </c>
    </row>
    <row r="3" spans="1:19">
      <c r="A3" s="132"/>
      <c r="B3" s="132"/>
      <c r="C3" s="132"/>
      <c r="D3" s="132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>
      <c r="A4" s="40">
        <v>0</v>
      </c>
      <c r="B4" s="32">
        <v>10</v>
      </c>
      <c r="C4" s="32">
        <f>B4</f>
        <v>10</v>
      </c>
      <c r="D4" s="13">
        <f t="shared" ref="D4:D20" si="0">C4/60</f>
        <v>0.16666666666666666</v>
      </c>
      <c r="E4" s="97">
        <v>32.256092071533203</v>
      </c>
      <c r="F4" s="97">
        <v>33.097599029541016</v>
      </c>
      <c r="G4" s="102">
        <v>32.104244232177734</v>
      </c>
      <c r="H4" s="108">
        <f>E4-$H$59+$H$78</f>
        <v>31.944197289840034</v>
      </c>
      <c r="I4" s="108">
        <f>F4-$H$59+$H$78</f>
        <v>32.785704247847846</v>
      </c>
      <c r="J4" s="108">
        <f>G4-$H$59+$H$78</f>
        <v>31.792349450484565</v>
      </c>
      <c r="K4" s="102">
        <f>((H4-'Calibration F. prausnitzii'!$D$45)/'Calibration F. prausnitzii'!$D$44)+$C$27</f>
        <v>5.187639146824953</v>
      </c>
      <c r="L4" s="102">
        <f>((I4-'Calibration F. prausnitzii'!$D$45)/'Calibration F. prausnitzii'!$D$44)+$C$27</f>
        <v>4.9285784202886678</v>
      </c>
      <c r="M4" s="102">
        <f>((J4-'Calibration F. prausnitzii'!$D$45)/'Calibration F. prausnitzii'!$D$44)+$C$27</f>
        <v>5.2343860111402769</v>
      </c>
      <c r="N4" s="103">
        <f>AVERAGE(K4:M4)</f>
        <v>5.1168678594179662</v>
      </c>
      <c r="O4" s="103">
        <f>STDEV(K4:M4)</f>
        <v>0.16473008831585101</v>
      </c>
      <c r="P4" s="104">
        <f>(AVERAGE(POWER(10,K4),POWER(10,L4),POWER(10,M4)))*Calculation!$I4/Calculation!$K3</f>
        <v>136808.59798913589</v>
      </c>
      <c r="Q4" s="104">
        <f>(STDEV(POWER(10,K4),POWER(10,L4),POWER(10,M4))*Calculation!$I4/Calculation!$K3)</f>
        <v>45853.094641020005</v>
      </c>
      <c r="R4" s="103">
        <f>LOG(P4)</f>
        <v>5.1361133922810112</v>
      </c>
      <c r="S4" s="103">
        <f>O4*Calculation!$I4/Calculation!$K3</f>
        <v>0.16473008831585101</v>
      </c>
    </row>
    <row r="5" spans="1:19">
      <c r="A5" s="40">
        <v>1</v>
      </c>
      <c r="B5" s="32">
        <v>110</v>
      </c>
      <c r="C5" s="32">
        <f>C4+B5</f>
        <v>120</v>
      </c>
      <c r="D5" s="13">
        <f t="shared" si="0"/>
        <v>2</v>
      </c>
      <c r="E5" s="97">
        <v>31.05921745300293</v>
      </c>
      <c r="F5" s="97">
        <v>32.913978576660156</v>
      </c>
      <c r="G5" s="102">
        <v>30.964670181274414</v>
      </c>
      <c r="H5" s="108">
        <f>E5-$H$59+$H$78</f>
        <v>30.74732267130976</v>
      </c>
      <c r="I5" s="108">
        <f>F5-$H$59+$H$78</f>
        <v>32.602083794966987</v>
      </c>
      <c r="J5" s="108">
        <f>G5-$H$59+$H$78</f>
        <v>30.652775399581245</v>
      </c>
      <c r="K5" s="102">
        <f>((H5-'Calibration F. prausnitzii'!$D$45)/'Calibration F. prausnitzii'!$D$44)+$C$27</f>
        <v>5.5561009941082311</v>
      </c>
      <c r="L5" s="102">
        <f>((I5-'Calibration F. prausnitzii'!$D$45)/'Calibration F. prausnitzii'!$D$44)+$C$27</f>
        <v>4.9851065897560387</v>
      </c>
      <c r="M5" s="102">
        <f>((J5-'Calibration F. prausnitzii'!$D$45)/'Calibration F. prausnitzii'!$D$44)+$C$27</f>
        <v>5.585207687371943</v>
      </c>
      <c r="N5" s="103">
        <f t="shared" ref="N5:N20" si="1">AVERAGE(K5:M5)</f>
        <v>5.3754717570787376</v>
      </c>
      <c r="O5" s="103">
        <f t="shared" ref="O5:O20" si="2">STDEV(K5:M5)</f>
        <v>0.33837925880932179</v>
      </c>
      <c r="P5" s="104">
        <f>(AVERAGE(POWER(10,K5),POWER(10,L5),POWER(10,M5)))*Calculation!$I5/Calculation!$K4</f>
        <v>280412.5163907939</v>
      </c>
      <c r="Q5" s="104">
        <f>(STDEV(POWER(10,K5),POWER(10,L5),POWER(10,M5))*Calculation!$I5/Calculation!$K4)</f>
        <v>159649.22697187809</v>
      </c>
      <c r="R5" s="103">
        <f t="shared" ref="R5:R20" si="3">LOG(P5)</f>
        <v>5.4477973947373393</v>
      </c>
      <c r="S5" s="103">
        <f>O5*Calculation!$I5/Calculation!$K4</f>
        <v>0.33837925880932179</v>
      </c>
    </row>
    <row r="6" spans="1:19">
      <c r="A6" s="40">
        <v>2</v>
      </c>
      <c r="B6" s="32">
        <v>80</v>
      </c>
      <c r="C6" s="32">
        <f>C5+B6</f>
        <v>200</v>
      </c>
      <c r="D6" s="13">
        <f t="shared" si="0"/>
        <v>3.3333333333333335</v>
      </c>
      <c r="E6" s="97">
        <v>30.095190048217773</v>
      </c>
      <c r="F6" s="97">
        <v>28.778366088867188</v>
      </c>
      <c r="G6" s="102">
        <v>29.793416976928711</v>
      </c>
      <c r="H6" s="108">
        <f>E6-$H$59+$H$78</f>
        <v>29.783295266524604</v>
      </c>
      <c r="I6" s="108">
        <f>F6-$H$59+$H$78</f>
        <v>28.466471307174018</v>
      </c>
      <c r="J6" s="108">
        <f>G6-$H$59+$H$78</f>
        <v>29.481522195235542</v>
      </c>
      <c r="K6" s="102">
        <f>((H6-'Calibration F. prausnitzii'!$D$45)/'Calibration F. prausnitzii'!$D$44)+$C$27</f>
        <v>5.852880049240194</v>
      </c>
      <c r="L6" s="102">
        <f>((I6-'Calibration F. prausnitzii'!$D$45)/'Calibration F. prausnitzii'!$D$44)+$C$27</f>
        <v>6.2582687015662071</v>
      </c>
      <c r="M6" s="102">
        <f>((J6-'Calibration F. prausnitzii'!$D$45)/'Calibration F. prausnitzii'!$D$44)+$C$27</f>
        <v>5.9457818967570688</v>
      </c>
      <c r="N6" s="103">
        <f t="shared" si="1"/>
        <v>6.018976882521156</v>
      </c>
      <c r="O6" s="103">
        <f t="shared" si="2"/>
        <v>0.21237494982796121</v>
      </c>
      <c r="P6" s="104">
        <f>(AVERAGE(POWER(10,K6),POWER(10,L6),POWER(10,M6)))*Calculation!$I6/Calculation!$K5</f>
        <v>1135917.9426198248</v>
      </c>
      <c r="Q6" s="104">
        <f>(STDEV(POWER(10,K6),POWER(10,L6),POWER(10,M6))*Calculation!$I6/Calculation!$K5)</f>
        <v>592035.76263728261</v>
      </c>
      <c r="R6" s="103">
        <f t="shared" si="3"/>
        <v>6.055346959584007</v>
      </c>
      <c r="S6" s="103">
        <f>O6*Calculation!$I6/Calculation!$K5</f>
        <v>0.21237494982796121</v>
      </c>
    </row>
    <row r="7" spans="1:19">
      <c r="A7" s="40">
        <v>3</v>
      </c>
      <c r="B7" s="32">
        <v>80</v>
      </c>
      <c r="C7" s="32">
        <f>C6+B7</f>
        <v>280</v>
      </c>
      <c r="D7" s="13">
        <f t="shared" si="0"/>
        <v>4.666666666666667</v>
      </c>
      <c r="E7" s="97">
        <v>26.824251174926758</v>
      </c>
      <c r="F7" s="97">
        <v>29.021177291870117</v>
      </c>
      <c r="G7" s="102">
        <v>26.745407104492188</v>
      </c>
      <c r="H7" s="108">
        <f>E7-$H$59+$H$78</f>
        <v>26.512356393233588</v>
      </c>
      <c r="I7" s="108">
        <f>F7-$H$59+$H$78</f>
        <v>28.709282510176948</v>
      </c>
      <c r="J7" s="108">
        <f>G7-$H$59+$H$78</f>
        <v>26.433512322799018</v>
      </c>
      <c r="K7" s="102">
        <f>((H7-'Calibration F. prausnitzii'!$D$45)/'Calibration F. prausnitzii'!$D$44)+$C$27</f>
        <v>6.8598495019665489</v>
      </c>
      <c r="L7" s="102">
        <f>((I7-'Calibration F. prausnitzii'!$D$45)/'Calibration F. prausnitzii'!$D$44)+$C$27</f>
        <v>6.1835184620554067</v>
      </c>
      <c r="M7" s="102">
        <f>((J7-'Calibration F. prausnitzii'!$D$45)/'Calibration F. prausnitzii'!$D$44)+$C$27</f>
        <v>6.8841219122841206</v>
      </c>
      <c r="N7" s="103">
        <f t="shared" si="1"/>
        <v>6.642496625435359</v>
      </c>
      <c r="O7" s="103">
        <f t="shared" si="2"/>
        <v>0.39767197955146605</v>
      </c>
      <c r="P7" s="104">
        <f>(AVERAGE(POWER(10,K7),POWER(10,L7),POWER(10,M7)))*Calculation!$I7/Calculation!$K6</f>
        <v>5475279.4590141019</v>
      </c>
      <c r="Q7" s="104">
        <f>(STDEV(POWER(10,K7),POWER(10,L7),POWER(10,M7))*Calculation!$I7/Calculation!$K6)</f>
        <v>3426612.9518794869</v>
      </c>
      <c r="R7" s="103">
        <f t="shared" si="3"/>
        <v>6.7384062905277506</v>
      </c>
      <c r="S7" s="103">
        <f>O7*Calculation!$I7/Calculation!$K6</f>
        <v>0.39767197955146599</v>
      </c>
    </row>
    <row r="8" spans="1:19">
      <c r="A8" s="40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7">
        <v>26.704000473022461</v>
      </c>
      <c r="F8" s="97">
        <v>26.087985992431641</v>
      </c>
      <c r="G8" s="102">
        <v>25.296548843383789</v>
      </c>
      <c r="H8" s="108">
        <f>E8-$H$59+$H$78</f>
        <v>26.392105691329292</v>
      </c>
      <c r="I8" s="108">
        <f>F8-$H$59+$H$78</f>
        <v>25.776091210738471</v>
      </c>
      <c r="J8" s="108">
        <f>G8-$H$59+$H$78</f>
        <v>24.98465406169062</v>
      </c>
      <c r="K8" s="102">
        <f>((H8-'Calibration F. prausnitzii'!$D$45)/'Calibration F. prausnitzii'!$D$44)+$C$27</f>
        <v>6.8968690820251322</v>
      </c>
      <c r="L8" s="102">
        <f>((I8-'Calibration F. prausnitzii'!$D$45)/'Calibration F. prausnitzii'!$D$44)+$C$27</f>
        <v>7.0865111965437482</v>
      </c>
      <c r="M8" s="102">
        <f>((J8-'Calibration F. prausnitzii'!$D$45)/'Calibration F. prausnitzii'!$D$44)+$C$27</f>
        <v>7.3301577652251666</v>
      </c>
      <c r="N8" s="103">
        <f t="shared" si="1"/>
        <v>7.1045126812646826</v>
      </c>
      <c r="O8" s="103">
        <f t="shared" si="2"/>
        <v>0.21720453686887728</v>
      </c>
      <c r="P8" s="104">
        <f>(AVERAGE(POWER(10,K8),POWER(10,L8),POWER(10,M8)))*Calculation!$I8/Calculation!$K7</f>
        <v>13836377.162415793</v>
      </c>
      <c r="Q8" s="104">
        <f>(STDEV(POWER(10,K8),POWER(10,L8),POWER(10,M8))*Calculation!$I8/Calculation!$K7)</f>
        <v>6900326.6585475029</v>
      </c>
      <c r="R8" s="103">
        <f t="shared" si="3"/>
        <v>7.1410223918305755</v>
      </c>
      <c r="S8" s="103">
        <f>O8*Calculation!$I8/Calculation!$K7</f>
        <v>0.21736826710924279</v>
      </c>
    </row>
    <row r="9" spans="1:19">
      <c r="A9" s="40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7">
        <v>26.052457809448242</v>
      </c>
      <c r="F9" s="97">
        <v>26.48784065246582</v>
      </c>
      <c r="G9" s="102">
        <v>25.67010498046875</v>
      </c>
      <c r="H9" s="108">
        <f>E9-$H$59+$H$78</f>
        <v>25.740563027755073</v>
      </c>
      <c r="I9" s="108">
        <f>F9-$H$59+$H$78</f>
        <v>26.175945870772651</v>
      </c>
      <c r="J9" s="108">
        <f>G9-$H$59+$H$78</f>
        <v>25.358210198775581</v>
      </c>
      <c r="K9" s="102">
        <f>((H9-'Calibration F. prausnitzii'!$D$45)/'Calibration F. prausnitzii'!$D$44)+$C$27</f>
        <v>7.0974486662920464</v>
      </c>
      <c r="L9" s="102">
        <f>((I9-'Calibration F. prausnitzii'!$D$45)/'Calibration F. prausnitzii'!$D$44)+$C$27</f>
        <v>6.9634146044696843</v>
      </c>
      <c r="M9" s="102">
        <f>((J9-'Calibration F. prausnitzii'!$D$45)/'Calibration F. prausnitzii'!$D$44)+$C$27</f>
        <v>7.2151572612430952</v>
      </c>
      <c r="N9" s="103">
        <f t="shared" si="1"/>
        <v>7.0920068440016086</v>
      </c>
      <c r="O9" s="103">
        <f t="shared" si="2"/>
        <v>0.12595952279289713</v>
      </c>
      <c r="P9" s="104">
        <f>(AVERAGE(POWER(10,K9),POWER(10,L9),POWER(10,M9)))*Calculation!$I9/Calculation!$K8</f>
        <v>12716061.544162748</v>
      </c>
      <c r="Q9" s="104">
        <f>(STDEV(POWER(10,K9),POWER(10,L9),POWER(10,M9))*Calculation!$I9/Calculation!$K8)</f>
        <v>3616381.726511023</v>
      </c>
      <c r="R9" s="103">
        <f t="shared" si="3"/>
        <v>7.1043526211793191</v>
      </c>
      <c r="S9" s="103">
        <f>O9*Calculation!$I9/Calculation!$K8</f>
        <v>0.12605447192812469</v>
      </c>
    </row>
    <row r="10" spans="1:19">
      <c r="A10" s="40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7">
        <v>21.859283447265625</v>
      </c>
      <c r="F10" s="97">
        <v>21.60093879699707</v>
      </c>
      <c r="G10" s="102">
        <v>21.329143524169922</v>
      </c>
      <c r="H10" s="108">
        <f>E10-$H$59+$H$78</f>
        <v>21.547388665572456</v>
      </c>
      <c r="I10" s="108">
        <f>F10-$H$59+$H$78</f>
        <v>21.289044015303901</v>
      </c>
      <c r="J10" s="108">
        <f>G10-$H$59+$H$78</f>
        <v>21.017248742476752</v>
      </c>
      <c r="K10" s="102">
        <f>((H10-'Calibration F. prausnitzii'!$D$45)/'Calibration F. prausnitzii'!$D$44)+$B$27</f>
        <v>8.1095777923603105</v>
      </c>
      <c r="L10" s="102">
        <f>((I10-'Calibration F. prausnitzii'!$D$45)/'Calibration F. prausnitzii'!$D$44)+$B$27</f>
        <v>8.1891100554728791</v>
      </c>
      <c r="M10" s="102">
        <f>((J10-'Calibration F. prausnitzii'!$D$45)/'Calibration F. prausnitzii'!$D$44)+$B$27</f>
        <v>8.2727831376472913</v>
      </c>
      <c r="N10" s="103">
        <f t="shared" si="1"/>
        <v>8.1904903284934942</v>
      </c>
      <c r="O10" s="103">
        <f t="shared" si="2"/>
        <v>8.1611427188655605E-2</v>
      </c>
      <c r="P10" s="104">
        <f>(AVERAGE(POWER(10,K10),POWER(10,L10),POWER(10,M10)))*Calculation!$I10/Calculation!$K9</f>
        <v>157391413.67251128</v>
      </c>
      <c r="Q10" s="104">
        <f>(STDEV(POWER(10,K10),POWER(10,L10),POWER(10,M10))*Calculation!$I10/Calculation!$K9)</f>
        <v>29516058.995377637</v>
      </c>
      <c r="R10" s="103">
        <f t="shared" si="3"/>
        <v>8.1969810361783058</v>
      </c>
      <c r="S10" s="103">
        <f>O10*Calculation!$I10/Calculation!$K9</f>
        <v>8.1872213541903313E-2</v>
      </c>
    </row>
    <row r="11" spans="1:19">
      <c r="A11" s="40">
        <v>7</v>
      </c>
      <c r="B11" s="32">
        <v>80</v>
      </c>
      <c r="C11" s="32">
        <f t="shared" si="4"/>
        <v>600</v>
      </c>
      <c r="D11" s="13">
        <f t="shared" si="0"/>
        <v>10</v>
      </c>
      <c r="E11" s="97">
        <v>20.514106750488281</v>
      </c>
      <c r="F11" s="97">
        <v>20.808710098266602</v>
      </c>
      <c r="G11" s="102">
        <v>20.819328308105469</v>
      </c>
      <c r="H11" s="108">
        <f>E11-$H$59+$H$78</f>
        <v>20.202211968795112</v>
      </c>
      <c r="I11" s="108">
        <f>F11-$H$59+$H$78</f>
        <v>20.496815316573432</v>
      </c>
      <c r="J11" s="108">
        <f>G11-$H$59+$H$78</f>
        <v>20.507433526412299</v>
      </c>
      <c r="K11" s="102">
        <f>((H11-'Calibration F. prausnitzii'!$D$45)/'Calibration F. prausnitzii'!$D$44)+$B$27</f>
        <v>8.5236949295635682</v>
      </c>
      <c r="L11" s="102">
        <f>((I11-'Calibration F. prausnitzii'!$D$45)/'Calibration F. prausnitzii'!$D$44)+$B$27</f>
        <v>8.4330003053668126</v>
      </c>
      <c r="M11" s="102">
        <f>((J11-'Calibration F. prausnitzii'!$D$45)/'Calibration F. prausnitzii'!$D$44)+$B$27</f>
        <v>8.4297314540172259</v>
      </c>
      <c r="N11" s="103">
        <f t="shared" si="1"/>
        <v>8.462142229649201</v>
      </c>
      <c r="O11" s="103">
        <f t="shared" si="2"/>
        <v>5.3331252538707713E-2</v>
      </c>
      <c r="P11" s="104">
        <f>(AVERAGE(POWER(10,K11),POWER(10,L11),POWER(10,M11)))*Calculation!$I11/Calculation!$K10</f>
        <v>293244208.27711236</v>
      </c>
      <c r="Q11" s="104">
        <f>(STDEV(POWER(10,K11),POWER(10,L11),POWER(10,M11))*Calculation!$I11/Calculation!$K10)</f>
        <v>37183351.317708164</v>
      </c>
      <c r="R11" s="103">
        <f t="shared" si="3"/>
        <v>8.4672294433344373</v>
      </c>
      <c r="S11" s="103">
        <f>O11*Calculation!$I11/Calculation!$K10</f>
        <v>5.3683093715053434E-2</v>
      </c>
    </row>
    <row r="12" spans="1:19">
      <c r="A12" s="40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7">
        <v>18.601299285888672</v>
      </c>
      <c r="F12" s="97">
        <v>19.22370719909668</v>
      </c>
      <c r="G12" s="102">
        <v>19.035181045532227</v>
      </c>
      <c r="H12" s="108">
        <f>E12-$H$59+$H$78</f>
        <v>18.289404504195502</v>
      </c>
      <c r="I12" s="108">
        <f>F12-$H$59+$H$78</f>
        <v>18.91181241740351</v>
      </c>
      <c r="J12" s="108">
        <f>G12-$H$59+$H$78</f>
        <v>18.723286263839057</v>
      </c>
      <c r="K12" s="102">
        <f>((H12-'Calibration F. prausnitzii'!$D$45)/'Calibration F. prausnitzii'!$D$44)+$B$27</f>
        <v>9.1125590937724184</v>
      </c>
      <c r="L12" s="102">
        <f>((I12-'Calibration F. prausnitzii'!$D$45)/'Calibration F. prausnitzii'!$D$44)+$B$27</f>
        <v>8.9209487396770442</v>
      </c>
      <c r="M12" s="102">
        <f>((J12-'Calibration F. prausnitzii'!$D$45)/'Calibration F. prausnitzii'!$D$44)+$B$27</f>
        <v>8.9789871454783725</v>
      </c>
      <c r="N12" s="103">
        <f t="shared" si="1"/>
        <v>9.0041649929759444</v>
      </c>
      <c r="O12" s="103">
        <f t="shared" si="2"/>
        <v>9.8255152295423837E-2</v>
      </c>
      <c r="P12" s="104">
        <f>(AVERAGE(POWER(10,K12),POWER(10,L12),POWER(10,M12)))*Calculation!$I12/Calculation!$K11</f>
        <v>1040551903.7622977</v>
      </c>
      <c r="Q12" s="104">
        <f>(STDEV(POWER(10,K12),POWER(10,L12),POWER(10,M12))*Calculation!$I12/Calculation!$K11)</f>
        <v>243079040.45041436</v>
      </c>
      <c r="R12" s="103">
        <f t="shared" si="3"/>
        <v>9.0172637481279914</v>
      </c>
      <c r="S12" s="103">
        <f>O12*Calculation!$I12/Calculation!$K11</f>
        <v>9.9512487048826273E-2</v>
      </c>
    </row>
    <row r="13" spans="1:19">
      <c r="A13" s="40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7">
        <v>18.486795425415039</v>
      </c>
      <c r="F13" s="97">
        <v>18.719427108764648</v>
      </c>
      <c r="G13" s="102">
        <v>18.422725677490234</v>
      </c>
      <c r="H13" s="108">
        <f>E13-$H$59+$H$78</f>
        <v>18.17490064372187</v>
      </c>
      <c r="I13" s="108">
        <f>F13-$H$59+$H$78</f>
        <v>18.407532327071479</v>
      </c>
      <c r="J13" s="108">
        <f>G13-$H$59+$H$78</f>
        <v>18.110830895797065</v>
      </c>
      <c r="K13" s="102">
        <f>((H13-'Calibration F. prausnitzii'!$D$45)/'Calibration F. prausnitzii'!$D$44)+$B$27</f>
        <v>9.1478094895097684</v>
      </c>
      <c r="L13" s="102">
        <f>((I13-'Calibration F. prausnitzii'!$D$45)/'Calibration F. prausnitzii'!$D$44)+$B$27</f>
        <v>9.0761930491102962</v>
      </c>
      <c r="M13" s="102">
        <f>((J13-'Calibration F. prausnitzii'!$D$45)/'Calibration F. prausnitzii'!$D$44)+$B$27</f>
        <v>9.1675335753161313</v>
      </c>
      <c r="N13" s="103">
        <f t="shared" si="1"/>
        <v>9.1305120379787308</v>
      </c>
      <c r="O13" s="103">
        <f t="shared" si="2"/>
        <v>4.8064272635619139E-2</v>
      </c>
      <c r="P13" s="104">
        <f>(AVERAGE(POWER(10,K13),POWER(10,L13),POWER(10,M13)))*Calculation!$I13/Calculation!$K12</f>
        <v>1383385663.4752376</v>
      </c>
      <c r="Q13" s="104">
        <f>(STDEV(POWER(10,K13),POWER(10,L13),POWER(10,M13))*Calculation!$I13/Calculation!$K12)</f>
        <v>148856317.23774922</v>
      </c>
      <c r="R13" s="103">
        <f t="shared" si="3"/>
        <v>9.1409432706155727</v>
      </c>
      <c r="S13" s="103">
        <f>O13*Calculation!$I13/Calculation!$K12</f>
        <v>4.9035762623706063E-2</v>
      </c>
    </row>
    <row r="14" spans="1:19">
      <c r="A14" s="40">
        <v>10</v>
      </c>
      <c r="B14" s="32">
        <v>80</v>
      </c>
      <c r="C14" s="32">
        <f t="shared" si="4"/>
        <v>840</v>
      </c>
      <c r="D14" s="13">
        <f t="shared" si="0"/>
        <v>14</v>
      </c>
      <c r="E14" s="97">
        <v>17.954170227050781</v>
      </c>
      <c r="F14" s="97">
        <v>18.253799438476562</v>
      </c>
      <c r="G14" s="102">
        <v>18.091299057006836</v>
      </c>
      <c r="H14" s="108">
        <f>E14-$H$59+$H$78</f>
        <v>17.642275445357612</v>
      </c>
      <c r="I14" s="108">
        <f>F14-$H$59+$H$78</f>
        <v>17.941904656783393</v>
      </c>
      <c r="J14" s="108">
        <f>G14-$H$59+$H$78</f>
        <v>17.779404275313667</v>
      </c>
      <c r="K14" s="102">
        <f>((H14-'Calibration F. prausnitzii'!$D$45)/'Calibration F. prausnitzii'!$D$44)+$B$27</f>
        <v>9.3117799350856885</v>
      </c>
      <c r="L14" s="102">
        <f>((I14-'Calibration F. prausnitzii'!$D$45)/'Calibration F. prausnitzii'!$D$44)+$B$27</f>
        <v>9.2195380819853643</v>
      </c>
      <c r="M14" s="102">
        <f>((J14-'Calibration F. prausnitzii'!$D$45)/'Calibration F. prausnitzii'!$D$44)+$B$27</f>
        <v>9.2695643669558798</v>
      </c>
      <c r="N14" s="103">
        <f t="shared" si="1"/>
        <v>9.2669607946756436</v>
      </c>
      <c r="O14" s="103">
        <f t="shared" si="2"/>
        <v>4.6176009001528649E-2</v>
      </c>
      <c r="P14" s="104">
        <f>(AVERAGE(POWER(10,K14),POWER(10,L14),POWER(10,M14)))*Calculation!$I14/Calculation!$K13</f>
        <v>1913415474.2132268</v>
      </c>
      <c r="Q14" s="104">
        <f>(STDEV(POWER(10,K14),POWER(10,L14),POWER(10,M14))*Calculation!$I14/Calculation!$K13)</f>
        <v>202246263.97156063</v>
      </c>
      <c r="R14" s="103">
        <f t="shared" si="3"/>
        <v>9.2818092818761286</v>
      </c>
      <c r="S14" s="103">
        <f>O14*Calculation!$I14/Calculation!$K13</f>
        <v>4.760304724480962E-2</v>
      </c>
    </row>
    <row r="15" spans="1:19">
      <c r="A15" s="40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7">
        <v>17.545005798339844</v>
      </c>
      <c r="F15" s="97">
        <v>17.601591110229492</v>
      </c>
      <c r="G15" s="102">
        <v>17.527524948120117</v>
      </c>
      <c r="H15" s="108">
        <f>E15-$H$59+$H$78</f>
        <v>17.233111016646674</v>
      </c>
      <c r="I15" s="108">
        <f>F15-$H$59+$H$78</f>
        <v>17.289696328536323</v>
      </c>
      <c r="J15" s="108">
        <f>G15-$H$59+$H$78</f>
        <v>17.215630166426948</v>
      </c>
      <c r="K15" s="102">
        <f>((H15-'Calibration F. prausnitzii'!$D$45)/'Calibration F. prausnitzii'!$D$44)+$B$27</f>
        <v>9.4377425705291316</v>
      </c>
      <c r="L15" s="102">
        <f>((I15-'Calibration F. prausnitzii'!$D$45)/'Calibration F. prausnitzii'!$D$44)+$B$27</f>
        <v>9.4203225933442507</v>
      </c>
      <c r="M15" s="102">
        <f>((J15-'Calibration F. prausnitzii'!$D$45)/'Calibration F. prausnitzii'!$D$44)+$B$27</f>
        <v>9.4431241086320554</v>
      </c>
      <c r="N15" s="103">
        <f t="shared" si="1"/>
        <v>9.4337297575018138</v>
      </c>
      <c r="O15" s="103">
        <f t="shared" si="2"/>
        <v>1.191865244686512E-2</v>
      </c>
      <c r="P15" s="104">
        <f>(AVERAGE(POWER(10,K15),POWER(10,L15),POWER(10,M15)))*Calculation!$I15/Calculation!$K14</f>
        <v>2826937381.4592729</v>
      </c>
      <c r="Q15" s="104">
        <f>(STDEV(POWER(10,K15),POWER(10,L15),POWER(10,M15))*Calculation!$I15/Calculation!$K14)</f>
        <v>77096353.772690609</v>
      </c>
      <c r="R15" s="103">
        <f t="shared" si="3"/>
        <v>9.4513161886848174</v>
      </c>
      <c r="S15" s="103">
        <f>O15*Calculation!$I15/Calculation!$K14</f>
        <v>1.240809213458951E-2</v>
      </c>
    </row>
    <row r="16" spans="1:19">
      <c r="A16" s="40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7">
        <v>17.210111618041992</v>
      </c>
      <c r="F16" s="97">
        <v>17.238491058349609</v>
      </c>
      <c r="G16" s="102">
        <v>17.264518737792969</v>
      </c>
      <c r="H16" s="108">
        <f>E16-$H$59+$H$78</f>
        <v>16.898216836348823</v>
      </c>
      <c r="I16" s="108">
        <f>F16-$H$59+$H$78</f>
        <v>16.92659627665644</v>
      </c>
      <c r="J16" s="108">
        <f>G16-$H$59+$H$78</f>
        <v>16.952623956099799</v>
      </c>
      <c r="K16" s="102">
        <f>((H16-'Calibration F. prausnitzii'!$D$45)/'Calibration F. prausnitzii'!$D$44)+$B$27</f>
        <v>9.5408408620347966</v>
      </c>
      <c r="L16" s="102">
        <f>((I16-'Calibration F. prausnitzii'!$D$45)/'Calibration F. prausnitzii'!$D$44)+$B$27</f>
        <v>9.5321041565865254</v>
      </c>
      <c r="M16" s="102">
        <f>((J16-'Calibration F. prausnitzii'!$D$45)/'Calibration F. prausnitzii'!$D$44)+$B$27</f>
        <v>9.5240914485720687</v>
      </c>
      <c r="N16" s="103">
        <f t="shared" si="1"/>
        <v>9.532345489064463</v>
      </c>
      <c r="O16" s="103">
        <f t="shared" si="2"/>
        <v>8.3773142390645688E-3</v>
      </c>
      <c r="P16" s="104">
        <f>(AVERAGE(POWER(10,K16),POWER(10,L16),POWER(10,M16)))*Calculation!$I16/Calculation!$K15</f>
        <v>3579853553.6865983</v>
      </c>
      <c r="Q16" s="104">
        <f>(STDEV(POWER(10,K16),POWER(10,L16),POWER(10,M16))*Calculation!$I16/Calculation!$K15)</f>
        <v>69079042.443241537</v>
      </c>
      <c r="R16" s="103">
        <f t="shared" si="3"/>
        <v>9.5538652606866972</v>
      </c>
      <c r="S16" s="103">
        <f>O16*Calculation!$I16/Calculation!$K15</f>
        <v>8.8017838692241446E-3</v>
      </c>
    </row>
    <row r="17" spans="1:19">
      <c r="A17" s="40">
        <v>13</v>
      </c>
      <c r="B17" s="32">
        <v>80</v>
      </c>
      <c r="C17" s="32">
        <f t="shared" si="4"/>
        <v>1080</v>
      </c>
      <c r="D17" s="13">
        <f t="shared" si="0"/>
        <v>18</v>
      </c>
      <c r="E17" s="97">
        <v>17.044689178466797</v>
      </c>
      <c r="F17" s="97">
        <v>17.15894889831543</v>
      </c>
      <c r="G17" s="102">
        <v>17.480161666870117</v>
      </c>
      <c r="H17" s="108">
        <f>E17-$H$59+$H$78</f>
        <v>16.732794396773627</v>
      </c>
      <c r="I17" s="108">
        <f>F17-$H$59+$H$78</f>
        <v>16.84705411662226</v>
      </c>
      <c r="J17" s="108">
        <f>G17-$H$59+$H$78</f>
        <v>17.168266885176948</v>
      </c>
      <c r="K17" s="102">
        <f>((H17-'Calibration F. prausnitzii'!$D$45)/'Calibration F. prausnitzii'!$D$44)+$B$27</f>
        <v>9.5917667123488677</v>
      </c>
      <c r="L17" s="102">
        <f>((I17-'Calibration F. prausnitzii'!$D$45)/'Calibration F. prausnitzii'!$D$44)+$B$27</f>
        <v>9.5565914761180277</v>
      </c>
      <c r="M17" s="102">
        <f>((J17-'Calibration F. prausnitzii'!$D$45)/'Calibration F. prausnitzii'!$D$44)+$B$27</f>
        <v>9.4577050528952071</v>
      </c>
      <c r="N17" s="103">
        <f t="shared" si="1"/>
        <v>9.5353544137873669</v>
      </c>
      <c r="O17" s="103">
        <f t="shared" si="2"/>
        <v>6.9508213516062789E-2</v>
      </c>
      <c r="P17" s="104">
        <f>(AVERAGE(POWER(10,K17),POWER(10,L17),POWER(10,M17)))*Calculation!$I17/Calculation!$K16</f>
        <v>3657685461.9137731</v>
      </c>
      <c r="Q17" s="104">
        <f>(STDEV(POWER(10,K17),POWER(10,L17),POWER(10,M17))*Calculation!$I17/Calculation!$K16)</f>
        <v>563967863.6885165</v>
      </c>
      <c r="R17" s="103">
        <f t="shared" si="3"/>
        <v>9.5632063561353426</v>
      </c>
      <c r="S17" s="103">
        <f>O17*Calculation!$I17/Calculation!$K16</f>
        <v>7.3496966006028105E-2</v>
      </c>
    </row>
    <row r="18" spans="1:19">
      <c r="A18" s="40">
        <v>14</v>
      </c>
      <c r="B18" s="32">
        <v>360</v>
      </c>
      <c r="C18" s="32">
        <f t="shared" si="4"/>
        <v>1440</v>
      </c>
      <c r="D18" s="13">
        <f t="shared" si="0"/>
        <v>24</v>
      </c>
      <c r="E18" s="97">
        <v>17.660270690917969</v>
      </c>
      <c r="F18" s="97">
        <v>17.68828010559082</v>
      </c>
      <c r="G18" s="102">
        <v>17.842632293701172</v>
      </c>
      <c r="H18" s="108">
        <f>E18-$H$59+$H$78</f>
        <v>17.348375909224799</v>
      </c>
      <c r="I18" s="108">
        <f>F18-$H$59+$H$78</f>
        <v>17.376385323897651</v>
      </c>
      <c r="J18" s="108">
        <f>G18-$H$59+$H$78</f>
        <v>17.530737512008002</v>
      </c>
      <c r="K18" s="102">
        <f>((H18-'Calibration F. prausnitzii'!$D$45)/'Calibration F. prausnitzii'!$D$44)+$B$27</f>
        <v>9.40225788851758</v>
      </c>
      <c r="L18" s="102">
        <f>((I18-'Calibration F. prausnitzii'!$D$45)/'Calibration F. prausnitzii'!$D$44)+$B$27</f>
        <v>9.3936350966963644</v>
      </c>
      <c r="M18" s="102">
        <f>((J18-'Calibration F. prausnitzii'!$D$45)/'Calibration F. prausnitzii'!$D$44)+$B$27</f>
        <v>9.3461172602556566</v>
      </c>
      <c r="N18" s="103">
        <f t="shared" si="1"/>
        <v>9.3806700818232009</v>
      </c>
      <c r="O18" s="103">
        <f t="shared" si="2"/>
        <v>3.0232618864512777E-2</v>
      </c>
      <c r="P18" s="104">
        <f>(AVERAGE(POWER(10,K18),POWER(10,L18),POWER(10,M18)))*Calculation!$I18/Calculation!$K17</f>
        <v>2555852352.5541763</v>
      </c>
      <c r="Q18" s="104">
        <f>(STDEV(POWER(10,K18),POWER(10,L18),POWER(10,M18))*Calculation!$I18/Calculation!$K17)</f>
        <v>174539273.9744975</v>
      </c>
      <c r="R18" s="103">
        <f t="shared" si="3"/>
        <v>9.4075357617230306</v>
      </c>
      <c r="S18" s="103">
        <f>O18*Calculation!$I18/Calculation!$K17</f>
        <v>3.2110623457777238E-2</v>
      </c>
    </row>
    <row r="19" spans="1:19">
      <c r="A19" s="40">
        <v>15</v>
      </c>
      <c r="B19" s="32">
        <v>360</v>
      </c>
      <c r="C19" s="32">
        <f>C18+B19</f>
        <v>1800</v>
      </c>
      <c r="D19" s="13">
        <f t="shared" si="0"/>
        <v>30</v>
      </c>
      <c r="E19" s="97">
        <v>17.680202484130859</v>
      </c>
      <c r="F19" s="97">
        <v>17.809932708740234</v>
      </c>
      <c r="G19" s="102">
        <v>17.769718170166016</v>
      </c>
      <c r="H19" s="108">
        <f>E19-$H$59+$H$78</f>
        <v>17.36830770243769</v>
      </c>
      <c r="I19" s="108">
        <f>F19-$H$59+$H$78</f>
        <v>17.498037927047065</v>
      </c>
      <c r="J19" s="108">
        <f>G19-$H$59+$H$78</f>
        <v>17.457823388472846</v>
      </c>
      <c r="K19" s="102">
        <f>((H19-'Calibration F. prausnitzii'!$D$45)/'Calibration F. prausnitzii'!$D$44)+$B$27</f>
        <v>9.3961218194313219</v>
      </c>
      <c r="L19" s="102">
        <f>((I19-'Calibration F. prausnitzii'!$D$45)/'Calibration F. prausnitzii'!$D$44)+$B$27</f>
        <v>9.3561839366589865</v>
      </c>
      <c r="M19" s="102">
        <f>((J19-'Calibration F. prausnitzii'!$D$45)/'Calibration F. prausnitzii'!$D$44)+$B$27</f>
        <v>9.3685641166221121</v>
      </c>
      <c r="N19" s="103">
        <f t="shared" si="1"/>
        <v>9.3736232909041401</v>
      </c>
      <c r="O19" s="103">
        <f t="shared" si="2"/>
        <v>2.0443949065582966E-2</v>
      </c>
      <c r="P19" s="104">
        <f>(AVERAGE(POWER(10,K19),POWER(10,L19),POWER(10,M19)))*Calculation!$I19/Calculation!$K18</f>
        <v>2515594704.5880594</v>
      </c>
      <c r="Q19" s="104">
        <f>(STDEV(POWER(10,K19),POWER(10,L19),POWER(10,M19))*Calculation!$I19/Calculation!$K18)</f>
        <v>119352463.72004104</v>
      </c>
      <c r="R19" s="103">
        <f t="shared" si="3"/>
        <v>9.4006406718528979</v>
      </c>
      <c r="S19" s="103">
        <f>O19*Calculation!$I19/Calculation!$K18</f>
        <v>2.1740007270961412E-2</v>
      </c>
    </row>
    <row r="20" spans="1:19">
      <c r="A20" s="40">
        <v>16</v>
      </c>
      <c r="B20" s="32">
        <v>1080</v>
      </c>
      <c r="C20" s="32">
        <f>C19+B20</f>
        <v>2880</v>
      </c>
      <c r="D20" s="13">
        <f t="shared" si="0"/>
        <v>48</v>
      </c>
      <c r="E20" s="97">
        <v>18.341300964355469</v>
      </c>
      <c r="F20" s="97">
        <v>18.284618377685547</v>
      </c>
      <c r="G20" s="102">
        <v>18.300394058227539</v>
      </c>
      <c r="H20" s="108">
        <f>E20-$H$59+$H$78</f>
        <v>18.029406182662299</v>
      </c>
      <c r="I20" s="108">
        <f>F20-$H$59+$H$78</f>
        <v>17.972723595992377</v>
      </c>
      <c r="J20" s="108">
        <f>G20-$H$59+$H$78</f>
        <v>17.98849927653437</v>
      </c>
      <c r="K20" s="102">
        <f>((H20-'Calibration F. prausnitzii'!$D$45)/'Calibration F. prausnitzii'!$D$44)+$B$27</f>
        <v>9.1926004451048708</v>
      </c>
      <c r="L20" s="102">
        <f>((I20-'Calibration F. prausnitzii'!$D$45)/'Calibration F. prausnitzii'!$D$44)+$B$27</f>
        <v>9.2100503686556277</v>
      </c>
      <c r="M20" s="102">
        <f>((J20-'Calibration F. prausnitzii'!$D$45)/'Calibration F. prausnitzii'!$D$44)+$B$27</f>
        <v>9.2051937727309916</v>
      </c>
      <c r="N20" s="103">
        <f t="shared" si="1"/>
        <v>9.2026148621638288</v>
      </c>
      <c r="O20" s="103">
        <f t="shared" si="2"/>
        <v>9.0062779641135581E-3</v>
      </c>
      <c r="P20" s="104">
        <f>(AVERAGE(POWER(10,K20),POWER(10,L20),POWER(10,M20)))*Calculation!$I20/Calculation!$K19</f>
        <v>1695789108.2744908</v>
      </c>
      <c r="Q20" s="104">
        <f>(STDEV(POWER(10,K20),POWER(10,L20),POWER(10,M20))*Calculation!$I20/Calculation!$K19)</f>
        <v>35020867.225368939</v>
      </c>
      <c r="R20" s="103">
        <f t="shared" si="3"/>
        <v>9.2293718415483283</v>
      </c>
      <c r="S20" s="103">
        <f>O20*Calculation!$I20/Calculation!$K19</f>
        <v>9.5772371470905469E-3</v>
      </c>
    </row>
    <row r="21" spans="1:19">
      <c r="A21" s="10"/>
      <c r="B21" s="10"/>
      <c r="C21" s="10"/>
      <c r="D21" s="106"/>
      <c r="E21" s="113"/>
      <c r="F21" s="113"/>
      <c r="G21" s="114"/>
      <c r="H21" s="110"/>
      <c r="I21" s="110"/>
      <c r="J21" s="110"/>
      <c r="K21" s="114"/>
      <c r="L21" s="114"/>
      <c r="M21" s="114"/>
      <c r="N21" s="115"/>
      <c r="O21" s="115"/>
      <c r="P21" s="116"/>
      <c r="Q21" s="116"/>
      <c r="R21" s="115"/>
      <c r="S21" s="115"/>
    </row>
    <row r="22" spans="1:19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</row>
    <row r="23" spans="1:19"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</row>
    <row r="24" spans="1:19"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1:19"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1:19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>
      <c r="A27" s="100" t="s">
        <v>236</v>
      </c>
      <c r="B27" s="107">
        <f>LOG(B28)</f>
        <v>3.6532125137753435</v>
      </c>
      <c r="C27" s="107">
        <f>LOG(C28)</f>
        <v>3.9319661147281728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19">
      <c r="A28" s="83" t="s">
        <v>237</v>
      </c>
      <c r="B28" s="83">
        <f>20*1800/4/2</f>
        <v>4500</v>
      </c>
      <c r="C28" s="83">
        <f>2*19*1800/4/2</f>
        <v>8550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1:19">
      <c r="A30" s="59" t="s">
        <v>268</v>
      </c>
      <c r="B30" s="59"/>
      <c r="C30" s="59"/>
      <c r="D30" s="59"/>
      <c r="E30" s="109">
        <v>14.4</v>
      </c>
      <c r="F30" s="108">
        <v>14.4</v>
      </c>
      <c r="G30" s="108">
        <v>14.3</v>
      </c>
      <c r="H30" s="108">
        <v>14.4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</row>
    <row r="31" spans="1:19">
      <c r="A31" s="59" t="s">
        <v>269</v>
      </c>
      <c r="B31" s="59"/>
      <c r="C31" s="59"/>
      <c r="D31" s="59"/>
      <c r="E31" s="123">
        <v>14</v>
      </c>
      <c r="F31" s="124">
        <v>13.8</v>
      </c>
      <c r="G31" s="124">
        <v>14.1</v>
      </c>
      <c r="H31" s="124">
        <v>14</v>
      </c>
    </row>
    <row r="32" spans="1:19">
      <c r="A32" s="59" t="s">
        <v>270</v>
      </c>
      <c r="B32" s="59"/>
      <c r="C32" s="59"/>
      <c r="D32" s="59"/>
      <c r="E32" s="123">
        <v>14.1</v>
      </c>
      <c r="F32" s="124">
        <v>14.1</v>
      </c>
      <c r="G32" s="124">
        <v>14.1</v>
      </c>
      <c r="H32" s="124">
        <v>14.1</v>
      </c>
    </row>
    <row r="33" spans="1:8">
      <c r="A33" s="59" t="s">
        <v>271</v>
      </c>
      <c r="B33" s="59"/>
      <c r="C33" s="59"/>
      <c r="D33" s="59"/>
      <c r="E33" s="123">
        <v>13.8</v>
      </c>
      <c r="F33" s="124">
        <v>14</v>
      </c>
      <c r="G33" s="124">
        <v>14</v>
      </c>
      <c r="H33" s="124">
        <v>13.9</v>
      </c>
    </row>
    <row r="34" spans="1:8">
      <c r="A34" s="59" t="s">
        <v>272</v>
      </c>
      <c r="B34" s="59"/>
      <c r="C34" s="59"/>
      <c r="D34" s="59"/>
      <c r="E34" s="123">
        <v>11.6</v>
      </c>
      <c r="F34" s="124">
        <v>11.5</v>
      </c>
      <c r="G34" s="124">
        <v>11.5</v>
      </c>
      <c r="H34" s="124">
        <v>11.5</v>
      </c>
    </row>
    <row r="35" spans="1:8">
      <c r="A35" s="59" t="s">
        <v>273</v>
      </c>
      <c r="B35" s="59"/>
      <c r="C35" s="59"/>
      <c r="D35" s="59"/>
      <c r="E35" s="123">
        <v>14.5</v>
      </c>
      <c r="F35" s="124">
        <v>14.8</v>
      </c>
      <c r="G35" s="124">
        <v>14.7</v>
      </c>
      <c r="H35" s="124">
        <v>14.7</v>
      </c>
    </row>
    <row r="36" spans="1:8">
      <c r="A36" s="59" t="s">
        <v>274</v>
      </c>
      <c r="B36" s="59"/>
      <c r="C36" s="59"/>
      <c r="D36" s="59"/>
      <c r="E36" s="123">
        <v>14.3</v>
      </c>
      <c r="F36" s="124">
        <v>14.8</v>
      </c>
      <c r="G36" s="124">
        <v>14.7</v>
      </c>
      <c r="H36" s="124">
        <v>14.6</v>
      </c>
    </row>
    <row r="37" spans="1:8">
      <c r="A37" s="59" t="s">
        <v>275</v>
      </c>
      <c r="B37" s="59"/>
      <c r="C37" s="59"/>
      <c r="D37" s="59"/>
      <c r="E37" s="123">
        <v>13.1</v>
      </c>
      <c r="F37" s="124">
        <v>13.3</v>
      </c>
      <c r="G37" s="124">
        <v>14.5</v>
      </c>
      <c r="H37" s="124">
        <v>13.6</v>
      </c>
    </row>
    <row r="38" spans="1:8">
      <c r="A38" s="59" t="s">
        <v>276</v>
      </c>
      <c r="B38" s="59"/>
      <c r="C38" s="59"/>
      <c r="D38" s="59"/>
      <c r="E38" s="123">
        <v>14.8</v>
      </c>
      <c r="F38" s="124">
        <v>15</v>
      </c>
      <c r="G38" s="124">
        <v>15</v>
      </c>
      <c r="H38" s="124">
        <v>14.9</v>
      </c>
    </row>
    <row r="39" spans="1:8">
      <c r="A39" s="59" t="s">
        <v>276</v>
      </c>
      <c r="B39" s="59"/>
      <c r="C39" s="59"/>
      <c r="D39" s="59"/>
      <c r="E39" s="123">
        <v>13.9</v>
      </c>
      <c r="F39" s="124">
        <v>14.3</v>
      </c>
      <c r="G39" s="124">
        <v>14</v>
      </c>
      <c r="H39" s="124">
        <v>14</v>
      </c>
    </row>
    <row r="40" spans="1:8">
      <c r="A40" s="59" t="s">
        <v>277</v>
      </c>
      <c r="B40" s="59"/>
      <c r="C40" s="59"/>
      <c r="D40" s="59"/>
      <c r="E40" s="123">
        <v>14</v>
      </c>
      <c r="F40" s="124">
        <v>14.3</v>
      </c>
      <c r="G40" s="124">
        <v>14.5</v>
      </c>
      <c r="H40" s="124">
        <v>14.3</v>
      </c>
    </row>
    <row r="41" spans="1:8">
      <c r="A41" s="59" t="s">
        <v>277</v>
      </c>
      <c r="B41" s="59"/>
      <c r="C41" s="59"/>
      <c r="D41" s="59"/>
      <c r="E41" s="123">
        <v>14.8</v>
      </c>
      <c r="F41" s="124">
        <v>14.8</v>
      </c>
      <c r="G41" s="124">
        <v>14.8</v>
      </c>
      <c r="H41" s="124">
        <v>14.8</v>
      </c>
    </row>
    <row r="42" spans="1:8">
      <c r="A42" s="59" t="s">
        <v>278</v>
      </c>
      <c r="B42" s="59"/>
      <c r="C42" s="59"/>
      <c r="D42" s="59"/>
      <c r="E42" s="123">
        <v>15.4</v>
      </c>
      <c r="F42" s="124">
        <v>15.4</v>
      </c>
      <c r="G42" s="124">
        <v>15.4</v>
      </c>
      <c r="H42" s="124">
        <v>15.4</v>
      </c>
    </row>
    <row r="43" spans="1:8">
      <c r="A43" s="59" t="s">
        <v>278</v>
      </c>
      <c r="B43" s="59"/>
      <c r="C43" s="59"/>
      <c r="D43" s="59"/>
      <c r="E43" s="123">
        <v>15.1</v>
      </c>
      <c r="F43" s="124">
        <v>15.3</v>
      </c>
      <c r="G43" s="124">
        <v>15.2</v>
      </c>
      <c r="H43" s="124">
        <v>15.2</v>
      </c>
    </row>
    <row r="44" spans="1:8">
      <c r="A44" s="59" t="s">
        <v>279</v>
      </c>
      <c r="B44" s="59"/>
      <c r="C44" s="59"/>
      <c r="D44" s="59"/>
      <c r="E44" s="123">
        <v>14.9</v>
      </c>
      <c r="F44" s="124">
        <v>14.9</v>
      </c>
      <c r="G44" s="124">
        <v>14.9</v>
      </c>
      <c r="H44" s="124">
        <v>14.9</v>
      </c>
    </row>
    <row r="45" spans="1:8">
      <c r="A45" s="59" t="s">
        <v>279</v>
      </c>
      <c r="B45" s="59"/>
      <c r="C45" s="59"/>
      <c r="D45" s="59"/>
      <c r="E45" s="123">
        <v>14.1</v>
      </c>
      <c r="F45" s="124">
        <v>14.3</v>
      </c>
      <c r="G45" s="124">
        <v>14.4</v>
      </c>
      <c r="H45" s="124">
        <v>14.3</v>
      </c>
    </row>
    <row r="46" spans="1:8">
      <c r="A46" s="59" t="s">
        <v>280</v>
      </c>
      <c r="B46" s="59"/>
      <c r="C46" s="59"/>
      <c r="D46" s="59"/>
      <c r="E46" s="123">
        <v>15</v>
      </c>
      <c r="F46" s="124">
        <v>14.8</v>
      </c>
      <c r="G46" s="124">
        <v>15.3</v>
      </c>
      <c r="H46" s="124">
        <v>15</v>
      </c>
    </row>
    <row r="47" spans="1:8">
      <c r="A47" s="59" t="s">
        <v>281</v>
      </c>
      <c r="B47" s="59"/>
      <c r="C47" s="59"/>
      <c r="D47" s="59"/>
      <c r="E47" s="123">
        <v>14.9</v>
      </c>
      <c r="F47" s="124">
        <v>15.1</v>
      </c>
      <c r="G47" s="124">
        <v>15</v>
      </c>
      <c r="H47" s="124">
        <v>15</v>
      </c>
    </row>
    <row r="48" spans="1:8">
      <c r="A48" s="59" t="s">
        <v>282</v>
      </c>
      <c r="B48" s="59"/>
      <c r="C48" s="59"/>
      <c r="D48" s="59"/>
      <c r="E48" s="123">
        <v>15.1</v>
      </c>
      <c r="F48" s="124">
        <v>15.1</v>
      </c>
      <c r="G48" s="124">
        <v>15.1</v>
      </c>
      <c r="H48" s="124">
        <v>15.1</v>
      </c>
    </row>
    <row r="49" spans="1:8">
      <c r="A49" s="59" t="s">
        <v>283</v>
      </c>
      <c r="B49" s="59"/>
      <c r="C49" s="59"/>
      <c r="D49" s="59"/>
      <c r="E49" s="123">
        <v>14.4</v>
      </c>
      <c r="F49" s="124">
        <v>14.4</v>
      </c>
      <c r="G49" s="124">
        <v>15.3</v>
      </c>
      <c r="H49" s="124">
        <v>14.7</v>
      </c>
    </row>
    <row r="50" spans="1:8">
      <c r="A50" s="59" t="s">
        <v>284</v>
      </c>
      <c r="B50" s="59"/>
      <c r="C50" s="59"/>
      <c r="D50" s="59"/>
      <c r="E50" s="123">
        <v>14.6</v>
      </c>
      <c r="F50" s="124">
        <v>14.8</v>
      </c>
      <c r="G50" s="124">
        <v>15</v>
      </c>
      <c r="H50" s="124">
        <v>14.8</v>
      </c>
    </row>
    <row r="51" spans="1:8">
      <c r="A51" s="59" t="s">
        <v>301</v>
      </c>
      <c r="B51" s="59"/>
      <c r="C51" s="59"/>
      <c r="D51" s="59"/>
      <c r="E51" s="123">
        <v>15</v>
      </c>
      <c r="F51" s="124">
        <v>15</v>
      </c>
      <c r="G51" s="124">
        <v>14.9</v>
      </c>
      <c r="H51" s="124">
        <v>15</v>
      </c>
    </row>
    <row r="52" spans="1:8">
      <c r="A52" s="59" t="s">
        <v>306</v>
      </c>
      <c r="B52" s="59"/>
      <c r="C52" s="59"/>
      <c r="D52" s="59"/>
      <c r="E52" s="123">
        <v>15.2</v>
      </c>
      <c r="F52" s="124">
        <v>15.3</v>
      </c>
      <c r="G52" s="124">
        <v>15.3</v>
      </c>
      <c r="H52" s="124">
        <v>15.2</v>
      </c>
    </row>
    <row r="53" spans="1:8">
      <c r="A53" s="59" t="s">
        <v>314</v>
      </c>
      <c r="B53" s="59"/>
      <c r="C53" s="59"/>
      <c r="D53" s="59"/>
      <c r="E53" s="123">
        <v>15.5</v>
      </c>
      <c r="F53" s="124">
        <v>15.5</v>
      </c>
      <c r="G53" s="124">
        <v>15.3</v>
      </c>
      <c r="H53" s="124">
        <v>15.4</v>
      </c>
    </row>
    <row r="54" spans="1:8">
      <c r="A54" s="59" t="s">
        <v>315</v>
      </c>
      <c r="B54" s="59"/>
      <c r="C54" s="59"/>
      <c r="D54" s="59"/>
      <c r="E54" s="123">
        <v>15.2</v>
      </c>
      <c r="F54" s="124">
        <v>15.3</v>
      </c>
      <c r="G54" s="124">
        <v>15.1</v>
      </c>
      <c r="H54" s="124">
        <v>15.2</v>
      </c>
    </row>
    <row r="55" spans="1:8">
      <c r="A55" s="59" t="s">
        <v>316</v>
      </c>
      <c r="B55" s="59"/>
      <c r="C55" s="59"/>
      <c r="D55" s="59"/>
      <c r="E55" s="123">
        <v>15.1</v>
      </c>
      <c r="F55" s="124">
        <v>15.1</v>
      </c>
      <c r="G55" s="124">
        <v>15.2</v>
      </c>
      <c r="H55" s="124">
        <v>15.1</v>
      </c>
    </row>
    <row r="56" spans="1:8">
      <c r="A56" s="59" t="s">
        <v>317</v>
      </c>
      <c r="B56" s="59"/>
      <c r="C56" s="59"/>
      <c r="D56" s="59"/>
      <c r="E56" s="123">
        <v>15</v>
      </c>
      <c r="F56" s="124">
        <v>15</v>
      </c>
      <c r="G56" s="124">
        <v>14.9</v>
      </c>
      <c r="H56" s="124">
        <v>15</v>
      </c>
    </row>
    <row r="57" spans="1:8">
      <c r="A57" s="59" t="s">
        <v>318</v>
      </c>
      <c r="B57" s="59"/>
      <c r="C57" s="59"/>
      <c r="D57" s="59"/>
      <c r="E57" s="123">
        <v>15.3</v>
      </c>
      <c r="F57" s="124">
        <v>15.4</v>
      </c>
      <c r="G57" s="124">
        <v>15.4</v>
      </c>
      <c r="H57" s="124">
        <v>15.4</v>
      </c>
    </row>
    <row r="58" spans="1:8">
      <c r="A58" s="59" t="s">
        <v>318</v>
      </c>
      <c r="B58" s="59"/>
      <c r="C58" s="59"/>
      <c r="D58" s="59"/>
      <c r="E58" s="123">
        <v>15.1</v>
      </c>
      <c r="F58" s="124">
        <v>15</v>
      </c>
      <c r="G58" s="124">
        <v>15.2</v>
      </c>
      <c r="H58" s="124">
        <v>15.1</v>
      </c>
    </row>
    <row r="59" spans="1:8">
      <c r="A59" s="59" t="s">
        <v>319</v>
      </c>
      <c r="B59" s="59"/>
      <c r="C59" s="59"/>
      <c r="D59" s="59"/>
      <c r="E59" s="123">
        <v>15.1</v>
      </c>
      <c r="F59" s="124">
        <v>15.1</v>
      </c>
      <c r="G59" s="124">
        <v>15.1</v>
      </c>
      <c r="H59" s="124">
        <v>15.1</v>
      </c>
    </row>
    <row r="60" spans="1:8">
      <c r="A60" s="59" t="s">
        <v>325</v>
      </c>
      <c r="B60" s="59"/>
      <c r="C60" s="59"/>
      <c r="D60" s="59"/>
      <c r="E60" s="123">
        <v>15.3</v>
      </c>
      <c r="F60" s="124">
        <v>15.3</v>
      </c>
      <c r="G60" s="124">
        <v>15.2</v>
      </c>
      <c r="H60" s="124">
        <v>15.2</v>
      </c>
    </row>
    <row r="61" spans="1:8">
      <c r="A61" s="59" t="s">
        <v>326</v>
      </c>
      <c r="B61" s="59"/>
      <c r="C61" s="59"/>
      <c r="D61" s="59"/>
      <c r="E61" s="123">
        <v>15</v>
      </c>
      <c r="F61" s="124">
        <v>15</v>
      </c>
      <c r="G61" s="124">
        <v>15</v>
      </c>
      <c r="H61" s="124">
        <v>15</v>
      </c>
    </row>
    <row r="62" spans="1:8">
      <c r="A62" s="59" t="s">
        <v>337</v>
      </c>
      <c r="B62" s="59"/>
      <c r="C62" s="59"/>
      <c r="D62" s="59"/>
      <c r="E62" s="123">
        <v>15.2</v>
      </c>
      <c r="F62" s="124">
        <v>15.2</v>
      </c>
      <c r="G62" s="124">
        <v>15.1</v>
      </c>
      <c r="H62" s="124">
        <v>15.2</v>
      </c>
    </row>
    <row r="63" spans="1:8">
      <c r="A63" s="59" t="s">
        <v>337</v>
      </c>
      <c r="B63" s="59"/>
      <c r="C63" s="59"/>
      <c r="D63" s="59"/>
      <c r="E63" s="123">
        <v>15.1</v>
      </c>
      <c r="F63" s="124">
        <v>15.1</v>
      </c>
      <c r="G63" s="124">
        <v>14.9</v>
      </c>
      <c r="H63" s="124">
        <v>15</v>
      </c>
    </row>
    <row r="64" spans="1:8">
      <c r="A64" s="59" t="s">
        <v>338</v>
      </c>
      <c r="B64" s="59"/>
      <c r="C64" s="59"/>
      <c r="D64" s="59"/>
      <c r="E64" s="123">
        <v>15.4</v>
      </c>
      <c r="F64" s="124">
        <v>14.7</v>
      </c>
      <c r="G64" s="124">
        <v>14.2</v>
      </c>
      <c r="H64" s="124">
        <v>14.8</v>
      </c>
    </row>
    <row r="65" spans="1:8">
      <c r="A65" s="59" t="s">
        <v>338</v>
      </c>
      <c r="B65" s="59"/>
      <c r="C65" s="59"/>
      <c r="D65" s="59"/>
      <c r="E65" s="123">
        <v>14.4</v>
      </c>
      <c r="F65" s="124">
        <v>14.4</v>
      </c>
      <c r="G65" s="124">
        <v>14.5</v>
      </c>
      <c r="H65" s="124">
        <v>14.4</v>
      </c>
    </row>
    <row r="66" spans="1:8">
      <c r="A66" s="59" t="s">
        <v>339</v>
      </c>
      <c r="B66" s="59"/>
      <c r="C66" s="59"/>
      <c r="D66" s="59"/>
      <c r="E66" s="123">
        <v>15.1</v>
      </c>
      <c r="F66" s="124">
        <v>15.2</v>
      </c>
      <c r="G66" s="124">
        <v>15.4</v>
      </c>
      <c r="H66" s="124">
        <v>15.2</v>
      </c>
    </row>
    <row r="67" spans="1:8">
      <c r="A67" s="96" t="s">
        <v>343</v>
      </c>
      <c r="B67" s="83"/>
      <c r="C67" s="83"/>
      <c r="D67" s="83"/>
      <c r="E67" s="123">
        <v>14.613919258117676</v>
      </c>
      <c r="F67" s="124">
        <v>14.544337272644043</v>
      </c>
      <c r="G67" s="124">
        <v>14.610519409179688</v>
      </c>
      <c r="H67" s="108">
        <f t="shared" ref="H67:H75" si="5">AVERAGE(E67:G67)</f>
        <v>14.589591979980469</v>
      </c>
    </row>
    <row r="68" spans="1:8">
      <c r="A68" s="96" t="s">
        <v>344</v>
      </c>
      <c r="B68" s="83"/>
      <c r="C68" s="83"/>
      <c r="D68" s="83"/>
      <c r="E68" s="123">
        <v>14.970376014709473</v>
      </c>
      <c r="F68" s="124">
        <v>14.902167320251465</v>
      </c>
      <c r="G68" s="124">
        <v>14.964475631713867</v>
      </c>
      <c r="H68" s="108">
        <f t="shared" si="5"/>
        <v>14.945672988891602</v>
      </c>
    </row>
    <row r="69" spans="1:8">
      <c r="A69" s="96" t="s">
        <v>345</v>
      </c>
      <c r="B69" s="83"/>
      <c r="C69" s="83"/>
      <c r="D69" s="83"/>
      <c r="E69" s="123">
        <v>15.184457778930664</v>
      </c>
      <c r="F69" s="124">
        <v>15.273150444030762</v>
      </c>
      <c r="G69" s="124">
        <v>15.250771522521973</v>
      </c>
      <c r="H69" s="108">
        <f t="shared" si="5"/>
        <v>15.236126581827799</v>
      </c>
    </row>
    <row r="70" spans="1:8">
      <c r="A70" s="96" t="s">
        <v>346</v>
      </c>
      <c r="B70" s="83"/>
      <c r="C70" s="83"/>
      <c r="D70" s="83"/>
      <c r="E70" s="123">
        <v>15.047176361083984</v>
      </c>
      <c r="F70" s="124">
        <v>15.114773750305176</v>
      </c>
      <c r="G70" s="124">
        <v>15.180623054504395</v>
      </c>
      <c r="H70" s="108">
        <f t="shared" si="5"/>
        <v>15.114191055297852</v>
      </c>
    </row>
    <row r="71" spans="1:8">
      <c r="A71" s="96" t="s">
        <v>356</v>
      </c>
      <c r="B71" s="83"/>
      <c r="E71" s="123">
        <v>14.840383529663086</v>
      </c>
      <c r="F71" s="124">
        <v>14.916571617126465</v>
      </c>
      <c r="G71" s="124">
        <v>14.954231262207031</v>
      </c>
      <c r="H71" s="108">
        <f t="shared" si="5"/>
        <v>14.903728802998861</v>
      </c>
    </row>
    <row r="72" spans="1:8">
      <c r="A72" s="96" t="s">
        <v>357</v>
      </c>
      <c r="E72" s="123">
        <v>15.199845314025879</v>
      </c>
      <c r="F72" s="124">
        <v>15.533450126647949</v>
      </c>
      <c r="G72" s="124">
        <v>15.423110961914062</v>
      </c>
      <c r="H72" s="108">
        <f t="shared" si="5"/>
        <v>15.385468800862631</v>
      </c>
    </row>
    <row r="73" spans="1:8">
      <c r="A73" s="96" t="s">
        <v>358</v>
      </c>
      <c r="B73" s="83"/>
      <c r="E73" s="123">
        <v>15.120054244995117</v>
      </c>
      <c r="F73" s="124">
        <v>15.144433975219727</v>
      </c>
      <c r="G73" s="124">
        <v>15.071084976196289</v>
      </c>
      <c r="H73" s="108">
        <f t="shared" si="5"/>
        <v>15.111857732137045</v>
      </c>
    </row>
    <row r="74" spans="1:8">
      <c r="A74" s="96" t="s">
        <v>358</v>
      </c>
      <c r="E74" s="123">
        <v>15.292695999145508</v>
      </c>
      <c r="F74" s="124">
        <v>15.627285957336426</v>
      </c>
      <c r="G74" s="124">
        <v>15.304715156555176</v>
      </c>
      <c r="H74" s="108">
        <f t="shared" si="5"/>
        <v>15.408232371012369</v>
      </c>
    </row>
    <row r="75" spans="1:8">
      <c r="A75" s="96" t="s">
        <v>359</v>
      </c>
      <c r="E75" s="123">
        <v>15.044212341308594</v>
      </c>
      <c r="F75" s="124">
        <v>15.046442985534668</v>
      </c>
      <c r="G75" s="124">
        <v>15.083253860473633</v>
      </c>
      <c r="H75" s="108">
        <f t="shared" si="5"/>
        <v>15.057969729105631</v>
      </c>
    </row>
    <row r="76" spans="1:8">
      <c r="A76" s="59"/>
      <c r="B76" s="59"/>
      <c r="C76" s="59"/>
      <c r="D76" s="59"/>
      <c r="E76" s="126"/>
      <c r="F76" s="126"/>
      <c r="G76" s="126"/>
      <c r="H76" s="126"/>
    </row>
    <row r="77" spans="1:8">
      <c r="A77" s="59"/>
      <c r="B77" s="59"/>
      <c r="C77" s="59"/>
      <c r="D77" s="59"/>
      <c r="E77" s="59"/>
      <c r="F77" s="59"/>
      <c r="G77" s="59"/>
      <c r="H77" s="59"/>
    </row>
    <row r="78" spans="1:8">
      <c r="A78" s="59"/>
      <c r="B78" s="59"/>
      <c r="C78" s="59"/>
      <c r="D78" s="59"/>
      <c r="E78" s="59"/>
      <c r="F78" s="59"/>
      <c r="G78" s="59" t="s">
        <v>285</v>
      </c>
      <c r="H78" s="125">
        <f>AVERAGE(H30:H75)</f>
        <v>14.788105218306832</v>
      </c>
    </row>
  </sheetData>
  <mergeCells count="19">
    <mergeCell ref="S2:S3"/>
    <mergeCell ref="M2:M3"/>
    <mergeCell ref="N2:N3"/>
    <mergeCell ref="O2:O3"/>
    <mergeCell ref="P2:P3"/>
    <mergeCell ref="Q2:Q3"/>
    <mergeCell ref="R2:R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7" workbookViewId="0">
      <selection activeCell="M41" sqref="M41"/>
    </sheetView>
  </sheetViews>
  <sheetFormatPr baseColWidth="10" defaultRowHeight="14" x14ac:dyDescent="0"/>
  <cols>
    <col min="7" max="7" width="11" bestFit="1" customWidth="1"/>
  </cols>
  <sheetData>
    <row r="1" spans="1:22">
      <c r="A1" s="83"/>
      <c r="B1" s="143" t="s">
        <v>4</v>
      </c>
      <c r="C1" s="145" t="s">
        <v>185</v>
      </c>
      <c r="D1" s="146" t="s">
        <v>18</v>
      </c>
      <c r="E1" s="146"/>
      <c r="F1" s="146"/>
      <c r="G1" s="146"/>
      <c r="H1" s="146" t="s">
        <v>20</v>
      </c>
      <c r="I1" s="146"/>
      <c r="J1" s="146"/>
      <c r="K1" s="146"/>
      <c r="L1" s="146" t="s">
        <v>21</v>
      </c>
      <c r="M1" s="146"/>
      <c r="N1" s="146"/>
      <c r="O1" s="146"/>
      <c r="P1" s="82" t="s">
        <v>22</v>
      </c>
      <c r="Q1" s="82" t="s">
        <v>22</v>
      </c>
      <c r="R1" s="82" t="s">
        <v>22</v>
      </c>
      <c r="S1" s="150" t="s">
        <v>258</v>
      </c>
      <c r="T1" s="83"/>
      <c r="U1" s="83"/>
      <c r="V1" s="83"/>
    </row>
    <row r="2" spans="1:22">
      <c r="A2" s="83"/>
      <c r="B2" s="144"/>
      <c r="C2" s="144"/>
      <c r="D2" s="84" t="s">
        <v>19</v>
      </c>
      <c r="E2" s="84" t="s">
        <v>68</v>
      </c>
      <c r="F2" s="84" t="s">
        <v>69</v>
      </c>
      <c r="G2" s="84" t="s">
        <v>70</v>
      </c>
      <c r="H2" s="84" t="s">
        <v>19</v>
      </c>
      <c r="I2" s="84" t="s">
        <v>68</v>
      </c>
      <c r="J2" s="84" t="s">
        <v>69</v>
      </c>
      <c r="K2" s="84" t="s">
        <v>70</v>
      </c>
      <c r="L2" s="84" t="s">
        <v>19</v>
      </c>
      <c r="M2" s="84" t="s">
        <v>68</v>
      </c>
      <c r="N2" s="84" t="s">
        <v>69</v>
      </c>
      <c r="O2" s="84" t="s">
        <v>71</v>
      </c>
      <c r="P2" s="85" t="s">
        <v>70</v>
      </c>
      <c r="Q2" s="85" t="s">
        <v>23</v>
      </c>
      <c r="R2" s="85" t="s">
        <v>72</v>
      </c>
      <c r="S2" s="151"/>
      <c r="T2" s="83"/>
      <c r="U2" s="83"/>
      <c r="V2" s="83"/>
    </row>
    <row r="3" spans="1:22">
      <c r="A3" s="83"/>
      <c r="B3" s="86"/>
      <c r="C3" s="86"/>
      <c r="D3" s="87"/>
      <c r="E3" s="87"/>
      <c r="F3" s="87"/>
      <c r="G3" s="88"/>
      <c r="H3" s="87"/>
      <c r="I3" s="87"/>
      <c r="J3" s="87"/>
      <c r="K3" s="88"/>
      <c r="L3" s="87"/>
      <c r="M3" s="87"/>
      <c r="N3" s="87"/>
      <c r="O3" s="88"/>
      <c r="P3" s="140"/>
      <c r="Q3" s="141"/>
      <c r="R3" s="142"/>
      <c r="S3" s="83"/>
      <c r="T3" s="83"/>
      <c r="U3" s="83"/>
      <c r="V3" s="83"/>
    </row>
    <row r="4" spans="1:22">
      <c r="A4" s="83"/>
      <c r="B4" s="89" t="s">
        <v>186</v>
      </c>
      <c r="C4" s="90">
        <v>500</v>
      </c>
      <c r="D4" s="90">
        <v>2</v>
      </c>
      <c r="E4" s="90">
        <v>11777</v>
      </c>
      <c r="F4" s="90">
        <v>6</v>
      </c>
      <c r="G4" s="88">
        <f>(E4/F4)*(10.2)*POWER(10,D4+2)</f>
        <v>200208999.99999997</v>
      </c>
      <c r="H4" s="90">
        <v>2</v>
      </c>
      <c r="I4" s="90">
        <v>12350</v>
      </c>
      <c r="J4" s="90">
        <v>6</v>
      </c>
      <c r="K4" s="88">
        <f>(I4/J4)*(10.2)*POWER(10,H4+2)</f>
        <v>209950000</v>
      </c>
      <c r="L4" s="90">
        <v>2</v>
      </c>
      <c r="M4" s="90">
        <v>12193</v>
      </c>
      <c r="N4" s="90">
        <v>6</v>
      </c>
      <c r="O4" s="88">
        <f t="shared" ref="O4:O19" si="0">(M4/N4)*(10.2)*POWER(10,L4+2)</f>
        <v>207281000</v>
      </c>
      <c r="P4" s="91">
        <f t="shared" ref="P4:P19" si="1">AVERAGE(O4,K4,G4)</f>
        <v>205813333.33333334</v>
      </c>
      <c r="Q4" s="91">
        <f t="shared" ref="Q4:Q19" si="2">STDEV(O4,K4,G4)</f>
        <v>5033617.4202389978</v>
      </c>
      <c r="R4" s="92">
        <f>LOG(P4)</f>
        <v>8.313473506507659</v>
      </c>
      <c r="S4" s="96"/>
      <c r="T4" s="83"/>
      <c r="U4" s="83"/>
      <c r="V4" s="83"/>
    </row>
    <row r="5" spans="1:22">
      <c r="A5" s="83"/>
      <c r="B5" s="89" t="s">
        <v>187</v>
      </c>
      <c r="C5" s="90">
        <v>500</v>
      </c>
      <c r="D5" s="90">
        <v>1</v>
      </c>
      <c r="E5" s="90">
        <v>10368</v>
      </c>
      <c r="F5" s="90">
        <v>6</v>
      </c>
      <c r="G5" s="88">
        <f t="shared" ref="G5:G19" si="3">(E5/F5)*(10.2)*POWER(10,D5+2)</f>
        <v>17625600</v>
      </c>
      <c r="H5" s="90">
        <v>1</v>
      </c>
      <c r="I5" s="90">
        <v>11649</v>
      </c>
      <c r="J5" s="90">
        <v>6</v>
      </c>
      <c r="K5" s="88">
        <f t="shared" ref="K5:K19" si="4">(I5/J5)*(10.2)*POWER(10,H5+2)</f>
        <v>19803300</v>
      </c>
      <c r="L5" s="90">
        <v>1</v>
      </c>
      <c r="M5" s="90">
        <v>11377</v>
      </c>
      <c r="N5" s="90">
        <v>6</v>
      </c>
      <c r="O5" s="88">
        <f t="shared" si="0"/>
        <v>19340899.999999996</v>
      </c>
      <c r="P5" s="91">
        <f t="shared" si="1"/>
        <v>18923266.666666668</v>
      </c>
      <c r="Q5" s="91">
        <f t="shared" si="2"/>
        <v>1147348.0393208207</v>
      </c>
      <c r="R5" s="92">
        <f t="shared" ref="R5:R19" si="5">LOG(P5)</f>
        <v>7.2769961094890272</v>
      </c>
      <c r="S5" s="83"/>
      <c r="T5" s="83"/>
      <c r="U5" s="83"/>
      <c r="V5" s="83"/>
    </row>
    <row r="6" spans="1:22">
      <c r="A6" s="83"/>
      <c r="B6" s="89" t="s">
        <v>188</v>
      </c>
      <c r="C6" s="90">
        <v>500</v>
      </c>
      <c r="D6" s="90">
        <v>1</v>
      </c>
      <c r="E6" s="90">
        <v>1368</v>
      </c>
      <c r="F6" s="90">
        <v>6</v>
      </c>
      <c r="G6" s="88">
        <f t="shared" si="3"/>
        <v>2325600</v>
      </c>
      <c r="H6" s="90">
        <v>1</v>
      </c>
      <c r="I6" s="90">
        <v>1169</v>
      </c>
      <c r="J6" s="90">
        <v>6</v>
      </c>
      <c r="K6" s="88">
        <f t="shared" si="4"/>
        <v>1987300</v>
      </c>
      <c r="L6" s="90">
        <v>1</v>
      </c>
      <c r="M6" s="90">
        <v>1324</v>
      </c>
      <c r="N6" s="90">
        <v>6</v>
      </c>
      <c r="O6" s="88">
        <f t="shared" si="0"/>
        <v>2250799.9999999995</v>
      </c>
      <c r="P6" s="91">
        <f t="shared" si="1"/>
        <v>2187900</v>
      </c>
      <c r="Q6" s="91">
        <f t="shared" si="2"/>
        <v>177704.89582451005</v>
      </c>
      <c r="R6" s="92">
        <f t="shared" si="5"/>
        <v>6.3400274682826607</v>
      </c>
      <c r="S6" s="83"/>
      <c r="T6" s="83"/>
      <c r="U6" s="83"/>
      <c r="V6" s="83"/>
    </row>
    <row r="7" spans="1:22">
      <c r="A7" s="83"/>
      <c r="B7" s="89" t="s">
        <v>189</v>
      </c>
      <c r="C7" s="90">
        <v>500</v>
      </c>
      <c r="D7" s="90">
        <v>1</v>
      </c>
      <c r="E7" s="90">
        <v>1657</v>
      </c>
      <c r="F7" s="90">
        <v>67</v>
      </c>
      <c r="G7" s="88">
        <f>(E7/F7)*(10.2)*POWER(10,D7+2)</f>
        <v>252259.70149253728</v>
      </c>
      <c r="H7" s="90">
        <v>1</v>
      </c>
      <c r="I7" s="90">
        <v>1712</v>
      </c>
      <c r="J7" s="90">
        <v>67</v>
      </c>
      <c r="K7" s="88">
        <f t="shared" si="4"/>
        <v>260632.83582089547</v>
      </c>
      <c r="L7" s="90">
        <v>1</v>
      </c>
      <c r="M7" s="90">
        <v>1701</v>
      </c>
      <c r="N7" s="90">
        <v>67</v>
      </c>
      <c r="O7" s="88">
        <f t="shared" si="0"/>
        <v>258958.20895522388</v>
      </c>
      <c r="P7" s="91">
        <f t="shared" si="1"/>
        <v>257283.58208955219</v>
      </c>
      <c r="Q7" s="91">
        <f t="shared" si="2"/>
        <v>4430.6462253947329</v>
      </c>
      <c r="R7" s="92">
        <f t="shared" si="5"/>
        <v>5.410412073674765</v>
      </c>
      <c r="S7" s="96"/>
      <c r="T7" s="83"/>
      <c r="U7" s="83"/>
      <c r="V7" s="83"/>
    </row>
    <row r="8" spans="1:22">
      <c r="A8" s="83"/>
      <c r="B8" s="89" t="s">
        <v>190</v>
      </c>
      <c r="C8" s="90">
        <v>500</v>
      </c>
      <c r="D8" s="90">
        <v>1</v>
      </c>
      <c r="E8" s="90">
        <v>1582</v>
      </c>
      <c r="F8" s="90">
        <v>334</v>
      </c>
      <c r="G8" s="88">
        <f t="shared" si="3"/>
        <v>48312.574850299396</v>
      </c>
      <c r="H8" s="90">
        <v>1</v>
      </c>
      <c r="I8" s="90">
        <v>1222</v>
      </c>
      <c r="J8" s="90">
        <v>334</v>
      </c>
      <c r="K8" s="88">
        <f t="shared" si="4"/>
        <v>37318.562874251496</v>
      </c>
      <c r="L8" s="90">
        <v>1</v>
      </c>
      <c r="M8" s="90">
        <v>1331</v>
      </c>
      <c r="N8" s="90">
        <v>334</v>
      </c>
      <c r="O8" s="88">
        <f t="shared" si="0"/>
        <v>40647.305389221554</v>
      </c>
      <c r="P8" s="91">
        <f t="shared" si="1"/>
        <v>42092.814371257482</v>
      </c>
      <c r="Q8" s="91">
        <f t="shared" si="2"/>
        <v>5637.7475107733544</v>
      </c>
      <c r="R8" s="92">
        <f t="shared" si="5"/>
        <v>4.6242079641192557</v>
      </c>
      <c r="S8" s="96"/>
      <c r="T8" s="83"/>
      <c r="U8" s="83"/>
      <c r="V8" s="83"/>
    </row>
    <row r="9" spans="1:22">
      <c r="A9" s="83"/>
      <c r="B9" s="89" t="s">
        <v>191</v>
      </c>
      <c r="C9" s="90">
        <v>900</v>
      </c>
      <c r="D9" s="90">
        <v>2</v>
      </c>
      <c r="E9" s="90">
        <v>14797</v>
      </c>
      <c r="F9" s="90">
        <v>6</v>
      </c>
      <c r="G9" s="88">
        <f t="shared" si="3"/>
        <v>251548999.99999997</v>
      </c>
      <c r="H9" s="90">
        <v>2</v>
      </c>
      <c r="I9" s="90">
        <v>12831</v>
      </c>
      <c r="J9" s="90">
        <v>6</v>
      </c>
      <c r="K9" s="88">
        <f t="shared" si="4"/>
        <v>218126999.99999997</v>
      </c>
      <c r="L9" s="90">
        <v>2</v>
      </c>
      <c r="M9" s="90">
        <v>13557</v>
      </c>
      <c r="N9" s="90">
        <v>6</v>
      </c>
      <c r="O9" s="88">
        <f t="shared" si="0"/>
        <v>230468999.99999997</v>
      </c>
      <c r="P9" s="91">
        <f t="shared" si="1"/>
        <v>233381666.66666663</v>
      </c>
      <c r="Q9" s="91">
        <f t="shared" si="2"/>
        <v>16900302.995311458</v>
      </c>
      <c r="R9" s="92">
        <f t="shared" si="5"/>
        <v>8.3680667369783137</v>
      </c>
      <c r="S9" s="83"/>
      <c r="T9" s="83"/>
      <c r="U9" s="83"/>
      <c r="V9" s="83"/>
    </row>
    <row r="10" spans="1:22">
      <c r="A10" s="83"/>
      <c r="B10" s="89" t="s">
        <v>192</v>
      </c>
      <c r="C10" s="90">
        <v>900</v>
      </c>
      <c r="D10" s="90">
        <v>2</v>
      </c>
      <c r="E10" s="90">
        <v>6167</v>
      </c>
      <c r="F10" s="90">
        <v>6</v>
      </c>
      <c r="G10" s="88">
        <f t="shared" si="3"/>
        <v>104838999.99999999</v>
      </c>
      <c r="H10" s="90">
        <v>2</v>
      </c>
      <c r="I10" s="90">
        <v>6132</v>
      </c>
      <c r="J10" s="90">
        <v>6</v>
      </c>
      <c r="K10" s="88">
        <f t="shared" si="4"/>
        <v>104244000</v>
      </c>
      <c r="L10" s="90">
        <v>2</v>
      </c>
      <c r="M10" s="90">
        <v>5412</v>
      </c>
      <c r="N10" s="90">
        <v>6</v>
      </c>
      <c r="O10" s="88">
        <f t="shared" si="0"/>
        <v>92004000</v>
      </c>
      <c r="P10" s="91">
        <f t="shared" si="1"/>
        <v>100362333.33333333</v>
      </c>
      <c r="Q10" s="91">
        <f t="shared" si="2"/>
        <v>7244639.9726510411</v>
      </c>
      <c r="R10" s="92">
        <f t="shared" si="5"/>
        <v>8.0015707497132311</v>
      </c>
      <c r="S10" s="83"/>
      <c r="T10" s="83"/>
      <c r="U10" s="83"/>
      <c r="V10" s="83"/>
    </row>
    <row r="11" spans="1:22">
      <c r="A11" s="83"/>
      <c r="B11" s="89" t="s">
        <v>193</v>
      </c>
      <c r="C11" s="90">
        <v>900</v>
      </c>
      <c r="D11" s="90">
        <v>2</v>
      </c>
      <c r="E11" s="90">
        <v>2783</v>
      </c>
      <c r="F11" s="90">
        <v>6</v>
      </c>
      <c r="G11" s="88">
        <f t="shared" si="3"/>
        <v>47310999.999999993</v>
      </c>
      <c r="H11" s="90">
        <v>2</v>
      </c>
      <c r="I11" s="90">
        <v>2791</v>
      </c>
      <c r="J11" s="90">
        <v>6</v>
      </c>
      <c r="K11" s="88">
        <f t="shared" si="4"/>
        <v>47447000</v>
      </c>
      <c r="L11" s="90">
        <v>2</v>
      </c>
      <c r="M11" s="90">
        <v>2844</v>
      </c>
      <c r="N11" s="90">
        <v>6</v>
      </c>
      <c r="O11" s="88">
        <f t="shared" si="0"/>
        <v>48347999.999999993</v>
      </c>
      <c r="P11" s="91">
        <f t="shared" si="1"/>
        <v>47702000</v>
      </c>
      <c r="Q11" s="91">
        <f t="shared" si="2"/>
        <v>563569.87144452473</v>
      </c>
      <c r="R11" s="92">
        <f t="shared" si="5"/>
        <v>7.6785365880706147</v>
      </c>
      <c r="S11" s="83"/>
      <c r="T11" s="83"/>
      <c r="U11" s="83"/>
      <c r="V11" s="83"/>
    </row>
    <row r="12" spans="1:22">
      <c r="A12" s="83"/>
      <c r="B12" s="89" t="s">
        <v>194</v>
      </c>
      <c r="C12" s="90">
        <v>900</v>
      </c>
      <c r="D12" s="90">
        <v>1</v>
      </c>
      <c r="E12" s="90">
        <v>14347</v>
      </c>
      <c r="F12" s="90">
        <v>6</v>
      </c>
      <c r="G12" s="88">
        <f t="shared" si="3"/>
        <v>24389899.999999996</v>
      </c>
      <c r="H12" s="90">
        <v>1</v>
      </c>
      <c r="I12" s="90">
        <v>13548</v>
      </c>
      <c r="J12" s="90">
        <v>6</v>
      </c>
      <c r="K12" s="88">
        <f t="shared" si="4"/>
        <v>23031600</v>
      </c>
      <c r="L12" s="90">
        <v>1</v>
      </c>
      <c r="M12" s="90">
        <v>14200</v>
      </c>
      <c r="N12" s="90">
        <v>6</v>
      </c>
      <c r="O12" s="88">
        <f t="shared" si="0"/>
        <v>24139999.999999996</v>
      </c>
      <c r="P12" s="91">
        <f t="shared" si="1"/>
        <v>23853833.333333332</v>
      </c>
      <c r="Q12" s="91">
        <f t="shared" si="2"/>
        <v>722954.52369656716</v>
      </c>
      <c r="R12" s="92">
        <f t="shared" si="5"/>
        <v>7.3775581805140655</v>
      </c>
      <c r="S12" s="83"/>
      <c r="T12" s="83"/>
      <c r="U12" s="83"/>
      <c r="V12" s="83"/>
    </row>
    <row r="13" spans="1:22">
      <c r="A13" s="83"/>
      <c r="B13" s="89" t="s">
        <v>195</v>
      </c>
      <c r="C13" s="90">
        <v>900</v>
      </c>
      <c r="D13" s="90">
        <v>1</v>
      </c>
      <c r="E13" s="90">
        <v>5210</v>
      </c>
      <c r="F13" s="90">
        <v>6</v>
      </c>
      <c r="G13" s="88">
        <f t="shared" si="3"/>
        <v>8857000</v>
      </c>
      <c r="H13" s="90">
        <v>1</v>
      </c>
      <c r="I13" s="90">
        <v>5214</v>
      </c>
      <c r="J13" s="90">
        <v>6</v>
      </c>
      <c r="K13" s="88">
        <f t="shared" si="4"/>
        <v>8863800</v>
      </c>
      <c r="L13" s="90">
        <v>1</v>
      </c>
      <c r="M13" s="90">
        <v>5752</v>
      </c>
      <c r="N13" s="90">
        <v>6</v>
      </c>
      <c r="O13" s="88">
        <f t="shared" si="0"/>
        <v>9778400</v>
      </c>
      <c r="P13" s="91">
        <f t="shared" si="1"/>
        <v>9166400</v>
      </c>
      <c r="Q13" s="91">
        <f t="shared" si="2"/>
        <v>530018.4525089669</v>
      </c>
      <c r="R13" s="92">
        <f t="shared" si="5"/>
        <v>6.9621988049055377</v>
      </c>
      <c r="S13" s="83"/>
      <c r="T13" s="83"/>
      <c r="U13" s="83"/>
      <c r="V13" s="83"/>
    </row>
    <row r="14" spans="1:22">
      <c r="A14" s="83"/>
      <c r="B14" s="89" t="s">
        <v>196</v>
      </c>
      <c r="C14" s="90">
        <v>900</v>
      </c>
      <c r="D14" s="90">
        <v>1</v>
      </c>
      <c r="E14" s="90">
        <v>2620</v>
      </c>
      <c r="F14" s="90">
        <v>6</v>
      </c>
      <c r="G14" s="88">
        <f t="shared" si="3"/>
        <v>4454000</v>
      </c>
      <c r="H14" s="90">
        <v>1</v>
      </c>
      <c r="I14" s="90">
        <v>2454</v>
      </c>
      <c r="J14" s="90">
        <v>6</v>
      </c>
      <c r="K14" s="88">
        <f t="shared" si="4"/>
        <v>4171799.9999999991</v>
      </c>
      <c r="L14" s="90">
        <v>1</v>
      </c>
      <c r="M14" s="90">
        <v>2673</v>
      </c>
      <c r="N14" s="90">
        <v>6</v>
      </c>
      <c r="O14" s="88">
        <f t="shared" si="0"/>
        <v>4544099.9999999991</v>
      </c>
      <c r="P14" s="91">
        <f t="shared" si="1"/>
        <v>4389966.666666666</v>
      </c>
      <c r="Q14" s="91">
        <f t="shared" si="2"/>
        <v>194234.45454741904</v>
      </c>
      <c r="R14" s="92">
        <f t="shared" si="5"/>
        <v>6.642461222625335</v>
      </c>
      <c r="S14" s="83"/>
      <c r="T14" s="83"/>
      <c r="U14" s="83"/>
      <c r="V14" s="83"/>
    </row>
    <row r="15" spans="1:22">
      <c r="A15" s="83"/>
      <c r="B15" s="89" t="s">
        <v>197</v>
      </c>
      <c r="C15" s="90">
        <v>900</v>
      </c>
      <c r="D15" s="90">
        <v>1</v>
      </c>
      <c r="E15" s="90">
        <v>1562</v>
      </c>
      <c r="F15" s="90">
        <v>6</v>
      </c>
      <c r="G15" s="88">
        <f t="shared" si="3"/>
        <v>2655399.9999999995</v>
      </c>
      <c r="H15" s="90">
        <v>1</v>
      </c>
      <c r="I15" s="90">
        <v>1614</v>
      </c>
      <c r="J15" s="90">
        <v>6</v>
      </c>
      <c r="K15" s="88">
        <f t="shared" si="4"/>
        <v>2743799.9999999995</v>
      </c>
      <c r="L15" s="90">
        <v>1</v>
      </c>
      <c r="M15" s="90">
        <v>1660</v>
      </c>
      <c r="N15" s="90">
        <v>6</v>
      </c>
      <c r="O15" s="88">
        <f t="shared" si="0"/>
        <v>2822000</v>
      </c>
      <c r="P15" s="91">
        <f t="shared" si="1"/>
        <v>2740400</v>
      </c>
      <c r="Q15" s="91">
        <f t="shared" si="2"/>
        <v>83352.024570492809</v>
      </c>
      <c r="R15" s="92">
        <f t="shared" si="5"/>
        <v>6.4378139588473458</v>
      </c>
      <c r="S15" s="83"/>
      <c r="T15" s="83"/>
      <c r="U15" s="83"/>
      <c r="V15" s="83"/>
    </row>
    <row r="16" spans="1:22">
      <c r="A16" s="83"/>
      <c r="B16" s="89" t="s">
        <v>198</v>
      </c>
      <c r="C16" s="90">
        <v>900</v>
      </c>
      <c r="D16" s="90">
        <v>1</v>
      </c>
      <c r="E16" s="90">
        <v>2084</v>
      </c>
      <c r="F16" s="90">
        <v>13</v>
      </c>
      <c r="G16" s="88">
        <f t="shared" si="3"/>
        <v>1635138.4615384615</v>
      </c>
      <c r="H16" s="90">
        <v>1</v>
      </c>
      <c r="I16" s="90">
        <v>2144</v>
      </c>
      <c r="J16" s="90">
        <v>13</v>
      </c>
      <c r="K16" s="88">
        <f t="shared" si="4"/>
        <v>1682215.3846153847</v>
      </c>
      <c r="L16" s="90">
        <v>1</v>
      </c>
      <c r="M16" s="90">
        <v>1740</v>
      </c>
      <c r="N16" s="90">
        <v>13</v>
      </c>
      <c r="O16" s="88">
        <f t="shared" si="0"/>
        <v>1365230.769230769</v>
      </c>
      <c r="P16" s="91">
        <f t="shared" si="1"/>
        <v>1560861.5384615387</v>
      </c>
      <c r="Q16" s="91">
        <f t="shared" si="2"/>
        <v>171048.55326475156</v>
      </c>
      <c r="R16" s="92">
        <f t="shared" si="5"/>
        <v>6.1933643792000312</v>
      </c>
      <c r="S16" s="83"/>
      <c r="T16" s="83"/>
      <c r="U16" s="83"/>
      <c r="V16" s="83"/>
    </row>
    <row r="17" spans="1:22">
      <c r="A17" s="83"/>
      <c r="B17" s="89" t="s">
        <v>199</v>
      </c>
      <c r="C17" s="90">
        <v>900</v>
      </c>
      <c r="D17" s="90">
        <v>1</v>
      </c>
      <c r="E17" s="90">
        <v>2200</v>
      </c>
      <c r="F17" s="90">
        <v>26</v>
      </c>
      <c r="G17" s="88">
        <f t="shared" si="3"/>
        <v>863076.92307692301</v>
      </c>
      <c r="H17" s="90">
        <v>1</v>
      </c>
      <c r="I17" s="90">
        <v>2389</v>
      </c>
      <c r="J17" s="90">
        <v>26</v>
      </c>
      <c r="K17" s="88">
        <f t="shared" si="4"/>
        <v>937223.07692307688</v>
      </c>
      <c r="L17" s="90">
        <v>1</v>
      </c>
      <c r="M17" s="90">
        <v>2163</v>
      </c>
      <c r="N17" s="90">
        <v>26</v>
      </c>
      <c r="O17" s="88">
        <f t="shared" si="0"/>
        <v>848561.53846153838</v>
      </c>
      <c r="P17" s="91">
        <f t="shared" si="1"/>
        <v>882953.84615384601</v>
      </c>
      <c r="Q17" s="91">
        <f t="shared" si="2"/>
        <v>47555.611170987548</v>
      </c>
      <c r="R17" s="92">
        <f t="shared" si="5"/>
        <v>5.9459380026890356</v>
      </c>
      <c r="S17" s="83"/>
      <c r="T17" s="83"/>
      <c r="U17" s="83"/>
      <c r="V17" s="83"/>
    </row>
    <row r="18" spans="1:22">
      <c r="A18" s="83"/>
      <c r="B18" s="89" t="s">
        <v>200</v>
      </c>
      <c r="C18" s="90">
        <v>900</v>
      </c>
      <c r="D18" s="90">
        <v>1</v>
      </c>
      <c r="E18" s="90">
        <v>2258</v>
      </c>
      <c r="F18" s="90">
        <v>53</v>
      </c>
      <c r="G18" s="88">
        <f t="shared" si="3"/>
        <v>434558.49056603765</v>
      </c>
      <c r="H18" s="90">
        <v>1</v>
      </c>
      <c r="I18" s="90">
        <v>2364</v>
      </c>
      <c r="J18" s="90">
        <v>53</v>
      </c>
      <c r="K18" s="88">
        <f t="shared" si="4"/>
        <v>454958.49056603771</v>
      </c>
      <c r="L18" s="90">
        <v>1</v>
      </c>
      <c r="M18" s="90">
        <v>2494</v>
      </c>
      <c r="N18" s="90">
        <v>53</v>
      </c>
      <c r="O18" s="88">
        <f t="shared" si="0"/>
        <v>479977.35849056597</v>
      </c>
      <c r="P18" s="91">
        <f t="shared" si="1"/>
        <v>456498.11320754705</v>
      </c>
      <c r="Q18" s="91">
        <f t="shared" si="2"/>
        <v>22748.543234570494</v>
      </c>
      <c r="R18" s="92">
        <f t="shared" si="5"/>
        <v>5.6594389868533534</v>
      </c>
      <c r="S18" s="83"/>
      <c r="T18" s="83"/>
      <c r="U18" s="83"/>
      <c r="V18" s="83"/>
    </row>
    <row r="19" spans="1:22">
      <c r="A19" s="83"/>
      <c r="B19" s="89" t="s">
        <v>201</v>
      </c>
      <c r="C19" s="90">
        <v>900</v>
      </c>
      <c r="D19" s="90">
        <v>1</v>
      </c>
      <c r="E19" s="90">
        <v>2389</v>
      </c>
      <c r="F19" s="90">
        <v>107</v>
      </c>
      <c r="G19" s="88">
        <f t="shared" si="3"/>
        <v>227736.44859813081</v>
      </c>
      <c r="H19" s="90">
        <v>1</v>
      </c>
      <c r="I19" s="90">
        <v>2798</v>
      </c>
      <c r="J19" s="90">
        <v>107</v>
      </c>
      <c r="K19" s="88">
        <f t="shared" si="4"/>
        <v>266725.23364485975</v>
      </c>
      <c r="L19" s="90">
        <v>1</v>
      </c>
      <c r="M19" s="90">
        <v>7437</v>
      </c>
      <c r="N19" s="90">
        <v>394</v>
      </c>
      <c r="O19" s="88">
        <f t="shared" si="0"/>
        <v>192531.47208121826</v>
      </c>
      <c r="P19" s="91">
        <f t="shared" si="1"/>
        <v>228997.71810806962</v>
      </c>
      <c r="Q19" s="91">
        <f t="shared" si="2"/>
        <v>37112.958172626859</v>
      </c>
      <c r="R19" s="92">
        <f t="shared" si="5"/>
        <v>5.359831154750319</v>
      </c>
      <c r="S19" s="83"/>
      <c r="T19" s="83"/>
      <c r="U19" s="83"/>
      <c r="V19" s="83"/>
    </row>
    <row r="20" spans="1:22" ht="15" thickBo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 spans="1:22" ht="43" thickBot="1">
      <c r="A21" s="83"/>
      <c r="B21" s="93" t="s">
        <v>4</v>
      </c>
      <c r="C21" s="93" t="s">
        <v>202</v>
      </c>
      <c r="D21" s="93" t="s">
        <v>203</v>
      </c>
      <c r="E21" s="93" t="s">
        <v>204</v>
      </c>
      <c r="F21" s="93" t="s">
        <v>205</v>
      </c>
      <c r="G21" s="94" t="s">
        <v>206</v>
      </c>
      <c r="H21" s="95" t="s">
        <v>207</v>
      </c>
      <c r="I21" s="95" t="s">
        <v>259</v>
      </c>
      <c r="J21" s="95" t="s">
        <v>260</v>
      </c>
      <c r="K21" s="95" t="s">
        <v>261</v>
      </c>
      <c r="L21" s="95" t="s">
        <v>262</v>
      </c>
      <c r="M21" s="96" t="s">
        <v>258</v>
      </c>
      <c r="N21" s="83"/>
      <c r="O21" s="83"/>
      <c r="P21" s="83"/>
      <c r="Q21" s="83"/>
      <c r="R21" s="83"/>
      <c r="S21" s="83"/>
      <c r="T21" s="83"/>
      <c r="U21" s="83"/>
      <c r="V21" s="83"/>
    </row>
    <row r="22" spans="1: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</row>
    <row r="23" spans="1:22">
      <c r="A23" s="83"/>
      <c r="B23" s="89" t="s">
        <v>186</v>
      </c>
      <c r="C23" s="97">
        <v>12.024166107177734</v>
      </c>
      <c r="D23" s="97">
        <v>11.937971115112305</v>
      </c>
      <c r="E23" s="97">
        <v>12.113894462585449</v>
      </c>
      <c r="F23" s="102">
        <f>AVERAGE(C23:E23)</f>
        <v>12.025343894958496</v>
      </c>
      <c r="G23" s="117">
        <f>1000/1000*200/4*1000/900</f>
        <v>55.555555555555557</v>
      </c>
      <c r="H23" s="111">
        <f>LOG(G23)/LOG(2)</f>
        <v>5.7958592832197748</v>
      </c>
      <c r="I23" s="97">
        <f>C23-H23</f>
        <v>6.2283068239579595</v>
      </c>
      <c r="J23" s="97">
        <f>D23-H23</f>
        <v>6.1421118318925298</v>
      </c>
      <c r="K23" s="97">
        <f>E23-H23</f>
        <v>6.3180351793656744</v>
      </c>
      <c r="L23" s="102">
        <f>AVERAGE(I23:K23)</f>
        <v>6.2294846117387221</v>
      </c>
      <c r="M23" s="96"/>
      <c r="N23" s="83"/>
      <c r="O23" s="83"/>
      <c r="P23" s="83"/>
      <c r="Q23" s="83"/>
      <c r="R23" s="83"/>
      <c r="S23" s="83"/>
      <c r="T23" s="83"/>
      <c r="U23" s="83"/>
      <c r="V23" s="83"/>
    </row>
    <row r="24" spans="1:22">
      <c r="A24" s="83"/>
      <c r="B24" s="89" t="s">
        <v>187</v>
      </c>
      <c r="C24" s="97">
        <v>17.587196350097656</v>
      </c>
      <c r="D24" s="97">
        <v>17.463251113891602</v>
      </c>
      <c r="E24" s="97">
        <v>17.496953964233398</v>
      </c>
      <c r="F24" s="102">
        <f t="shared" ref="F24:F38" si="6">AVERAGE(C24:E24)</f>
        <v>17.515800476074219</v>
      </c>
      <c r="G24" s="117">
        <f t="shared" ref="G24:G27" si="7">1000/1000*200/4*1000/900</f>
        <v>55.555555555555557</v>
      </c>
      <c r="H24" s="111">
        <f t="shared" ref="H24:H38" si="8">LOG(G24)/LOG(2)</f>
        <v>5.7958592832197748</v>
      </c>
      <c r="I24" s="97">
        <f>C24-H24</f>
        <v>11.791337066877881</v>
      </c>
      <c r="J24" s="97">
        <f t="shared" ref="J24:J38" si="9">D24-H24</f>
        <v>11.667391830671827</v>
      </c>
      <c r="K24" s="97">
        <f t="shared" ref="K24:K38" si="10">E24-H24</f>
        <v>11.701094681013624</v>
      </c>
      <c r="L24" s="102">
        <f t="shared" ref="L24:L38" si="11">AVERAGE(I24:K24)</f>
        <v>11.719941192854444</v>
      </c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>
      <c r="A25" s="83"/>
      <c r="B25" s="89" t="s">
        <v>188</v>
      </c>
      <c r="C25" s="97">
        <v>20.035877227783203</v>
      </c>
      <c r="D25" s="97">
        <v>19.974271774291992</v>
      </c>
      <c r="E25" s="97">
        <v>19.944717407226562</v>
      </c>
      <c r="F25" s="102">
        <f t="shared" si="6"/>
        <v>19.984955469767254</v>
      </c>
      <c r="G25" s="117">
        <f t="shared" si="7"/>
        <v>55.555555555555557</v>
      </c>
      <c r="H25" s="111">
        <f t="shared" si="8"/>
        <v>5.7958592832197748</v>
      </c>
      <c r="I25" s="97">
        <f>C25-H25</f>
        <v>14.240017944563428</v>
      </c>
      <c r="J25" s="97">
        <f t="shared" si="9"/>
        <v>14.178412491072217</v>
      </c>
      <c r="K25" s="97">
        <f t="shared" si="10"/>
        <v>14.148858124006788</v>
      </c>
      <c r="L25" s="102">
        <f t="shared" si="11"/>
        <v>14.189096186547479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 spans="1:22">
      <c r="A26" s="83"/>
      <c r="B26" s="89" t="s">
        <v>189</v>
      </c>
      <c r="C26" s="97">
        <v>24.500289916992188</v>
      </c>
      <c r="D26" s="97">
        <v>24.458871841430664</v>
      </c>
      <c r="E26" s="97">
        <v>24.548263549804688</v>
      </c>
      <c r="F26" s="102">
        <f t="shared" si="6"/>
        <v>24.502475102742512</v>
      </c>
      <c r="G26" s="117">
        <f t="shared" si="7"/>
        <v>55.555555555555557</v>
      </c>
      <c r="H26" s="111">
        <f t="shared" si="8"/>
        <v>5.7958592832197748</v>
      </c>
      <c r="I26" s="97">
        <f>C26-H26</f>
        <v>18.704430633772411</v>
      </c>
      <c r="J26" s="97">
        <f t="shared" si="9"/>
        <v>18.663012558210887</v>
      </c>
      <c r="K26" s="97">
        <f t="shared" si="10"/>
        <v>18.752404266584911</v>
      </c>
      <c r="L26" s="102">
        <f t="shared" si="11"/>
        <v>18.706615819522735</v>
      </c>
      <c r="M26" s="96"/>
      <c r="N26" s="83"/>
      <c r="O26" s="83"/>
      <c r="P26" s="83"/>
      <c r="Q26" s="83"/>
      <c r="R26" s="83"/>
      <c r="S26" s="83"/>
      <c r="T26" s="83"/>
      <c r="U26" s="83"/>
      <c r="V26" s="83"/>
    </row>
    <row r="27" spans="1:22">
      <c r="A27" s="83"/>
      <c r="B27" s="89" t="s">
        <v>190</v>
      </c>
      <c r="C27" s="97">
        <v>27.966335296630859</v>
      </c>
      <c r="D27" s="97">
        <v>27.953102111816406</v>
      </c>
      <c r="E27" s="97">
        <v>27.858415603637695</v>
      </c>
      <c r="F27" s="102">
        <f>AVERAGE(C27:E27)</f>
        <v>27.92595100402832</v>
      </c>
      <c r="G27" s="117">
        <f t="shared" si="7"/>
        <v>55.555555555555557</v>
      </c>
      <c r="H27" s="111">
        <f t="shared" si="8"/>
        <v>5.7958592832197748</v>
      </c>
      <c r="I27" s="97">
        <f>C27-H27</f>
        <v>22.170476013411083</v>
      </c>
      <c r="J27" s="97">
        <f>D27-H27</f>
        <v>22.15724282859663</v>
      </c>
      <c r="K27" s="97">
        <f>E27-H27</f>
        <v>22.062556320417919</v>
      </c>
      <c r="L27" s="102">
        <f t="shared" si="11"/>
        <v>22.130091720808547</v>
      </c>
      <c r="M27" s="96"/>
      <c r="N27" s="83"/>
      <c r="O27" s="83"/>
      <c r="P27" s="83"/>
      <c r="Q27" s="83"/>
      <c r="R27" s="83"/>
      <c r="S27" s="83"/>
      <c r="T27" s="83"/>
      <c r="U27" s="83"/>
      <c r="V27" s="83"/>
    </row>
    <row r="28" spans="1:22">
      <c r="A28" s="83"/>
      <c r="B28" s="89" t="s">
        <v>191</v>
      </c>
      <c r="C28" s="97">
        <v>13.96388053894043</v>
      </c>
      <c r="D28" s="97">
        <v>13.646139144897461</v>
      </c>
      <c r="E28" s="97">
        <v>13.680848121643066</v>
      </c>
      <c r="F28" s="102">
        <f t="shared" si="6"/>
        <v>13.763622601826986</v>
      </c>
      <c r="G28" s="83">
        <f>1000/1000*200/4*1000/500</f>
        <v>100</v>
      </c>
      <c r="H28" s="111">
        <f t="shared" si="8"/>
        <v>6.6438561897747244</v>
      </c>
      <c r="I28" s="97">
        <f t="shared" ref="I28:I38" si="12">C28-H28</f>
        <v>7.3200243491657053</v>
      </c>
      <c r="J28" s="97">
        <f t="shared" si="9"/>
        <v>7.0022829551227366</v>
      </c>
      <c r="K28" s="97">
        <f t="shared" si="10"/>
        <v>7.036991931868342</v>
      </c>
      <c r="L28" s="102">
        <f t="shared" si="11"/>
        <v>7.119766412052261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 spans="1:22">
      <c r="A29" s="83"/>
      <c r="B29" s="89" t="s">
        <v>192</v>
      </c>
      <c r="C29" s="97">
        <v>15.15186882019043</v>
      </c>
      <c r="D29" s="97">
        <v>15.517631530761719</v>
      </c>
      <c r="E29" s="97">
        <v>15.663459777832031</v>
      </c>
      <c r="F29" s="102">
        <f t="shared" si="6"/>
        <v>15.44432004292806</v>
      </c>
      <c r="G29" s="83">
        <f t="shared" ref="G29:G38" si="13">1000/1000*200/4*1000/500</f>
        <v>100</v>
      </c>
      <c r="H29" s="111">
        <f t="shared" si="8"/>
        <v>6.6438561897747244</v>
      </c>
      <c r="I29" s="97">
        <f t="shared" si="12"/>
        <v>8.5080126304157062</v>
      </c>
      <c r="J29" s="97">
        <f t="shared" si="9"/>
        <v>8.8737753409869953</v>
      </c>
      <c r="K29" s="97">
        <f t="shared" si="10"/>
        <v>9.0196035880573078</v>
      </c>
      <c r="L29" s="102">
        <f t="shared" si="11"/>
        <v>8.800463853153337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</row>
    <row r="30" spans="1:22">
      <c r="A30" s="83"/>
      <c r="B30" s="89" t="s">
        <v>193</v>
      </c>
      <c r="C30" s="97">
        <v>16.251581192016602</v>
      </c>
      <c r="D30" s="97">
        <v>16.335042953491211</v>
      </c>
      <c r="E30" s="97">
        <v>16.212072372436523</v>
      </c>
      <c r="F30" s="102">
        <f t="shared" si="6"/>
        <v>16.266232172648113</v>
      </c>
      <c r="G30" s="83">
        <f t="shared" si="13"/>
        <v>100</v>
      </c>
      <c r="H30" s="111">
        <f t="shared" si="8"/>
        <v>6.6438561897747244</v>
      </c>
      <c r="I30" s="97">
        <f t="shared" si="12"/>
        <v>9.6077250022418781</v>
      </c>
      <c r="J30" s="97">
        <f t="shared" si="9"/>
        <v>9.6911867637164875</v>
      </c>
      <c r="K30" s="97">
        <f t="shared" si="10"/>
        <v>9.5682161826618</v>
      </c>
      <c r="L30" s="102">
        <f t="shared" si="11"/>
        <v>9.6223759828733879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</row>
    <row r="31" spans="1:22">
      <c r="A31" s="83"/>
      <c r="B31" s="89" t="s">
        <v>194</v>
      </c>
      <c r="C31" s="97">
        <v>18.410284042358398</v>
      </c>
      <c r="D31" s="97">
        <v>18.640316009521484</v>
      </c>
      <c r="E31" s="97">
        <v>18.454940795898438</v>
      </c>
      <c r="F31" s="102">
        <f t="shared" si="6"/>
        <v>18.501846949259441</v>
      </c>
      <c r="G31" s="83">
        <f t="shared" si="13"/>
        <v>100</v>
      </c>
      <c r="H31" s="111">
        <f t="shared" si="8"/>
        <v>6.6438561897747244</v>
      </c>
      <c r="I31" s="97">
        <f t="shared" si="12"/>
        <v>11.766427852583675</v>
      </c>
      <c r="J31" s="97">
        <f t="shared" si="9"/>
        <v>11.996459819746761</v>
      </c>
      <c r="K31" s="97">
        <f t="shared" si="10"/>
        <v>11.811084606123714</v>
      </c>
      <c r="L31" s="102">
        <f t="shared" si="11"/>
        <v>11.857990759484716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 spans="1:22">
      <c r="A32" s="83"/>
      <c r="B32" s="89" t="s">
        <v>195</v>
      </c>
      <c r="C32" s="97">
        <v>18.648725509643555</v>
      </c>
      <c r="D32" s="97">
        <v>18.836643218994141</v>
      </c>
      <c r="E32" s="97">
        <v>18.618749618530273</v>
      </c>
      <c r="F32" s="102">
        <f t="shared" si="6"/>
        <v>18.701372782389324</v>
      </c>
      <c r="G32" s="83">
        <f t="shared" si="13"/>
        <v>100</v>
      </c>
      <c r="H32" s="111">
        <f t="shared" si="8"/>
        <v>6.6438561897747244</v>
      </c>
      <c r="I32" s="97">
        <f t="shared" si="12"/>
        <v>12.004869319868831</v>
      </c>
      <c r="J32" s="97">
        <f t="shared" si="9"/>
        <v>12.192787029219417</v>
      </c>
      <c r="K32" s="97">
        <f t="shared" si="10"/>
        <v>11.97489342875555</v>
      </c>
      <c r="L32" s="102">
        <f t="shared" si="11"/>
        <v>12.057516592614599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 spans="1:22">
      <c r="A33" s="83"/>
      <c r="B33" s="89" t="s">
        <v>196</v>
      </c>
      <c r="C33" s="97">
        <v>19.173038482666016</v>
      </c>
      <c r="D33" s="97">
        <v>19.267778396606445</v>
      </c>
      <c r="E33" s="97">
        <v>19.15654182434082</v>
      </c>
      <c r="F33" s="102">
        <f t="shared" si="6"/>
        <v>19.199119567871094</v>
      </c>
      <c r="G33" s="83">
        <f t="shared" si="13"/>
        <v>100</v>
      </c>
      <c r="H33" s="111">
        <f t="shared" si="8"/>
        <v>6.6438561897747244</v>
      </c>
      <c r="I33" s="97">
        <f t="shared" si="12"/>
        <v>12.529182292891292</v>
      </c>
      <c r="J33" s="97">
        <f t="shared" si="9"/>
        <v>12.623922206831722</v>
      </c>
      <c r="K33" s="97">
        <f t="shared" si="10"/>
        <v>12.512685634566097</v>
      </c>
      <c r="L33" s="102">
        <f t="shared" si="11"/>
        <v>12.55526337809637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 spans="1:22">
      <c r="A34" s="83"/>
      <c r="B34" s="89" t="s">
        <v>197</v>
      </c>
      <c r="C34" s="97">
        <v>20.283313751220703</v>
      </c>
      <c r="D34" s="97">
        <v>20.449991226196289</v>
      </c>
      <c r="E34" s="97">
        <v>20.311237335205078</v>
      </c>
      <c r="F34" s="102">
        <f t="shared" si="6"/>
        <v>20.348180770874023</v>
      </c>
      <c r="G34" s="83">
        <f t="shared" si="13"/>
        <v>100</v>
      </c>
      <c r="H34" s="111">
        <f t="shared" si="8"/>
        <v>6.6438561897747244</v>
      </c>
      <c r="I34" s="97">
        <f t="shared" si="12"/>
        <v>13.63945756144598</v>
      </c>
      <c r="J34" s="97">
        <f t="shared" si="9"/>
        <v>13.806135036421566</v>
      </c>
      <c r="K34" s="97">
        <f t="shared" si="10"/>
        <v>13.667381145430355</v>
      </c>
      <c r="L34" s="102">
        <f t="shared" si="11"/>
        <v>13.7043245810993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</row>
    <row r="35" spans="1:22">
      <c r="A35" s="83"/>
      <c r="B35" s="89" t="s">
        <v>198</v>
      </c>
      <c r="C35" s="97">
        <v>21.243825912475586</v>
      </c>
      <c r="D35" s="97">
        <v>21.539775848388672</v>
      </c>
      <c r="E35" s="97">
        <v>21.392797470092773</v>
      </c>
      <c r="F35" s="102">
        <f t="shared" si="6"/>
        <v>21.392133076985676</v>
      </c>
      <c r="G35" s="83">
        <f t="shared" si="13"/>
        <v>100</v>
      </c>
      <c r="H35" s="111">
        <f t="shared" si="8"/>
        <v>6.6438561897747244</v>
      </c>
      <c r="I35" s="97">
        <f t="shared" si="12"/>
        <v>14.599969722700862</v>
      </c>
      <c r="J35" s="97">
        <f t="shared" si="9"/>
        <v>14.895919658613948</v>
      </c>
      <c r="K35" s="97">
        <f t="shared" si="10"/>
        <v>14.74894128031805</v>
      </c>
      <c r="L35" s="102">
        <f t="shared" si="11"/>
        <v>14.748276887210954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</row>
    <row r="36" spans="1:22">
      <c r="A36" s="83"/>
      <c r="B36" s="89" t="s">
        <v>199</v>
      </c>
      <c r="C36" s="97">
        <v>22.513101577758789</v>
      </c>
      <c r="D36" s="97">
        <v>22.496644973754883</v>
      </c>
      <c r="E36" s="97">
        <v>22.572574615478516</v>
      </c>
      <c r="F36" s="102">
        <f t="shared" si="6"/>
        <v>22.527440388997395</v>
      </c>
      <c r="G36" s="83">
        <f t="shared" si="13"/>
        <v>100</v>
      </c>
      <c r="H36" s="111">
        <f t="shared" si="8"/>
        <v>6.6438561897747244</v>
      </c>
      <c r="I36" s="97">
        <f t="shared" si="12"/>
        <v>15.869245387984066</v>
      </c>
      <c r="J36" s="97">
        <f t="shared" si="9"/>
        <v>15.852788783980159</v>
      </c>
      <c r="K36" s="97">
        <f t="shared" si="10"/>
        <v>15.928718425703792</v>
      </c>
      <c r="L36" s="102">
        <f t="shared" si="11"/>
        <v>15.883584199222673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</row>
    <row r="37" spans="1:22">
      <c r="A37" s="83"/>
      <c r="B37" s="89" t="s">
        <v>200</v>
      </c>
      <c r="C37" s="97">
        <v>25.11761474609375</v>
      </c>
      <c r="D37" s="97">
        <v>25.00200080871582</v>
      </c>
      <c r="E37" s="97">
        <v>25.069990158081055</v>
      </c>
      <c r="F37" s="102">
        <f t="shared" si="6"/>
        <v>25.063201904296875</v>
      </c>
      <c r="G37" s="83">
        <f t="shared" si="13"/>
        <v>100</v>
      </c>
      <c r="H37" s="111">
        <f t="shared" si="8"/>
        <v>6.6438561897747244</v>
      </c>
      <c r="I37" s="97">
        <f t="shared" si="12"/>
        <v>18.473758556319027</v>
      </c>
      <c r="J37" s="97">
        <f t="shared" si="9"/>
        <v>18.358144618941097</v>
      </c>
      <c r="K37" s="97">
        <f t="shared" si="10"/>
        <v>18.426133968306331</v>
      </c>
      <c r="L37" s="102">
        <f t="shared" si="11"/>
        <v>18.419345714522152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</row>
    <row r="38" spans="1:22">
      <c r="A38" s="83"/>
      <c r="B38" s="89" t="s">
        <v>201</v>
      </c>
      <c r="C38" s="97">
        <v>25.78911018371582</v>
      </c>
      <c r="D38" s="97">
        <v>25.811565399169922</v>
      </c>
      <c r="E38" s="97">
        <v>25.885698318481445</v>
      </c>
      <c r="F38" s="102">
        <f t="shared" si="6"/>
        <v>25.82879130045573</v>
      </c>
      <c r="G38" s="83">
        <f t="shared" si="13"/>
        <v>100</v>
      </c>
      <c r="H38" s="111">
        <f t="shared" si="8"/>
        <v>6.6438561897747244</v>
      </c>
      <c r="I38" s="97">
        <f t="shared" si="12"/>
        <v>19.145253993941097</v>
      </c>
      <c r="J38" s="97">
        <f t="shared" si="9"/>
        <v>19.167709209395198</v>
      </c>
      <c r="K38" s="97">
        <f t="shared" si="10"/>
        <v>19.241842128706722</v>
      </c>
      <c r="L38" s="102">
        <f t="shared" si="11"/>
        <v>19.184935110681007</v>
      </c>
      <c r="M38" s="83"/>
      <c r="N38" s="83"/>
      <c r="O38" s="83"/>
      <c r="P38" s="83"/>
      <c r="Q38" s="83"/>
      <c r="R38" s="83"/>
      <c r="S38" s="83"/>
      <c r="T38" s="83"/>
      <c r="U38" s="83"/>
      <c r="V38" s="83"/>
    </row>
    <row r="39" spans="1:22">
      <c r="A39" s="83"/>
      <c r="B39" s="83"/>
      <c r="C39" s="83"/>
      <c r="D39" s="83"/>
      <c r="E39" s="83"/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</row>
    <row r="40" spans="1:22">
      <c r="A40" s="83"/>
      <c r="B40" s="89" t="s">
        <v>286</v>
      </c>
      <c r="C40" s="97">
        <v>10.746070861816406</v>
      </c>
      <c r="D40" s="97">
        <v>10.822755813598633</v>
      </c>
      <c r="E40" s="97">
        <v>10.731834411621094</v>
      </c>
      <c r="F40" s="102">
        <f>AVERAGE(C40:E40)</f>
        <v>10.766887029012045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</row>
    <row r="41" spans="1:2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</row>
    <row r="42" spans="1:22">
      <c r="A42" s="83"/>
      <c r="B42" s="96" t="s">
        <v>214</v>
      </c>
      <c r="C42" s="83" t="s">
        <v>215</v>
      </c>
      <c r="D42" s="83"/>
      <c r="E42" s="83"/>
      <c r="F42" t="s">
        <v>264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</row>
    <row r="43" spans="1:22">
      <c r="A43" s="83"/>
      <c r="B43" s="83" t="s">
        <v>265</v>
      </c>
      <c r="C43" s="83" t="s">
        <v>215</v>
      </c>
      <c r="D43" s="83"/>
      <c r="E43" s="83"/>
      <c r="F43">
        <v>0.34642903804779052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</row>
    <row r="44" spans="1:22">
      <c r="A44" s="83"/>
      <c r="B44" s="83"/>
      <c r="C44" s="100" t="s">
        <v>217</v>
      </c>
      <c r="D44" s="98">
        <v>-3.9893000000000001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</row>
    <row r="45" spans="1:22">
      <c r="A45" s="83"/>
      <c r="B45" s="83"/>
      <c r="C45" s="100" t="s">
        <v>218</v>
      </c>
      <c r="D45" s="98">
        <v>40.134999999999998</v>
      </c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</row>
    <row r="46" spans="1:2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</row>
    <row r="47" spans="1:2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</row>
    <row r="48" spans="1:22">
      <c r="A48" s="83"/>
      <c r="B48" s="96" t="s">
        <v>219</v>
      </c>
      <c r="C48" s="83"/>
      <c r="D48" s="83">
        <f>-1+ POWER(10,-(1/D44))</f>
        <v>0.78102716558460528</v>
      </c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</row>
    <row r="49" spans="1:2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</row>
    <row r="50" spans="1:22">
      <c r="A50" s="83"/>
      <c r="B50" s="96" t="s">
        <v>287</v>
      </c>
      <c r="C50" s="11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</row>
    <row r="51" spans="1:2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</row>
    <row r="52" spans="1:2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</row>
    <row r="53" spans="1:2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</row>
    <row r="54" spans="1:2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</row>
    <row r="55" spans="1:2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Calibration F. prausnitzii</vt:lpstr>
      <vt:lpstr>Determination cell counts FP</vt:lpstr>
      <vt:lpstr>CalibrationB. hydrogenotrophica</vt:lpstr>
      <vt:lpstr>Determination cell counts BH</vt:lpstr>
      <vt:lpstr>Total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2016-04-13T16:04:18Z</dcterms:modified>
</cp:coreProperties>
</file>