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sabe\Documents\GECKO\ecCollab\data\"/>
    </mc:Choice>
  </mc:AlternateContent>
  <xr:revisionPtr revIDLastSave="0" documentId="13_ncr:1_{914231D9-AA31-43BA-AE31-0524560635DF}" xr6:coauthVersionLast="47" xr6:coauthVersionMax="47" xr10:uidLastSave="{00000000-0000-0000-0000-000000000000}"/>
  <bookViews>
    <workbookView xWindow="3650" yWindow="14290" windowWidth="19420" windowHeight="10420" activeTab="3" xr2:uid="{3171616A-1048-884C-94E3-682E97848501}"/>
  </bookViews>
  <sheets>
    <sheet name="RawData" sheetId="1" r:id="rId1"/>
    <sheet name="Pivot tables" sheetId="2" r:id="rId2"/>
    <sheet name="fluxData" sheetId="3" r:id="rId3"/>
    <sheet name="lipidNchainData" sheetId="4" r:id="rId4"/>
    <sheet name="xPOOLmets" sheetId="5" r:id="rId5"/>
  </sheets>
  <definedNames>
    <definedName name="_xlcn.WorksheetConnection_Sample_Data.xlsxTable11" hidden="1">Table1[]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ample_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B20" i="2"/>
  <c r="F20" i="2"/>
  <c r="G6" i="4" s="1"/>
  <c r="B2" i="4"/>
  <c r="B3" i="4"/>
  <c r="B4" i="4"/>
  <c r="B5" i="4"/>
  <c r="F18" i="2"/>
  <c r="G4" i="4" s="1"/>
  <c r="B18" i="2"/>
  <c r="C4" i="4" s="1"/>
  <c r="C18" i="2"/>
  <c r="D4" i="4" s="1"/>
  <c r="D18" i="2"/>
  <c r="E4" i="4" s="1"/>
  <c r="E18" i="2"/>
  <c r="F4" i="4" s="1"/>
  <c r="B19" i="2"/>
  <c r="C5" i="4" s="1"/>
  <c r="C19" i="2"/>
  <c r="D5" i="4" s="1"/>
  <c r="D19" i="2"/>
  <c r="E5" i="4" s="1"/>
  <c r="E19" i="2"/>
  <c r="F5" i="4" s="1"/>
  <c r="F19" i="2"/>
  <c r="G5" i="4" s="1"/>
  <c r="C20" i="2"/>
  <c r="D20" i="2"/>
  <c r="E20" i="2"/>
  <c r="B17" i="2"/>
  <c r="C3" i="4" s="1"/>
  <c r="C17" i="2"/>
  <c r="D3" i="4" s="1"/>
  <c r="D17" i="2"/>
  <c r="E3" i="4" s="1"/>
  <c r="E17" i="2"/>
  <c r="F3" i="4" s="1"/>
  <c r="F17" i="2"/>
  <c r="G3" i="4" s="1"/>
  <c r="F16" i="2"/>
  <c r="G2" i="4" s="1"/>
  <c r="B16" i="2"/>
  <c r="C2" i="4" s="1"/>
  <c r="C16" i="2"/>
  <c r="D2" i="4" s="1"/>
  <c r="D16" i="2"/>
  <c r="E2" i="4" s="1"/>
  <c r="E16" i="2"/>
  <c r="F2" i="4" s="1"/>
  <c r="B1" i="4"/>
  <c r="A2" i="4"/>
  <c r="A3" i="4"/>
  <c r="A4" i="4"/>
  <c r="A5" i="4"/>
  <c r="A6" i="4"/>
  <c r="F3" i="3"/>
  <c r="F4" i="3"/>
  <c r="F5" i="3"/>
  <c r="F6" i="3"/>
  <c r="F2" i="3"/>
  <c r="D3" i="3"/>
  <c r="D4" i="3"/>
  <c r="D5" i="3"/>
  <c r="D6" i="3"/>
  <c r="D2" i="3"/>
  <c r="B3" i="3"/>
  <c r="B4" i="3"/>
  <c r="B5" i="3"/>
  <c r="B6" i="3"/>
  <c r="B2" i="3"/>
  <c r="C2" i="3"/>
  <c r="E2" i="3"/>
  <c r="G2" i="3"/>
  <c r="H2" i="3"/>
  <c r="I2" i="3"/>
  <c r="J2" i="3"/>
  <c r="K2" i="3"/>
  <c r="L2" i="3"/>
  <c r="M2" i="3"/>
  <c r="C3" i="3"/>
  <c r="E3" i="3"/>
  <c r="G3" i="3"/>
  <c r="H3" i="3"/>
  <c r="I3" i="3"/>
  <c r="J3" i="3"/>
  <c r="K3" i="3"/>
  <c r="L3" i="3"/>
  <c r="M3" i="3"/>
  <c r="C4" i="3"/>
  <c r="E4" i="3"/>
  <c r="G4" i="3"/>
  <c r="H4" i="3"/>
  <c r="I4" i="3"/>
  <c r="J4" i="3"/>
  <c r="K4" i="3"/>
  <c r="L4" i="3"/>
  <c r="M4" i="3"/>
  <c r="C5" i="3"/>
  <c r="E5" i="3"/>
  <c r="G5" i="3"/>
  <c r="H5" i="3"/>
  <c r="I5" i="3"/>
  <c r="J5" i="3"/>
  <c r="K5" i="3"/>
  <c r="L5" i="3"/>
  <c r="M5" i="3"/>
  <c r="C6" i="3"/>
  <c r="E6" i="3"/>
  <c r="G6" i="3"/>
  <c r="H6" i="3"/>
  <c r="I6" i="3"/>
  <c r="J6" i="3"/>
  <c r="K6" i="3"/>
  <c r="L6" i="3"/>
  <c r="M6" i="3"/>
  <c r="A2" i="3"/>
  <c r="A3" i="3"/>
  <c r="A4" i="3"/>
  <c r="A5" i="3"/>
  <c r="A6" i="3"/>
  <c r="AR20" i="1"/>
  <c r="N20" i="1" s="1"/>
  <c r="T20" i="1"/>
  <c r="U20" i="1" s="1"/>
  <c r="Q20" i="1"/>
  <c r="V20" i="1" s="1"/>
  <c r="K20" i="1"/>
  <c r="AZ20" i="1" s="1"/>
  <c r="AR19" i="1"/>
  <c r="N19" i="1" s="1"/>
  <c r="T19" i="1"/>
  <c r="Q19" i="1"/>
  <c r="V19" i="1" s="1"/>
  <c r="K19" i="1"/>
  <c r="AT19" i="1" s="1"/>
  <c r="AR18" i="1"/>
  <c r="N18" i="1" s="1"/>
  <c r="T18" i="1"/>
  <c r="U18" i="1" s="1"/>
  <c r="Q18" i="1"/>
  <c r="V18" i="1" s="1"/>
  <c r="K18" i="1"/>
  <c r="AU18" i="1" s="1"/>
  <c r="AR5" i="1"/>
  <c r="N5" i="1" s="1"/>
  <c r="T5" i="1"/>
  <c r="U5" i="1" s="1"/>
  <c r="Q5" i="1"/>
  <c r="V5" i="1" s="1"/>
  <c r="K5" i="1"/>
  <c r="AV5" i="1" s="1"/>
  <c r="AR4" i="1"/>
  <c r="N4" i="1" s="1"/>
  <c r="T4" i="1"/>
  <c r="U4" i="1" s="1"/>
  <c r="Q4" i="1"/>
  <c r="V4" i="1" s="1"/>
  <c r="K4" i="1"/>
  <c r="AW4" i="1" s="1"/>
  <c r="AR3" i="1"/>
  <c r="N3" i="1" s="1"/>
  <c r="T3" i="1"/>
  <c r="U3" i="1" s="1"/>
  <c r="Q3" i="1"/>
  <c r="V3" i="1" s="1"/>
  <c r="K3" i="1"/>
  <c r="AX3" i="1" s="1"/>
  <c r="AR2" i="1"/>
  <c r="N2" i="1" s="1"/>
  <c r="T2" i="1"/>
  <c r="U2" i="1" s="1"/>
  <c r="Q2" i="1"/>
  <c r="V2" i="1" s="1"/>
  <c r="K2" i="1"/>
  <c r="AY2" i="1" s="1"/>
  <c r="AR17" i="1"/>
  <c r="N17" i="1" s="1"/>
  <c r="T17" i="1"/>
  <c r="U17" i="1" s="1"/>
  <c r="Q17" i="1"/>
  <c r="V17" i="1" s="1"/>
  <c r="K17" i="1"/>
  <c r="AZ17" i="1" s="1"/>
  <c r="AR16" i="1"/>
  <c r="N16" i="1" s="1"/>
  <c r="T16" i="1"/>
  <c r="U16" i="1" s="1"/>
  <c r="Q16" i="1"/>
  <c r="V16" i="1" s="1"/>
  <c r="K16" i="1"/>
  <c r="AZ16" i="1" s="1"/>
  <c r="AR15" i="1"/>
  <c r="N15" i="1" s="1"/>
  <c r="T15" i="1"/>
  <c r="Q15" i="1"/>
  <c r="V15" i="1" s="1"/>
  <c r="K15" i="1"/>
  <c r="AT15" i="1" s="1"/>
  <c r="AR14" i="1"/>
  <c r="N14" i="1" s="1"/>
  <c r="T14" i="1"/>
  <c r="U14" i="1" s="1"/>
  <c r="Q14" i="1"/>
  <c r="V14" i="1" s="1"/>
  <c r="K14" i="1"/>
  <c r="AU14" i="1" s="1"/>
  <c r="AR13" i="1"/>
  <c r="N13" i="1" s="1"/>
  <c r="T13" i="1"/>
  <c r="U13" i="1" s="1"/>
  <c r="Q13" i="1"/>
  <c r="V13" i="1" s="1"/>
  <c r="K13" i="1"/>
  <c r="AV13" i="1" s="1"/>
  <c r="AR12" i="1"/>
  <c r="N12" i="1" s="1"/>
  <c r="T12" i="1"/>
  <c r="U12" i="1" s="1"/>
  <c r="Q12" i="1"/>
  <c r="V12" i="1" s="1"/>
  <c r="K12" i="1"/>
  <c r="AX12" i="1" s="1"/>
  <c r="AR11" i="1"/>
  <c r="N11" i="1" s="1"/>
  <c r="T11" i="1"/>
  <c r="U11" i="1" s="1"/>
  <c r="Q11" i="1"/>
  <c r="V11" i="1" s="1"/>
  <c r="K11" i="1"/>
  <c r="AZ11" i="1" s="1"/>
  <c r="AR10" i="1"/>
  <c r="N10" i="1" s="1"/>
  <c r="T10" i="1"/>
  <c r="U10" i="1" s="1"/>
  <c r="Q10" i="1"/>
  <c r="V10" i="1" s="1"/>
  <c r="K10" i="1"/>
  <c r="AT10" i="1" s="1"/>
  <c r="AR9" i="1"/>
  <c r="N9" i="1" s="1"/>
  <c r="T9" i="1"/>
  <c r="U9" i="1" s="1"/>
  <c r="Q9" i="1"/>
  <c r="V9" i="1" s="1"/>
  <c r="K9" i="1"/>
  <c r="AV9" i="1" s="1"/>
  <c r="AR8" i="1"/>
  <c r="N8" i="1" s="1"/>
  <c r="T8" i="1"/>
  <c r="U8" i="1" s="1"/>
  <c r="Q8" i="1"/>
  <c r="V8" i="1" s="1"/>
  <c r="K8" i="1"/>
  <c r="AW8" i="1" s="1"/>
  <c r="AR7" i="1"/>
  <c r="N7" i="1" s="1"/>
  <c r="T7" i="1"/>
  <c r="U7" i="1" s="1"/>
  <c r="Q7" i="1"/>
  <c r="V7" i="1" s="1"/>
  <c r="K7" i="1"/>
  <c r="AX7" i="1" s="1"/>
  <c r="AR6" i="1"/>
  <c r="N6" i="1" s="1"/>
  <c r="T6" i="1"/>
  <c r="U6" i="1" s="1"/>
  <c r="Q6" i="1"/>
  <c r="V6" i="1" s="1"/>
  <c r="K6" i="1"/>
  <c r="AY6" i="1" s="1"/>
  <c r="X10" i="1" l="1"/>
  <c r="W15" i="1"/>
  <c r="W5" i="1"/>
  <c r="AV19" i="1"/>
  <c r="AX19" i="1"/>
  <c r="W8" i="1"/>
  <c r="AX8" i="1"/>
  <c r="AW13" i="1"/>
  <c r="AV2" i="1"/>
  <c r="AZ15" i="1"/>
  <c r="W20" i="1"/>
  <c r="AT20" i="1"/>
  <c r="AU20" i="1"/>
  <c r="AX9" i="1"/>
  <c r="AY12" i="1"/>
  <c r="X15" i="1"/>
  <c r="W19" i="1"/>
  <c r="X20" i="1"/>
  <c r="W14" i="1"/>
  <c r="W4" i="1"/>
  <c r="W10" i="1"/>
  <c r="W17" i="1"/>
  <c r="AT4" i="1"/>
  <c r="AW19" i="1"/>
  <c r="AT17" i="1"/>
  <c r="AX4" i="1"/>
  <c r="AW17" i="1"/>
  <c r="AX20" i="1"/>
  <c r="W16" i="1"/>
  <c r="AX14" i="1"/>
  <c r="AY14" i="1"/>
  <c r="AU16" i="1"/>
  <c r="AZ14" i="1"/>
  <c r="AY3" i="1"/>
  <c r="W18" i="1"/>
  <c r="W6" i="1"/>
  <c r="W9" i="1"/>
  <c r="W12" i="1"/>
  <c r="X13" i="1"/>
  <c r="AX15" i="1"/>
  <c r="AZ3" i="1"/>
  <c r="AW20" i="1"/>
  <c r="AV14" i="1"/>
  <c r="AW14" i="1"/>
  <c r="AZ7" i="1"/>
  <c r="AX10" i="1"/>
  <c r="AZ6" i="1"/>
  <c r="AW9" i="1"/>
  <c r="AU12" i="1"/>
  <c r="W13" i="1"/>
  <c r="X14" i="1"/>
  <c r="W2" i="1"/>
  <c r="AV11" i="1"/>
  <c r="AW11" i="1"/>
  <c r="AV16" i="1"/>
  <c r="AW16" i="1"/>
  <c r="AY4" i="1"/>
  <c r="AV18" i="1"/>
  <c r="AX11" i="1"/>
  <c r="AU10" i="1"/>
  <c r="AX13" i="1"/>
  <c r="AU15" i="1"/>
  <c r="AX16" i="1"/>
  <c r="AZ4" i="1"/>
  <c r="AW18" i="1"/>
  <c r="AY19" i="1"/>
  <c r="AV10" i="1"/>
  <c r="AX18" i="1"/>
  <c r="AZ19" i="1"/>
  <c r="AY8" i="1"/>
  <c r="X7" i="1"/>
  <c r="AY13" i="1"/>
  <c r="AV15" i="1"/>
  <c r="AY16" i="1"/>
  <c r="W7" i="1"/>
  <c r="X8" i="1"/>
  <c r="AW10" i="1"/>
  <c r="W11" i="1"/>
  <c r="AW15" i="1"/>
  <c r="X16" i="1"/>
  <c r="X3" i="1"/>
  <c r="AY18" i="1"/>
  <c r="X19" i="1"/>
  <c r="AV20" i="1"/>
  <c r="AZ8" i="1"/>
  <c r="AU7" i="1"/>
  <c r="AT11" i="1"/>
  <c r="W3" i="1"/>
  <c r="X4" i="1"/>
  <c r="AZ18" i="1"/>
  <c r="AY7" i="1"/>
  <c r="AT8" i="1"/>
  <c r="AY10" i="1"/>
  <c r="AU11" i="1"/>
  <c r="X12" i="1"/>
  <c r="AY15" i="1"/>
  <c r="AT16" i="1"/>
  <c r="AU3" i="1"/>
  <c r="X18" i="1"/>
  <c r="AU19" i="1"/>
  <c r="AZ2" i="1"/>
  <c r="AW5" i="1"/>
  <c r="AZ12" i="1"/>
  <c r="AX5" i="1"/>
  <c r="X9" i="1"/>
  <c r="AU17" i="1"/>
  <c r="AT2" i="1"/>
  <c r="X5" i="1"/>
  <c r="AY5" i="1"/>
  <c r="AT6" i="1"/>
  <c r="AY9" i="1"/>
  <c r="AU6" i="1"/>
  <c r="AT7" i="1"/>
  <c r="AZ9" i="1"/>
  <c r="AT12" i="1"/>
  <c r="AZ13" i="1"/>
  <c r="AV17" i="1"/>
  <c r="AU2" i="1"/>
  <c r="AT3" i="1"/>
  <c r="AZ5" i="1"/>
  <c r="AV6" i="1"/>
  <c r="AW6" i="1"/>
  <c r="AV7" i="1"/>
  <c r="AU8" i="1"/>
  <c r="AT9" i="1"/>
  <c r="AZ10" i="1"/>
  <c r="AV12" i="1"/>
  <c r="AT13" i="1"/>
  <c r="AX17" i="1"/>
  <c r="AW2" i="1"/>
  <c r="AV3" i="1"/>
  <c r="AU4" i="1"/>
  <c r="AT5" i="1"/>
  <c r="AY20" i="1"/>
  <c r="AX6" i="1"/>
  <c r="AW7" i="1"/>
  <c r="AV8" i="1"/>
  <c r="AU9" i="1"/>
  <c r="X11" i="1"/>
  <c r="AY11" i="1"/>
  <c r="AW12" i="1"/>
  <c r="AU13" i="1"/>
  <c r="AT14" i="1"/>
  <c r="X17" i="1"/>
  <c r="AY17" i="1"/>
  <c r="AX2" i="1"/>
  <c r="AW3" i="1"/>
  <c r="AV4" i="1"/>
  <c r="AU5" i="1"/>
  <c r="AT18" i="1"/>
  <c r="X6" i="1"/>
  <c r="X2" i="1"/>
  <c r="BA15" i="1" l="1"/>
  <c r="BA16" i="1"/>
  <c r="BA20" i="1"/>
  <c r="BA14" i="1"/>
  <c r="BA19" i="1"/>
  <c r="BA3" i="1"/>
  <c r="BA7" i="1"/>
  <c r="BA2" i="1"/>
  <c r="BA8" i="1"/>
  <c r="BA10" i="1"/>
  <c r="BA18" i="1"/>
  <c r="BA13" i="1"/>
  <c r="BA4" i="1"/>
  <c r="BA12" i="1"/>
  <c r="BA6" i="1"/>
  <c r="BA5" i="1"/>
  <c r="BA17" i="1"/>
  <c r="BA9" i="1"/>
  <c r="B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tc={DF13A365-E24E-5F40-9791-1C3EF8F11480}</author>
    <author>tc={42984A51-26D2-6D4C-9E33-649636BECBD6}</author>
  </authors>
  <commentList>
    <comment ref="O6" authorId="0" shapeId="0" xr:uid="{DF13A365-E24E-5F40-9791-1C3EF8F114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O10" authorId="1" shapeId="0" xr:uid="{42984A51-26D2-6D4C-9E33-649636BECB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B2FF7-3D20-4EDC-9E80-54C5151380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0057DB-88CC-4664-913E-72935E63E49B}" name="WorksheetConnection_Sample_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ample_Data.xlsxTable11"/>
        </x15:connection>
      </ext>
    </extLst>
  </connection>
</connections>
</file>

<file path=xl/sharedStrings.xml><?xml version="1.0" encoding="utf-8"?>
<sst xmlns="http://schemas.openxmlformats.org/spreadsheetml/2006/main" count="298" uniqueCount="174">
  <si>
    <t>Strain</t>
  </si>
  <si>
    <t>Nitrogen source</t>
  </si>
  <si>
    <t>C/N ratio</t>
  </si>
  <si>
    <t>Sampling date</t>
  </si>
  <si>
    <t>System</t>
  </si>
  <si>
    <t>Reactor</t>
  </si>
  <si>
    <t>Replicate</t>
  </si>
  <si>
    <t>aimed DR</t>
  </si>
  <si>
    <t>Dilution Rate</t>
  </si>
  <si>
    <t>OD</t>
  </si>
  <si>
    <t>CO2 out (%)</t>
  </si>
  <si>
    <t>CO2 in (%)</t>
  </si>
  <si>
    <t>CER</t>
  </si>
  <si>
    <t>O2 in (%)</t>
  </si>
  <si>
    <t>O2 out (%)</t>
  </si>
  <si>
    <t>OER</t>
  </si>
  <si>
    <t>qO2 mmol gCDW-1 h-1</t>
  </si>
  <si>
    <t>qCO2 mmol gCDW-1 h-1</t>
  </si>
  <si>
    <t>qglu mmol gCDW-1 h-1</t>
  </si>
  <si>
    <t>qbiomass mmol gCDW-1 h-1</t>
  </si>
  <si>
    <t>C balance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</si>
  <si>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</si>
  <si>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</si>
  <si>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</si>
  <si>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</si>
  <si>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</si>
  <si>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</si>
  <si>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</si>
  <si>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</si>
  <si>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</si>
  <si>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</si>
  <si>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</si>
  <si>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</si>
  <si>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</si>
  <si>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</si>
  <si>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</si>
  <si>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OKYL029</t>
  </si>
  <si>
    <t>Ammonium Sulphate</t>
  </si>
  <si>
    <t>JFYL07</t>
  </si>
  <si>
    <t>JFYL18</t>
  </si>
  <si>
    <t>ST6512</t>
  </si>
  <si>
    <t>Vessel volume (mL)</t>
  </si>
  <si>
    <t>C pump (mL/h)</t>
  </si>
  <si>
    <t>CDW (g/L)</t>
  </si>
  <si>
    <t>Biomass Yield (gCDW/gGlu)</t>
  </si>
  <si>
    <t>Lipid Content (%)</t>
  </si>
  <si>
    <t>C16:0 (g/L)</t>
  </si>
  <si>
    <t>C16:1 (g/L)</t>
  </si>
  <si>
    <t>C18:0 (g/L)</t>
  </si>
  <si>
    <t>C18:1 (g/L)</t>
  </si>
  <si>
    <t>C18:2 (g/L)</t>
  </si>
  <si>
    <t>Protein content (µg/mg DCW)</t>
  </si>
  <si>
    <t>C16:0 (%)</t>
  </si>
  <si>
    <t>C16:1 (%)</t>
  </si>
  <si>
    <t>C18:0 (%)</t>
  </si>
  <si>
    <t>C18:1 (%)</t>
  </si>
  <si>
    <t>C18:2 (%)</t>
  </si>
  <si>
    <t>Itaconate (g/L)</t>
  </si>
  <si>
    <t>qItaconate mmol gCDW-1 h-1</t>
  </si>
  <si>
    <t>Condition</t>
  </si>
  <si>
    <t>Ptot</t>
  </si>
  <si>
    <t>grRate</t>
  </si>
  <si>
    <t>Row Labels</t>
  </si>
  <si>
    <t>glucose (1714)</t>
  </si>
  <si>
    <t>CO2 (1672)</t>
  </si>
  <si>
    <t>oxygen (1992)</t>
  </si>
  <si>
    <t>Citrate ()</t>
  </si>
  <si>
    <t>pyruvate ()</t>
  </si>
  <si>
    <t>acetate ()</t>
  </si>
  <si>
    <t>ethanol ()</t>
  </si>
  <si>
    <t>glycerol ()</t>
  </si>
  <si>
    <t>succinate ()</t>
  </si>
  <si>
    <t>itaconate ()</t>
  </si>
  <si>
    <t>citrate (1687)</t>
  </si>
  <si>
    <t>pyruvate (2033)</t>
  </si>
  <si>
    <t>acetate (1634)</t>
  </si>
  <si>
    <t>ethanol (1761)</t>
  </si>
  <si>
    <t>glycerol (1808)</t>
  </si>
  <si>
    <t>succinate (2056)</t>
  </si>
  <si>
    <t>lipidCont</t>
  </si>
  <si>
    <t>C16:0(m/m)</t>
  </si>
  <si>
    <t>C16:1(m/m)</t>
  </si>
  <si>
    <t>C18:0(m/m)</t>
  </si>
  <si>
    <t>C18:1(m/m)</t>
  </si>
  <si>
    <t>C18:2(m/m)</t>
  </si>
  <si>
    <t>chain</t>
  </si>
  <si>
    <t>C16:0</t>
  </si>
  <si>
    <t>C16:1</t>
  </si>
  <si>
    <t>C18:0</t>
  </si>
  <si>
    <t>C18:1</t>
  </si>
  <si>
    <t>C18:2</t>
  </si>
  <si>
    <t>FA</t>
  </si>
  <si>
    <t>palmitate</t>
  </si>
  <si>
    <t>palmitoleate</t>
  </si>
  <si>
    <t>stearate</t>
  </si>
  <si>
    <t>oleate</t>
  </si>
  <si>
    <t>linoleate</t>
  </si>
  <si>
    <t>formula</t>
  </si>
  <si>
    <t>C16H32O2</t>
  </si>
  <si>
    <t>C18H32O2</t>
  </si>
  <si>
    <t>C18H36O2</t>
  </si>
  <si>
    <t>C18H34O2</t>
  </si>
  <si>
    <t>C16H30O2</t>
  </si>
  <si>
    <t>MW</t>
  </si>
  <si>
    <t>EM</t>
  </si>
  <si>
    <t>LP</t>
  </si>
  <si>
    <t>MM</t>
  </si>
  <si>
    <t>palmitoyl-CoA</t>
  </si>
  <si>
    <t>stearoyl-CoA</t>
  </si>
  <si>
    <t>EN</t>
  </si>
  <si>
    <t>MI</t>
  </si>
  <si>
    <t>m1473</t>
  </si>
  <si>
    <t>m1483</t>
  </si>
  <si>
    <t>m1615</t>
  </si>
  <si>
    <t>m1626</t>
  </si>
  <si>
    <t>m1768</t>
  </si>
  <si>
    <t>m1474</t>
  </si>
  <si>
    <t>m1485</t>
  </si>
  <si>
    <t>m1780</t>
  </si>
  <si>
    <t>m1596</t>
  </si>
  <si>
    <t>m1769</t>
  </si>
  <si>
    <t>m1475</t>
  </si>
  <si>
    <t>m1487</t>
  </si>
  <si>
    <t>m1627</t>
  </si>
  <si>
    <t>m1616</t>
  </si>
  <si>
    <t>m1770</t>
  </si>
  <si>
    <t>m1476</t>
  </si>
  <si>
    <t>m1489</t>
  </si>
  <si>
    <t>m1781</t>
  </si>
  <si>
    <t>m1598</t>
  </si>
  <si>
    <t>m1771</t>
  </si>
  <si>
    <t>m1749</t>
  </si>
  <si>
    <t>m1761</t>
  </si>
  <si>
    <t>m1782</t>
  </si>
  <si>
    <t>m1756</t>
  </si>
  <si>
    <t>m1772</t>
  </si>
  <si>
    <t>m1428</t>
  </si>
  <si>
    <t>m1484</t>
  </si>
  <si>
    <t>m1741</t>
  </si>
  <si>
    <t>palmitoleoyl-CoA</t>
  </si>
  <si>
    <t>m243</t>
  </si>
  <si>
    <t>m1486</t>
  </si>
  <si>
    <t>m1624</t>
  </si>
  <si>
    <t>m1430</t>
  </si>
  <si>
    <t>m1488</t>
  </si>
  <si>
    <t>m1742</t>
  </si>
  <si>
    <t>m231</t>
  </si>
  <si>
    <t>m1490</t>
  </si>
  <si>
    <t>oleoyl-CoA</t>
  </si>
  <si>
    <t>m1625</t>
  </si>
  <si>
    <t>linoleoyl-CoA</t>
  </si>
  <si>
    <t>m1731</t>
  </si>
  <si>
    <t>m1735</t>
  </si>
  <si>
    <t>m1743</t>
  </si>
  <si>
    <t>acyl-CoA</t>
  </si>
  <si>
    <t>m567</t>
  </si>
  <si>
    <t>m570</t>
  </si>
  <si>
    <t>m790</t>
  </si>
  <si>
    <t>fatty acid</t>
  </si>
  <si>
    <t>m1658</t>
  </si>
  <si>
    <t>m1641</t>
  </si>
  <si>
    <t>m1655</t>
  </si>
  <si>
    <t>m1661</t>
  </si>
  <si>
    <t>m1698</t>
  </si>
  <si>
    <t>xPOOL_AC_EM</t>
  </si>
  <si>
    <t>xPOOL_AC_LP</t>
  </si>
  <si>
    <t>xPOOL_FA_EM</t>
  </si>
  <si>
    <t>xPOOL_FA_EN</t>
  </si>
  <si>
    <t>xPOOL_FA_LP</t>
  </si>
  <si>
    <t>xPOOL_FA_MI</t>
  </si>
  <si>
    <t>xPOOL_FA_MM</t>
  </si>
  <si>
    <t>xPOOL_AC_MM</t>
  </si>
  <si>
    <t>rxns</t>
  </si>
  <si>
    <t>JFYL14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</si>
</sst>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0.000"/>
    <numFmt numFmtId="166" formatCode="0.000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4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7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0"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701DF52-38A2-6442-80C4-DA97B9CE1B82}" userId="S::jingf@net.chalmers.se::aa026e82-f045-4203-a007-b065a015b151" providerId="AD"/>
</personList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no Sabedotti De Biaggi" refreshedDate="45327.716639467595" backgroundQuery="1" createdVersion="8" refreshedVersion="8" minRefreshableVersion="3" recordCount="0" supportSubquery="1" supportAdvancedDrill="1" xr:uid="{9C69830B-CC26-4273-B036-50A5B227DCBB}">
  <cacheSource type="external" connectionId="1"/>
  <cacheFields count="13">
    <cacheField name="[Table1].[Strain].[Strain]" caption="Strain" numFmtId="0" level="1">
      <sharedItems count="5">
        <s v="JFYL07"/>
        <s v="JFYL14"/>
        <s v="JFYL18"/>
        <s v="OKYL029"/>
        <s v="ST6512"/>
      </sharedItems>
    </cacheField>
    <cacheField name="[Measures].[Average of Protein content (µg/mg DCW)]" caption="Average of Protein content (µg/mg DCW)" numFmtId="0" hierarchy="57" level="32767"/>
    <cacheField name="[Measures].[Average of Dilution Rate]" caption="Average of Dilution Rate" numFmtId="0" hierarchy="59" level="32767"/>
    <cacheField name="[Measures].[Average of qglu mmol gCDW-1 h-1]" caption="Average of qglu mmol gCDW-1 h-1" numFmtId="0" hierarchy="61" level="32767"/>
    <cacheField name="[Measures].[Average of qCO2 mmol gCDW-1 h-1]" caption="Average of qCO2 mmol gCDW-1 h-1" numFmtId="0" hierarchy="63" level="32767"/>
    <cacheField name="[Measures].[Average of qO2 mmol gCDW-1 h-1]" caption="Average of qO2 mmol gCDW-1 h-1" numFmtId="0" hierarchy="65" level="32767"/>
    <cacheField name="[Measures].[Average of qCitrate mmol gCDW-1 h-1]" caption="Average of qCitrate mmol gCDW-1 h-1" numFmtId="0" hierarchy="67" level="32767"/>
    <cacheField name="[Measures].[Average of qPyruvate mmol gCDW-1 h-1]" caption="Average of qPyruvate mmol gCDW-1 h-1" numFmtId="0" hierarchy="69" level="32767"/>
    <cacheField name="[Measures].[Average of qAcetate mmol gCDW-1 h-1]" caption="Average of qAcetate mmol gCDW-1 h-1" numFmtId="0" hierarchy="71" level="32767"/>
    <cacheField name="[Measures].[Average of qEthanol mmol gCDW-1 h-1]" caption="Average of qEthanol mmol gCDW-1 h-1" numFmtId="0" hierarchy="73" level="32767"/>
    <cacheField name="[Measures].[Average of qGlycerol mmol gCDW-1 h-1]" caption="Average of qGlycerol mmol gCDW-1 h-1" numFmtId="0" hierarchy="75" level="32767"/>
    <cacheField name="[Measures].[Average of qSuccinate mmol gCDW-1 h-1]" caption="Average of qSuccinate mmol gCDW-1 h-1" numFmtId="0" hierarchy="77" level="32767"/>
    <cacheField name="[Measures].[Average of qItaconate mmol gCDW-1 h-1]" caption="Average of qItaconate mmol gCDW-1 h-1" numFmtId="0" hierarchy="79" level="32767"/>
  </cacheFields>
  <cacheHierarchies count="80">
    <cacheHierarchy uniqueName="[Table1].[Strain]" caption="Strain" attribute="1" defaultMemberUniqueName="[Table1].[Strain].[All]" allUniqueName="[Table1].[Strai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itrogen source]" caption="Nitrogen source" attribute="1" defaultMemberUniqueName="[Table1].[Nitrogen source].[All]" allUniqueName="[Table1].[Nitrogen source].[All]" dimensionUniqueName="[Table1]" displayFolder="" count="0" memberValueDatatype="130" unbalanced="0"/>
    <cacheHierarchy uniqueName="[Table1].[C/N ratio]" caption="C/N ratio" attribute="1" defaultMemberUniqueName="[Table1].[C/N ratio].[All]" allUniqueName="[Table1].[C/N ratio].[All]" dimensionUniqueName="[Table1]" displayFolder="" count="0" memberValueDatatype="20" unbalanced="0"/>
    <cacheHierarchy uniqueName="[Table1].[Sampling date]" caption="Sampling date" attribute="1" time="1" defaultMemberUniqueName="[Table1].[Sampling date].[All]" allUniqueName="[Table1].[Sampling date].[All]" dimensionUniqueName="[Table1]" displayFolder="" count="0" memberValueDatatype="7" unbalanced="0"/>
    <cacheHierarchy uniqueName="[Table1].[System]" caption="System" attribute="1" defaultMemberUniqueName="[Table1].[System].[All]" allUniqueName="[Table1].[System].[All]" dimensionUniqueName="[Table1]" displayFolder="" count="0" memberValueDatatype="20" unbalanced="0"/>
    <cacheHierarchy uniqueName="[Table1].[Reactor]" caption="Reactor" attribute="1" defaultMemberUniqueName="[Table1].[Reactor].[All]" allUniqueName="[Table1].[Reactor].[All]" dimensionUniqueName="[Table1]" displayFolder="" count="0" memberValueDatatype="20" unbalanced="0"/>
    <cacheHierarchy uniqueName="[Table1].[Replicate]" caption="Replicate" attribute="1" defaultMemberUniqueName="[Table1].[Replicate].[All]" allUniqueName="[Table1].[Replicate].[All]" dimensionUniqueName="[Table1]" displayFolder="" count="0" memberValueDatatype="20" unbalanced="0"/>
    <cacheHierarchy uniqueName="[Table1].[Vessel volume (mL)]" caption="Vessel volume (mL)" attribute="1" defaultMemberUniqueName="[Table1].[Vessel volume (mL)].[All]" allUniqueName="[Table1].[Vessel volume (mL)].[All]" dimensionUniqueName="[Table1]" displayFolder="" count="0" memberValueDatatype="20" unbalanced="0"/>
    <cacheHierarchy uniqueName="[Table1].[C pump (mL/h)]" caption="C pump (mL/h)" attribute="1" defaultMemberUniqueName="[Table1].[C pump (mL/h)].[All]" allUniqueName="[Table1].[C pump (mL/h)].[All]" dimensionUniqueName="[Table1]" displayFolder="" count="0" memberValueDatatype="20" unbalanced="0"/>
    <cacheHierarchy uniqueName="[Table1].[aimed DR]" caption="aimed DR" attribute="1" defaultMemberUniqueName="[Table1].[aimed DR].[All]" allUniqueName="[Table1].[aimed DR].[All]" dimensionUniqueName="[Table1]" displayFolder="" count="0" memberValueDatatype="5" unbalanced="0"/>
    <cacheHierarchy uniqueName="[Table1].[Dilution Rate]" caption="Dilution Rate" attribute="1" defaultMemberUniqueName="[Table1].[Dilution Rate].[All]" allUniqueName="[Table1].[Dilution Rate].[All]" dimensionUniqueName="[Table1]" displayFolder="" count="0" memberValueDatatype="5" unbalanced="0"/>
    <cacheHierarchy uniqueName="[Table1].[OD]" caption="OD" attribute="1" defaultMemberUniqueName="[Table1].[OD].[All]" allUniqueName="[Table1].[OD].[All]" dimensionUniqueName="[Table1]" displayFolder="" count="0" memberValueDatatype="5" unbalanced="0"/>
    <cacheHierarchy uniqueName="[Table1].[CDW (g/L)]" caption="CDW (g/L)" attribute="1" defaultMemberUniqueName="[Table1].[CDW (g/L)].[All]" allUniqueName="[Table1].[CDW (g/L)].[All]" dimensionUniqueName="[Table1]" displayFolder="" count="0" memberValueDatatype="5" unbalanced="0"/>
    <cacheHierarchy uniqueName="[Table1].[Biomass Yield (gCDW/gGlu)]" caption="Biomass Yield (gCDW/gGlu)" attribute="1" defaultMemberUniqueName="[Table1].[Biomass Yield (gCDW/gGlu)].[All]" allUniqueName="[Table1].[Biomass Yield (gCDW/gGlu)].[All]" dimensionUniqueName="[Table1]" displayFolder="" count="0" memberValueDatatype="5" unbalanced="0"/>
    <cacheHierarchy uniqueName="[Table1].[CO2 out (%)]" caption="CO2 out (%)" attribute="1" defaultMemberUniqueName="[Table1].[CO2 out (%)].[All]" allUniqueName="[Table1].[CO2 out (%)].[All]" dimensionUniqueName="[Table1]" displayFolder="" count="0" memberValueDatatype="5" unbalanced="0"/>
    <cacheHierarchy uniqueName="[Table1].[CO2 in (%)]" caption="CO2 in (%)" attribute="1" defaultMemberUniqueName="[Table1].[CO2 in (%)].[All]" allUniqueName="[Table1].[CO2 in (%)].[All]" dimensionUniqueName="[Table1]" displayFolder="" count="0" memberValueDatatype="5" unbalanced="0"/>
    <cacheHierarchy uniqueName="[Table1].[CER]" caption="CER" attribute="1" defaultMemberUniqueName="[Table1].[CER].[All]" allUniqueName="[Table1].[CER].[All]" dimensionUniqueName="[Table1]" displayFolder="" count="0" memberValueDatatype="5" unbalanced="0"/>
    <cacheHierarchy uniqueName="[Table1].[O2 in (%)]" caption="O2 in (%)" attribute="1" defaultMemberUniqueName="[Table1].[O2 in (%)].[All]" allUniqueName="[Table1].[O2 in (%)].[All]" dimensionUniqueName="[Table1]" displayFolder="" count="0" memberValueDatatype="5" unbalanced="0"/>
    <cacheHierarchy uniqueName="[Table1].[O2 out (%)]" caption="O2 out (%)" attribute="1" defaultMemberUniqueName="[Table1].[O2 out (%)].[All]" allUniqueName="[Table1].[O2 out (%)].[All]" dimensionUniqueName="[Table1]" displayFolder="" count="0" memberValueDatatype="5" unbalanced="0"/>
    <cacheHierarchy uniqueName="[Table1].[OER]" caption="OER" attribute="1" defaultMemberUniqueName="[Table1].[OER].[All]" allUniqueName="[Table1].[OER].[All]" dimensionUniqueName="[Table1]" displayFolder="" count="0" memberValueDatatype="5" unbalanced="0"/>
    <cacheHierarchy uniqueName="[Table1].[qO2 mmol gCDW-1 h-1]" caption="qO2 mmol gCDW-1 h-1" attribute="1" defaultMemberUniqueName="[Table1].[qO2 mmol gCDW-1 h-1].[All]" allUniqueName="[Table1].[qO2 mmol gCDW-1 h-1].[All]" dimensionUniqueName="[Table1]" displayFolder="" count="0" memberValueDatatype="5" unbalanced="0"/>
    <cacheHierarchy uniqueName="[Table1].[qCO2 mmol gCDW-1 h-1]" caption="qCO2 mmol gCDW-1 h-1" attribute="1" defaultMemberUniqueName="[Table1].[qCO2 mmol gCDW-1 h-1].[All]" allUniqueName="[Table1].[qCO2 mmol gCDW-1 h-1].[All]" dimensionUniqueName="[Table1]" displayFolder="" count="0" memberValueDatatype="5" unbalanced="0"/>
    <cacheHierarchy uniqueName="[Table1].[qglu mmol gCDW-1 h-1]" caption="qglu mmol gCDW-1 h-1" attribute="1" defaultMemberUniqueName="[Table1].[qglu mmol gCDW-1 h-1].[All]" allUniqueName="[Table1].[qglu mmol gCDW-1 h-1].[All]" dimensionUniqueName="[Table1]" displayFolder="" count="0" memberValueDatatype="5" unbalanced="0"/>
    <cacheHierarchy uniqueName="[Table1].[qbiomass mmol gCDW-1 h-1]" caption="qbiomass mmol gCDW-1 h-1" attribute="1" defaultMemberUniqueName="[Table1].[qbiomass mmol gCDW-1 h-1].[All]" allUniqueName="[Table1].[qbiomass mmol gCDW-1 h-1].[All]" dimensionUniqueName="[Table1]" displayFolder="" count="0" memberValueDatatype="5" unbalanced="0"/>
    <cacheHierarchy uniqueName="[Table1].[Lipid Content (%)]" caption="Lipid Content (%)" attribute="1" defaultMemberUniqueName="[Table1].[Lipid Content (%)].[All]" allUniqueName="[Table1].[Lipid Content (%)].[All]" dimensionUniqueName="[Table1]" displayFolder="" count="0" memberValueDatatype="5" unbalanced="0"/>
    <cacheHierarchy uniqueName="[Table1].[C16:0 (g/L)]" caption="C16:0 (g/L)" attribute="1" defaultMemberUniqueName="[Table1].[C16:0 (g/L)].[All]" allUniqueName="[Table1].[C16:0 (g/L)].[All]" dimensionUniqueName="[Table1]" displayFolder="" count="0" memberValueDatatype="5" unbalanced="0"/>
    <cacheHierarchy uniqueName="[Table1].[C16:1 (g/L)]" caption="C16:1 (g/L)" attribute="1" defaultMemberUniqueName="[Table1].[C16:1 (g/L)].[All]" allUniqueName="[Table1].[C16:1 (g/L)].[All]" dimensionUniqueName="[Table1]" displayFolder="" count="0" memberValueDatatype="5" unbalanced="0"/>
    <cacheHierarchy uniqueName="[Table1].[C18:0 (g/L)]" caption="C18:0 (g/L)" attribute="1" defaultMemberUniqueName="[Table1].[C18:0 (g/L)].[All]" allUniqueName="[Table1].[C18:0 (g/L)].[All]" dimensionUniqueName="[Table1]" displayFolder="" count="0" memberValueDatatype="5" unbalanced="0"/>
    <cacheHierarchy uniqueName="[Table1].[C18:1 (g/L)]" caption="C18:1 (g/L)" attribute="1" defaultMemberUniqueName="[Table1].[C18:1 (g/L)].[All]" allUniqueName="[Table1].[C18:1 (g/L)].[All]" dimensionUniqueName="[Table1]" displayFolder="" count="0" memberValueDatatype="5" unbalanced="0"/>
    <cacheHierarchy uniqueName="[Table1].[C18:2 (g/L)]" caption="C18:2 (g/L)" attribute="1" defaultMemberUniqueName="[Table1].[C18:2 (g/L)].[All]" allUniqueName="[Table1].[C18:2 (g/L)].[All]" dimensionUniqueName="[Table1]" displayFolder="" count="0" memberValueDatatype="5" unbalanced="0"/>
    <cacheHierarchy uniqueName="[Table1].[C16:0 (%)]" caption="C16:0 (%)" attribute="1" defaultMemberUniqueName="[Table1].[C16:0 (%)].[All]" allUniqueName="[Table1].[C16:0 (%)].[All]" dimensionUniqueName="[Table1]" displayFolder="" count="0" memberValueDatatype="5" unbalanced="0"/>
    <cacheHierarchy uniqueName="[Table1].[C16:1 (%)]" caption="C16:1 (%)" attribute="1" defaultMemberUniqueName="[Table1].[C16:1 (%)].[All]" allUniqueName="[Table1].[C16:1 (%)].[All]" dimensionUniqueName="[Table1]" displayFolder="" count="0" memberValueDatatype="5" unbalanced="0"/>
    <cacheHierarchy uniqueName="[Table1].[C18:0 (%)]" caption="C18:0 (%)" attribute="1" defaultMemberUniqueName="[Table1].[C18:0 (%)].[All]" allUniqueName="[Table1].[C18:0 (%)].[All]" dimensionUniqueName="[Table1]" displayFolder="" count="0" memberValueDatatype="5" unbalanced="0"/>
    <cacheHierarchy uniqueName="[Table1].[C18:1 (%)]" caption="C18:1 (%)" attribute="1" defaultMemberUniqueName="[Table1].[C18:1 (%)].[All]" allUniqueName="[Table1].[C18:1 (%)].[All]" dimensionUniqueName="[Table1]" displayFolder="" count="0" memberValueDatatype="5" unbalanced="0"/>
    <cacheHierarchy uniqueName="[Table1].[C18:2 (%)]" caption="C18:2 (%)" attribute="1" defaultMemberUniqueName="[Table1].[C18:2 (%)].[All]" allUniqueName="[Table1].[C18:2 (%)].[All]" dimensionUniqueName="[Table1]" displayFolder="" count="0" memberValueDatatype="5" unbalanced="0"/>
    <cacheHierarchy uniqueName="[Table1].[Citrate (g/l)]" caption="Citrate (g/l)" attribute="1" defaultMemberUniqueName="[Table1].[Citrate (g/l)].[All]" allUniqueName="[Table1].[Citrate (g/l)].[All]" dimensionUniqueName="[Table1]" displayFolder="" count="0" memberValueDatatype="5" unbalanced="0"/>
    <cacheHierarchy uniqueName="[Table1].[Glucose (g/l)]" caption="Glucose (g/l)" attribute="1" defaultMemberUniqueName="[Table1].[Glucose (g/l)].[All]" allUniqueName="[Table1].[Glucose (g/l)].[All]" dimensionUniqueName="[Table1]" displayFolder="" count="0" memberValueDatatype="5" unbalanced="0"/>
    <cacheHierarchy uniqueName="[Table1].[Pyruvate (g/l)]" caption="Pyruvate (g/l)" attribute="1" defaultMemberUniqueName="[Table1].[Pyruvate (g/l)].[All]" allUniqueName="[Table1].[Pyruvate (g/l)].[All]" dimensionUniqueName="[Table1]" displayFolder="" count="0" memberValueDatatype="5" unbalanced="0"/>
    <cacheHierarchy uniqueName="[Table1].[Acetate (g/l)]" caption="Acetate (g/l)" attribute="1" defaultMemberUniqueName="[Table1].[Acetate (g/l)].[All]" allUniqueName="[Table1].[Acetate (g/l)].[All]" dimensionUniqueName="[Table1]" displayFolder="" count="0" memberValueDatatype="20" unbalanced="0"/>
    <cacheHierarchy uniqueName="[Table1].[Ethanol (g/l)]" caption="Ethanol (g/l)" attribute="1" defaultMemberUniqueName="[Table1].[Ethanol (g/l)].[All]" allUniqueName="[Table1].[Ethanol (g/l)].[All]" dimensionUniqueName="[Table1]" displayFolder="" count="0" memberValueDatatype="5" unbalanced="0"/>
    <cacheHierarchy uniqueName="[Table1].[Glycerol (g/l)]" caption="Glycerol (g/l)" attribute="1" defaultMemberUniqueName="[Table1].[Glycerol (g/l)].[All]" allUniqueName="[Table1].[Glycerol (g/l)].[All]" dimensionUniqueName="[Table1]" displayFolder="" count="0" memberValueDatatype="20" unbalanced="0"/>
    <cacheHierarchy uniqueName="[Table1].[Succinate (g/l)]" caption="Succinate (g/l)" attribute="1" defaultMemberUniqueName="[Table1].[Succinate (g/l)].[All]" allUniqueName="[Table1].[Succinate (g/l)].[All]" dimensionUniqueName="[Table1]" displayFolder="" count="0" memberValueDatatype="5" unbalanced="0"/>
    <cacheHierarchy uniqueName="[Table1].[Glucose in medium (g/l)]" caption="Glucose in medium (g/l)" attribute="1" defaultMemberUniqueName="[Table1].[Glucose in medium (g/l)].[All]" allUniqueName="[Table1].[Glucose in medium (g/l)].[All]" dimensionUniqueName="[Table1]" displayFolder="" count="0" memberValueDatatype="5" unbalanced="0"/>
    <cacheHierarchy uniqueName="[Table1].[Glucose consumed]" caption="Glucose consumed" attribute="1" defaultMemberUniqueName="[Table1].[Glucose consumed].[All]" allUniqueName="[Table1].[Glucose consumed].[All]" dimensionUniqueName="[Table1]" displayFolder="" count="0" memberValueDatatype="5" unbalanced="0"/>
    <cacheHierarchy uniqueName="[Table1].[Itaconate (g/L)]" caption="Itaconate (g/L)" attribute="1" defaultMemberUniqueName="[Table1].[Itaconate (g/L)].[All]" allUniqueName="[Table1].[Itaconate (g/L)].[All]" dimensionUniqueName="[Table1]" displayFolder="" count="0" memberValueDatatype="5" unbalanced="0"/>
    <cacheHierarchy uniqueName="[Table1].[qCitrate mmol gCDW-1 h-1]" caption="qCitrate mmol gCDW-1 h-1" attribute="1" defaultMemberUniqueName="[Table1].[qCitrate mmol gCDW-1 h-1].[All]" allUniqueName="[Table1].[qCitrate mmol gCDW-1 h-1].[All]" dimensionUniqueName="[Table1]" displayFolder="" count="0" memberValueDatatype="5" unbalanced="0"/>
    <cacheHierarchy uniqueName="[Table1].[qPyruvate mmol gCDW-1 h-1]" caption="qPyruvate mmol gCDW-1 h-1" attribute="1" defaultMemberUniqueName="[Table1].[qPyruvate mmol gCDW-1 h-1].[All]" allUniqueName="[Table1].[qPyruvate mmol gCDW-1 h-1].[All]" dimensionUniqueName="[Table1]" displayFolder="" count="0" memberValueDatatype="5" unbalanced="0"/>
    <cacheHierarchy uniqueName="[Table1].[qAcetate mmol gCDW-1 h-1]" caption="qAcetate mmol gCDW-1 h-1" attribute="1" defaultMemberUniqueName="[Table1].[qAcetate mmol gCDW-1 h-1].[All]" allUniqueName="[Table1].[qAcetate mmol gCDW-1 h-1].[All]" dimensionUniqueName="[Table1]" displayFolder="" count="0" memberValueDatatype="20" unbalanced="0"/>
    <cacheHierarchy uniqueName="[Table1].[qEthanol mmol gCDW-1 h-1]" caption="qEthanol mmol gCDW-1 h-1" attribute="1" defaultMemberUniqueName="[Table1].[qEthanol mmol gCDW-1 h-1].[All]" allUniqueName="[Table1].[qEthanol mmol gCDW-1 h-1].[All]" dimensionUniqueName="[Table1]" displayFolder="" count="0" memberValueDatatype="5" unbalanced="0"/>
    <cacheHierarchy uniqueName="[Table1].[qGlycerol mmol gCDW-1 h-1]" caption="qGlycerol mmol gCDW-1 h-1" attribute="1" defaultMemberUniqueName="[Table1].[qGlycerol mmol gCDW-1 h-1].[All]" allUniqueName="[Table1].[qGlycerol mmol gCDW-1 h-1].[All]" dimensionUniqueName="[Table1]" displayFolder="" count="0" memberValueDatatype="20" unbalanced="0"/>
    <cacheHierarchy uniqueName="[Table1].[qSuccinate mmol gCDW-1 h-1]" caption="qSuccinate mmol gCDW-1 h-1" attribute="1" defaultMemberUniqueName="[Table1].[qSuccinate mmol gCDW-1 h-1].[All]" allUniqueName="[Table1].[qSuccinate mmol gCDW-1 h-1].[All]" dimensionUniqueName="[Table1]" displayFolder="" count="0" memberValueDatatype="5" unbalanced="0"/>
    <cacheHierarchy uniqueName="[Table1].[qItaconate mmol gCDW-1 h-1]" caption="qItaconate mmol gCDW-1 h-1" attribute="1" defaultMemberUniqueName="[Table1].[qItaconate mmol gCDW-1 h-1].[All]" allUniqueName="[Table1].[qItaconate mmol gCDW-1 h-1].[All]" dimensionUniqueName="[Table1]" displayFolder="" count="0" memberValueDatatype="5" unbalanced="0"/>
    <cacheHierarchy uniqueName="[Table1].[C balance]" caption="C balance" attribute="1" defaultMemberUniqueName="[Table1].[C balance].[All]" allUniqueName="[Table1].[C balance].[All]" dimensionUniqueName="[Table1]" displayFolder="" count="0" memberValueDatatype="5" unbalanced="0"/>
    <cacheHierarchy uniqueName="[Table1].[Protein content (µg/mg DCW)]" caption="Protein content (µg/mg DCW)" attribute="1" defaultMemberUniqueName="[Table1].[Protein content (µg/mg DCW)].[All]" allUniqueName="[Table1].[Protein content (µg/mg DCW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tein content (µg/mg DCW)]" caption="Sum of Protein content (µg/mg DCW)" measure="1" displayFolder="" measureGroup="Table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Average of Protein content (µg/mg DCW)]" caption="Average of Protein content (µg/mg DCW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Dilution Rate]" caption="Sum of Dilut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ilution Rate]" caption="Average of Dilution Rat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glu mmol gCDW-1 h-1]" caption="Sum of qglu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qglu mmol gCDW-1 h-1]" caption="Average of qglu mmol gCDW-1 h-1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CO2 mmol gCDW-1 h-1]" caption="Sum of qCO2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CO2 mmol gCDW-1 h-1]" caption="Average of qCO2 mmol gCDW-1 h-1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O2 mmol gCDW-1 h-1]" caption="Sum of qO2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qO2 mmol gCDW-1 h-1]" caption="Average of qO2 mmol gCDW-1 h-1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qCitrate mmol gCDW-1 h-1]" caption="Sum of qCitr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qCitrate mmol gCDW-1 h-1]" caption="Average of qCitrate mmol gCDW-1 h-1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Pyruvate mmol gCDW-1 h-1]" caption="Sum of qPyruv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qPyruvate mmol gCDW-1 h-1]" caption="Average of qPyruvate mmol gCDW-1 h-1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Acetate mmol gCDW-1 h-1]" caption="Sum of qAcet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Average of qAcetate mmol gCDW-1 h-1]" caption="Average of qAcetate mmol gCDW-1 h-1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qEthanol mmol gCDW-1 h-1]" caption="Sum of qEthanol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qEthanol mmol gCDW-1 h-1]" caption="Average of qEthanol mmol gCDW-1 h-1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qGlycerol mmol gCDW-1 h-1]" caption="Sum of qGlycerol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qGlycerol mmol gCDW-1 h-1]" caption="Average of qGlycerol mmol gCDW-1 h-1" measure="1" displayFolder="" measureGroup="Table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Succinate mmol gCDW-1 h-1]" caption="Sum of qSuccin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qSuccinate mmol gCDW-1 h-1]" caption="Average of qSuccinate mmol gCDW-1 h-1" measure="1" displayFolder="" measureGroup="Table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Itaconate mmol gCDW-1 h-1]" caption="Sum of qItacon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qItaconate mmol gCDW-1 h-1]" caption="Average of qItaconate mmol gCDW-1 h-1" measure="1" displayFolder="" measureGroup="Table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o Sabedotti De Biaggi" refreshedDate="45327.716679282406" createdVersion="8" refreshedVersion="8" minRefreshableVersion="3" recordCount="19" xr:uid="{5C82F358-6549-4DF6-B701-813678CD7A75}">
  <cacheSource type="worksheet">
    <worksheetSource name="Table1"/>
  </cacheSource>
  <cacheFields count="54">
    <cacheField name="Strain" numFmtId="0">
      <sharedItems count="6">
        <s v="ST6512"/>
        <s v="OKYL029"/>
        <s v="JFYL07"/>
        <s v="JFYL18"/>
        <s v="JFYL14"/>
        <s v="JFYL66" u="1"/>
      </sharedItems>
    </cacheField>
    <cacheField name="Nitrogen source" numFmtId="0">
      <sharedItems/>
    </cacheField>
    <cacheField name="C/N ratio" numFmtId="0">
      <sharedItems containsSemiMixedTypes="0" containsString="0" containsNumber="1" containsInteger="1" minValue="116" maxValue="116"/>
    </cacheField>
    <cacheField name="Sampling date" numFmtId="14">
      <sharedItems containsSemiMixedTypes="0" containsNonDate="0" containsDate="1" containsString="0" minDate="2020-11-29T00:00:00" maxDate="2020-12-17T00:00:00"/>
    </cacheField>
    <cacheField name="System" numFmtId="0">
      <sharedItems containsSemiMixedTypes="0" containsString="0" containsNumber="1" containsInteger="1" minValue="1" maxValue="1"/>
    </cacheField>
    <cacheField name="Reactor" numFmtId="0">
      <sharedItems containsSemiMixedTypes="0" containsString="0" containsNumber="1" containsInteger="1" minValue="1" maxValue="8"/>
    </cacheField>
    <cacheField name="Replicate" numFmtId="0">
      <sharedItems containsSemiMixedTypes="0" containsString="0" containsNumber="1" containsInteger="1" minValue="1" maxValue="4"/>
    </cacheField>
    <cacheField name="Vessel volume (mL)" numFmtId="0">
      <sharedItems containsSemiMixedTypes="0" containsString="0" containsNumber="1" containsInteger="1" minValue="460" maxValue="500"/>
    </cacheField>
    <cacheField name="C pump (mL/h)" numFmtId="0">
      <sharedItems containsSemiMixedTypes="0" containsString="0" containsNumber="1" containsInteger="1" minValue="50" maxValue="50"/>
    </cacheField>
    <cacheField name="aimed DR" numFmtId="0">
      <sharedItems containsSemiMixedTypes="0" containsString="0" containsNumber="1" minValue="0.1" maxValue="0.1"/>
    </cacheField>
    <cacheField name="Dilution Rate" numFmtId="164">
      <sharedItems containsSemiMixedTypes="0" containsString="0" containsNumber="1" minValue="0.1" maxValue="0.10869565217391304"/>
    </cacheField>
    <cacheField name="OD" numFmtId="0">
      <sharedItems containsSemiMixedTypes="0" containsString="0" containsNumber="1" minValue="1.28" maxValue="3.14"/>
    </cacheField>
    <cacheField name="CDW (g/L)" numFmtId="0">
      <sharedItems containsSemiMixedTypes="0" containsString="0" containsNumber="1" minValue="1.3600000000000023" maxValue="2.6900000000000004"/>
    </cacheField>
    <cacheField name="Biomass Yield (gCDW/gGlu)" numFmtId="2">
      <sharedItems containsSemiMixedTypes="0" containsString="0" containsNumber="1" minValue="0.2827913166431012" maxValue="0.61856144223693887"/>
    </cacheField>
    <cacheField name="CO2 out (%)" numFmtId="2">
      <sharedItems containsSemiMixedTypes="0" containsString="0" containsNumber="1" minValue="0.2" maxValue="0.23"/>
    </cacheField>
    <cacheField name="CO2 in (%)" numFmtId="2">
      <sharedItems containsSemiMixedTypes="0" containsString="0" containsNumber="1" minValue="0.03" maxValue="0.04"/>
    </cacheField>
    <cacheField name="CER" numFmtId="0">
      <sharedItems containsSemiMixedTypes="0" containsString="0" containsNumber="1" minValue="1.9591836734693882" maxValue="2.4489795918367352"/>
    </cacheField>
    <cacheField name="O2 in (%)" numFmtId="0">
      <sharedItems containsSemiMixedTypes="0" containsString="0" containsNumber="1" minValue="20.47" maxValue="21.21"/>
    </cacheField>
    <cacheField name="O2 out (%)" numFmtId="0">
      <sharedItems containsSemiMixedTypes="0" containsString="0" containsNumber="1" minValue="19.84" maxValue="21.76"/>
    </cacheField>
    <cacheField name="OER" numFmtId="0">
      <sharedItems containsSemiMixedTypes="0" containsString="0" containsNumber="1" minValue="-10.653061224489809" maxValue="13.346938775510202"/>
    </cacheField>
    <cacheField name="qO2 mmol gCDW-1 h-1" numFmtId="0">
      <sharedItems containsString="0" containsBlank="1" containsNumber="1" minValue="1.9915029208709247" maxValue="17.357130117964775"/>
    </cacheField>
    <cacheField name="qCO2 mmol gCDW-1 h-1" numFmtId="0">
      <sharedItems containsSemiMixedTypes="0" containsString="0" containsNumber="1" minValue="1.8966694484485243" maxValue="3.4213685474189623"/>
    </cacheField>
    <cacheField name="qglu mmol gCDW-1 h-1" numFmtId="0">
      <sharedItems containsSemiMixedTypes="0" containsString="0" containsNumber="1" minValue="0.93452545498805561" maxValue="1.9623620813475193"/>
    </cacheField>
    <cacheField name="qbiomass mmol gCDW-1 h-1" numFmtId="0">
      <sharedItems containsSemiMixedTypes="0" containsString="0" containsNumber="1" minValue="4.3478260869565215" maxValue="4.7258979206049148"/>
    </cacheField>
    <cacheField name="Lipid Content (%)" numFmtId="2">
      <sharedItems containsSemiMixedTypes="0" containsString="0" containsNumber="1" minValue="1.1999722722122548" maxValue="8.5001607309299594"/>
    </cacheField>
    <cacheField name="C16:0 (g/L)" numFmtId="2">
      <sharedItems containsSemiMixedTypes="0" containsString="0" containsNumber="1" minValue="7.5924479327848493" maxValue="49.036253755983786"/>
    </cacheField>
    <cacheField name="C16:1 (g/L)" numFmtId="2">
      <sharedItems containsSemiMixedTypes="0" containsString="0" containsNumber="1" minValue="1.2595507379809849" maxValue="19.30164210884757"/>
    </cacheField>
    <cacheField name="C18:0 (g/L)" numFmtId="2">
      <sharedItems containsSemiMixedTypes="0" containsString="0" containsNumber="1" minValue="0.38986125811136813" maxValue="19.473963986129874"/>
    </cacheField>
    <cacheField name="C18:1 (g/L)" numFmtId="2">
      <sharedItems containsSemiMixedTypes="0" containsString="0" containsNumber="1" minValue="7.6882901847279186" maxValue="183.78001995191417"/>
    </cacheField>
    <cacheField name="C18:2 (g/L)" numFmtId="2">
      <sharedItems containsSemiMixedTypes="0" containsString="0" containsNumber="1" minValue="18.837211524040846" maxValue="80.05395343915167"/>
    </cacheField>
    <cacheField name="C16:0 (%)" numFmtId="2">
      <sharedItems containsSemiMixedTypes="0" containsString="0" containsNumber="1" minValue="12.104684753303998" maxValue="23.677736052403596"/>
    </cacheField>
    <cacheField name="C16:1 (%)" numFmtId="2">
      <sharedItems containsSemiMixedTypes="0" containsString="0" containsNumber="1" minValue="2.3636968148501389" maxValue="10.621926954840681"/>
    </cacheField>
    <cacheField name="C18:0 (%)" numFmtId="2">
      <sharedItems containsSemiMixedTypes="0" containsString="0" containsNumber="1" minValue="1.0575907840839369" maxValue="6.1913397520078215"/>
    </cacheField>
    <cacheField name="C18:1 (%)" numFmtId="2">
      <sharedItems containsSemiMixedTypes="0" containsString="0" containsNumber="1" minValue="15.036189535763214" maxValue="55.042693430408853"/>
    </cacheField>
    <cacheField name="C18:2 (%)" numFmtId="2">
      <sharedItems containsSemiMixedTypes="0" containsString="0" containsNumber="1" minValue="20.427283164705084" maxValue="57.639902383126326"/>
    </cacheField>
    <cacheField name="Citrate (g/l)" numFmtId="0">
      <sharedItems containsSemiMixedTypes="0" containsString="0" containsNumber="1" minValue="2.3999999999999998E-3" maxValue="3.8600000000000002E-2"/>
    </cacheField>
    <cacheField name="Glucose (g/l)" numFmtId="0">
      <sharedItems containsSemiMixedTypes="0" containsString="0" containsNumber="1" minValue="20.4697" maxValue="22.7319"/>
    </cacheField>
    <cacheField name="Pyruvate (g/l)" numFmtId="0">
      <sharedItems containsSemiMixedTypes="0" containsString="0" containsNumber="1" minValue="0" maxValue="1.8700000000000001E-2"/>
    </cacheField>
    <cacheField name="Acetate (g/l)" numFmtId="0">
      <sharedItems containsSemiMixedTypes="0" containsString="0" containsNumber="1" containsInteger="1" minValue="0" maxValue="0"/>
    </cacheField>
    <cacheField name="Ethanol (g/l)" numFmtId="0">
      <sharedItems containsSemiMixedTypes="0" containsString="0" containsNumber="1" minValue="0" maxValue="0.17979999999999999"/>
    </cacheField>
    <cacheField name="Glycerol (g/l)" numFmtId="0">
      <sharedItems containsSemiMixedTypes="0" containsString="0" containsNumber="1" containsInteger="1" minValue="0" maxValue="0"/>
    </cacheField>
    <cacheField name="Succinate (g/l)" numFmtId="0">
      <sharedItems containsSemiMixedTypes="0" containsString="0" containsNumber="1" minValue="0" maxValue="2.1299999999999999E-2"/>
    </cacheField>
    <cacheField name="Glucose in medium (g/l)" numFmtId="0">
      <sharedItems containsSemiMixedTypes="0" containsString="0" containsNumber="1" minValue="25.0565" maxValue="25.514500000000002"/>
    </cacheField>
    <cacheField name="Glucose consumed" numFmtId="0">
      <sharedItems containsSemiMixedTypes="0" containsString="0" containsNumber="1" minValue="2.6329999999999991" maxValue="4.8092000000000006"/>
    </cacheField>
    <cacheField name="Itaconate (g/L)" numFmtId="0">
      <sharedItems containsSemiMixedTypes="0" containsString="0" containsNumber="1" minValue="0" maxValue="0.2089"/>
    </cacheField>
    <cacheField name="qCitrate mmol gCDW-1 h-1" numFmtId="0">
      <sharedItems containsSemiMixedTypes="0" containsString="0" containsNumber="1" minValue="6.0466679705540227E-4" maxValue="1.2797263054946748E-2"/>
    </cacheField>
    <cacheField name="qPyruvate mmol gCDW-1 h-1" numFmtId="0">
      <sharedItems containsSemiMixedTypes="0" containsString="0" containsNumber="1" minValue="0" maxValue="1.4401259518447007E-2"/>
    </cacheField>
    <cacheField name="qAcetate mmol gCDW-1 h-1" numFmtId="0">
      <sharedItems containsSemiMixedTypes="0" containsString="0" containsNumber="1" containsInteger="1" minValue="0" maxValue="0"/>
    </cacheField>
    <cacheField name="qEthanol mmol gCDW-1 h-1" numFmtId="0">
      <sharedItems containsSemiMixedTypes="0" containsString="0" containsNumber="1" minValue="0" maxValue="0.21403263472478201"/>
    </cacheField>
    <cacheField name="qGlycerol mmol gCDW-1 h-1" numFmtId="0">
      <sharedItems containsSemiMixedTypes="0" containsString="0" containsNumber="1" containsInteger="1" minValue="0" maxValue="0"/>
    </cacheField>
    <cacheField name="qSuccinate mmol gCDW-1 h-1" numFmtId="0">
      <sharedItems containsSemiMixedTypes="0" containsString="0" containsNumber="1" minValue="0" maxValue="1.3109112706272266E-2"/>
    </cacheField>
    <cacheField name="qItaconate mmol gCDW-1 h-1" numFmtId="0">
      <sharedItems containsSemiMixedTypes="0" containsString="0" containsNumber="1" minValue="0" maxValue="0.12725812568900932"/>
    </cacheField>
    <cacheField name="C balance" numFmtId="0">
      <sharedItems containsSemiMixedTypes="0" containsString="0" containsNumber="1" minValue="66.974609016904324" maxValue="129.02542525153103"/>
    </cacheField>
    <cacheField name="Protein content (µg/mg DCW)" numFmtId="0">
      <sharedItems containsSemiMixedTypes="0" containsString="0" containsNumber="1" minValue="142.4833333" maxValue="262.6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Ammonium Sulphate"/>
    <n v="116"/>
    <d v="2020-12-14T00:00:00"/>
    <n v="1"/>
    <n v="1"/>
    <n v="1"/>
    <n v="500"/>
    <n v="50"/>
    <n v="0.1"/>
    <n v="0.1"/>
    <n v="2.16"/>
    <n v="1.9620000000000004"/>
    <n v="0.42774919333740308"/>
    <n v="0.22"/>
    <n v="0.03"/>
    <n v="2.3265306122448983"/>
    <n v="20.83"/>
    <n v="20.58"/>
    <n v="3.0612244897959187"/>
    <n v="3.1205142607501712"/>
    <n v="2.3715908381701305"/>
    <n v="1.2973465885113495"/>
    <n v="4.3478260869565224"/>
    <n v="6.8073556062111056"/>
    <n v="36.448200812655806"/>
    <n v="15.512442204147325"/>
    <n v="13.290974942978767"/>
    <n v="134.97793256715116"/>
    <n v="66.891083460790782"/>
    <n v="13.644846625487894"/>
    <n v="5.8072796446193804"/>
    <n v="4.9756451774480226"/>
    <n v="50.53070238420981"/>
    <n v="25.041526168234878"/>
    <n v="3.2000000000000002E-3"/>
    <n v="20.4697"/>
    <n v="0"/>
    <n v="0"/>
    <n v="2.63E-2"/>
    <n v="0"/>
    <n v="0"/>
    <n v="25.0565"/>
    <n v="4.5868000000000002"/>
    <n v="0"/>
    <n v="8.4892506243472421E-4"/>
    <n v="0"/>
    <n v="0"/>
    <n v="2.9096351406039687E-2"/>
    <n v="0"/>
    <n v="0"/>
    <n v="0"/>
    <n v="87.13558425555614"/>
    <n v="202.5667"/>
  </r>
  <r>
    <x v="0"/>
    <s v="Ammonium Sulphate"/>
    <n v="116"/>
    <d v="2020-12-14T00:00:00"/>
    <n v="1"/>
    <n v="2"/>
    <n v="2"/>
    <n v="490"/>
    <n v="50"/>
    <n v="0.1"/>
    <n v="0.10204081632653061"/>
    <n v="2"/>
    <n v="2.1039999999999992"/>
    <n v="0.46427468114215081"/>
    <n v="0.22"/>
    <n v="0.03"/>
    <n v="2.3265306122448983"/>
    <n v="20.82"/>
    <n v="20.47"/>
    <n v="4.2857142857143034"/>
    <n v="4.1570131583323358"/>
    <n v="2.2566642859518304"/>
    <n v="1.2196750426980469"/>
    <n v="4.4365572315882877"/>
    <n v="7.0800217705660664"/>
    <n v="49.036253755983786"/>
    <n v="17.926814600318199"/>
    <n v="18.445692354124869"/>
    <n v="145.53155652121285"/>
    <n v="66.986998873780308"/>
    <n v="16.459133186240823"/>
    <n v="6.0171772211631946"/>
    <n v="6.1913397520078215"/>
    <n v="48.848007099059451"/>
    <n v="22.484342741528714"/>
    <n v="3.8E-3"/>
    <n v="20.524699999999999"/>
    <n v="0"/>
    <n v="0"/>
    <n v="2.3999999999999998E-3"/>
    <n v="0"/>
    <n v="0"/>
    <n v="25.0565"/>
    <n v="4.5318000000000005"/>
    <n v="0"/>
    <n v="9.592463722356366E-4"/>
    <n v="0"/>
    <n v="0"/>
    <n v="2.5265111446343591E-3"/>
    <n v="0"/>
    <n v="0"/>
    <n v="0"/>
    <n v="91.609510503070751"/>
    <n v="190.55"/>
  </r>
  <r>
    <x v="0"/>
    <s v="Ammonium Sulphate"/>
    <n v="116"/>
    <d v="2020-12-14T00:00:00"/>
    <n v="1"/>
    <n v="3"/>
    <n v="3"/>
    <n v="490"/>
    <n v="50"/>
    <n v="0.1"/>
    <n v="0.10204081632653061"/>
    <n v="2.4"/>
    <n v="2.4620000000000006"/>
    <n v="0.57996278061765338"/>
    <n v="0.23"/>
    <n v="0.03"/>
    <n v="2.4489795918367352"/>
    <n v="20.83"/>
    <n v="20.45"/>
    <n v="4.6530612244897842"/>
    <n v="3.857044401009452"/>
    <n v="2.030023368952349"/>
    <n v="0.97638031347910004"/>
    <n v="4.4365572315882877"/>
    <n v="5.1684196932328552"/>
    <n v="32.543159112997643"/>
    <n v="18.510808978551211"/>
    <n v="9.6015935271907065"/>
    <n v="124.82051777296967"/>
    <n v="69.01690630307661"/>
    <n v="12.787448355070479"/>
    <n v="7.2736028177811063"/>
    <n v="3.772832284936106"/>
    <n v="49.046741870782746"/>
    <n v="27.119374671429565"/>
    <n v="3.5000000000000001E-3"/>
    <n v="20.811399999999999"/>
    <n v="0"/>
    <n v="0"/>
    <n v="3.4599999999999999E-2"/>
    <n v="0"/>
    <n v="0"/>
    <n v="25.0565"/>
    <n v="4.2451000000000008"/>
    <n v="0"/>
    <n v="7.5504406827389204E-4"/>
    <n v="0"/>
    <n v="0"/>
    <n v="3.112746562949327E-2"/>
    <n v="0"/>
    <n v="0"/>
    <n v="0"/>
    <n v="111.52358198294618"/>
    <n v="168.2333333"/>
  </r>
  <r>
    <x v="0"/>
    <s v="Ammonium Sulphate"/>
    <n v="116"/>
    <d v="2020-12-14T00:00:00"/>
    <n v="1"/>
    <n v="4"/>
    <n v="4"/>
    <n v="480"/>
    <n v="50"/>
    <n v="0.1"/>
    <n v="0.10416666666666667"/>
    <n v="2.48"/>
    <n v="2.6900000000000004"/>
    <n v="0.61856144223693887"/>
    <n v="0.23"/>
    <n v="0.03"/>
    <n v="2.4489795918367352"/>
    <n v="20.83"/>
    <n v="20.62"/>
    <n v="2.5714285714285383"/>
    <n v="1.9915029208709247"/>
    <n v="1.8966694484485243"/>
    <n v="0.93452545498805561"/>
    <n v="4.5289855072463769"/>
    <n v="5.8375498470596634"/>
    <n v="40.751204835431288"/>
    <n v="19.30164210884757"/>
    <n v="12.335699052587007"/>
    <n v="161.61768233579241"/>
    <n v="80.05395343915167"/>
    <n v="12.97560378572293"/>
    <n v="6.1458418574283868"/>
    <n v="3.9278137658182617"/>
    <n v="51.460736418098584"/>
    <n v="25.49000417293184"/>
    <n v="3.0000000000000001E-3"/>
    <n v="20.707699999999999"/>
    <n v="0"/>
    <n v="0"/>
    <n v="2.5000000000000001E-3"/>
    <n v="0"/>
    <n v="0"/>
    <n v="25.0565"/>
    <n v="4.3488000000000007"/>
    <n v="0"/>
    <n v="6.0466679705540227E-4"/>
    <n v="0"/>
    <n v="0"/>
    <n v="2.1013494630900821E-3"/>
    <n v="0"/>
    <n v="0"/>
    <n v="0"/>
    <n v="114.73712176706914"/>
    <n v="142.4833333"/>
  </r>
  <r>
    <x v="1"/>
    <s v="Ammonium Sulphate"/>
    <n v="116"/>
    <d v="2020-11-29T00:00:00"/>
    <n v="1"/>
    <n v="1"/>
    <n v="1"/>
    <n v="480"/>
    <n v="50"/>
    <n v="0.1"/>
    <n v="0.10416666666666667"/>
    <n v="2.94"/>
    <n v="1.9380000000000024"/>
    <n v="0.42444152431011889"/>
    <n v="0.2"/>
    <n v="0.03"/>
    <n v="2.081632653061225"/>
    <n v="20.96"/>
    <n v="20.55"/>
    <n v="5.0204081632653068"/>
    <n v="5.3968956003453954"/>
    <n v="2.2377372001432128"/>
    <n v="1.3619341655699588"/>
    <n v="4.5289855072463778"/>
    <n v="7.2752068227663393"/>
    <n v="36.416852188926804"/>
    <n v="16.522123456018885"/>
    <n v="14.650451317038229"/>
    <n v="147.15130870047108"/>
    <n v="67.24628078796863"/>
    <n v="12.914371961990412"/>
    <n v="5.8591787891495537"/>
    <n v="5.1954347052762042"/>
    <n v="52.183717730260057"/>
    <n v="23.847296813323762"/>
    <n v="2.3999999999999998E-3"/>
    <n v="20.739599999999999"/>
    <n v="0"/>
    <n v="0"/>
    <n v="5.5500000000000001E-2"/>
    <n v="0"/>
    <n v="0"/>
    <n v="25.305599999999998"/>
    <n v="4.5659999999999989"/>
    <n v="0"/>
    <n v="6.714359892999092E-4"/>
    <n v="0"/>
    <n v="0"/>
    <n v="6.4751489802277296E-2"/>
    <n v="0"/>
    <n v="0"/>
    <n v="0"/>
    <n v="84.441848431078427"/>
    <n v="219.73330000000001"/>
  </r>
  <r>
    <x v="1"/>
    <s v="Ammonium Sulphate"/>
    <n v="116"/>
    <d v="2020-11-29T00:00:00"/>
    <n v="1"/>
    <n v="2"/>
    <n v="2"/>
    <n v="500"/>
    <n v="50"/>
    <n v="0.1"/>
    <n v="0.1"/>
    <n v="3.14"/>
    <n v="1.9639999999999986"/>
    <n v="0.41002087682672211"/>
    <n v="0.21"/>
    <n v="0.03"/>
    <n v="2.2040816326530615"/>
    <n v="20.96"/>
    <n v="20.58"/>
    <n v="4.6530612244898277"/>
    <n v="4.7383515524336364"/>
    <n v="2.2444823143106545"/>
    <n v="1.3534407345538231"/>
    <n v="4.3478260869565224"/>
    <n v="8.5001607309299594"/>
    <n v="43.706240553856752"/>
    <n v="18.722186309955411"/>
    <n v="19.473963986129874"/>
    <n v="183.78001995191417"/>
    <n v="68.203902709072352"/>
    <n v="13.09015637516576"/>
    <n v="5.6073536267735058"/>
    <n v="5.8325134029467973"/>
    <n v="55.042693430408853"/>
    <n v="20.427283164705084"/>
    <n v="4.7999999999999996E-3"/>
    <n v="20.515599999999999"/>
    <n v="0"/>
    <n v="0"/>
    <n v="9.0399999999999994E-2"/>
    <n v="0"/>
    <n v="0"/>
    <n v="25.305599999999998"/>
    <n v="4.7899999999999991"/>
    <n v="0"/>
    <n v="1.2720908649416474E-3"/>
    <n v="0"/>
    <n v="0"/>
    <n v="9.9909948422594388E-2"/>
    <n v="0"/>
    <n v="0"/>
    <n v="0"/>
    <n v="83.73425189225388"/>
    <n v="199.1333333"/>
  </r>
  <r>
    <x v="1"/>
    <s v="Ammonium Sulphate"/>
    <n v="116"/>
    <d v="2020-11-29T00:00:00"/>
    <n v="1"/>
    <n v="3"/>
    <n v="3"/>
    <n v="460"/>
    <n v="50"/>
    <n v="0.1"/>
    <n v="0.10869565217391304"/>
    <n v="3.06"/>
    <n v="1.9820000000000022"/>
    <n v="0.46369081040613941"/>
    <n v="0.21"/>
    <n v="0.03"/>
    <n v="2.2040816326530615"/>
    <n v="20.96"/>
    <n v="20.49"/>
    <n v="5.7551020408163573"/>
    <n v="6.3123569087179732"/>
    <n v="2.417498390572828"/>
    <n v="1.3008550194037496"/>
    <n v="4.7258979206049148"/>
    <n v="6.4145926745157604"/>
    <n v="32.763108707443145"/>
    <n v="14.832882376275093"/>
    <n v="12.931729407271172"/>
    <n v="132.78494770063253"/>
    <n v="60.961785426183077"/>
    <n v="12.884939183347429"/>
    <n v="5.8334143148214608"/>
    <n v="5.0857367790114711"/>
    <n v="52.221112192504805"/>
    <n v="23.974797530314845"/>
    <n v="2.7000000000000001E-3"/>
    <n v="21.031199999999998"/>
    <n v="0"/>
    <n v="0"/>
    <n v="0.17979999999999999"/>
    <n v="0"/>
    <n v="0"/>
    <n v="25.305599999999998"/>
    <n v="4.2744"/>
    <n v="0"/>
    <n v="7.7070941903450746E-4"/>
    <n v="0"/>
    <n v="0"/>
    <n v="0.21403263472478201"/>
    <n v="0"/>
    <n v="0"/>
    <n v="0"/>
    <n v="97.065464945945493"/>
    <n v="185.4"/>
  </r>
  <r>
    <x v="1"/>
    <s v="Ammonium Sulphate"/>
    <n v="116"/>
    <d v="2020-11-29T00:00:00"/>
    <n v="1"/>
    <n v="4"/>
    <n v="4"/>
    <n v="500"/>
    <n v="50"/>
    <n v="0.1"/>
    <n v="0.1"/>
    <n v="2.9"/>
    <n v="1.9359999999999986"/>
    <n v="0.51411424170804876"/>
    <n v="0.23"/>
    <n v="0.03"/>
    <n v="2.4489795918367352"/>
    <n v="20.96"/>
    <n v="20.63"/>
    <n v="4.0408163265306349"/>
    <n v="4.1743970315399155"/>
    <n v="2.5299375948726621"/>
    <n v="1.0794078663743689"/>
    <n v="4.3478260869565215"/>
    <n v="5.9617196605912675"/>
    <n v="27.942186197001089"/>
    <n v="13.514030056999717"/>
    <n v="11.939378391170768"/>
    <n v="121.17816808962203"/>
    <n v="56.264022523300071"/>
    <n v="12.104684753303998"/>
    <n v="5.8543405456303583"/>
    <n v="5.1721941352979375"/>
    <n v="52.494944861013934"/>
    <n v="24.37383570475377"/>
    <n v="5.7999999999999996E-3"/>
    <n v="21.539899999999999"/>
    <n v="0"/>
    <n v="0"/>
    <n v="7.1999999999999998E-3"/>
    <n v="0"/>
    <n v="0"/>
    <n v="25.305599999999998"/>
    <n v="3.7656999999999989"/>
    <n v="0"/>
    <n v="1.5593407219270073E-3"/>
    <n v="0"/>
    <n v="0"/>
    <n v="8.0725163109676857E-3"/>
    <n v="0"/>
    <n v="0"/>
    <n v="0"/>
    <n v="106.59030402736931"/>
    <n v="166.5166667"/>
  </r>
  <r>
    <x v="2"/>
    <s v="Ammonium Sulphate"/>
    <n v="116"/>
    <d v="2020-12-08T00:00:00"/>
    <n v="1"/>
    <n v="1"/>
    <n v="1"/>
    <n v="470"/>
    <n v="50"/>
    <n v="0.1"/>
    <n v="0.10638297872340426"/>
    <n v="1.58"/>
    <n v="1.5139999999999987"/>
    <n v="0.41342399169875144"/>
    <n v="0.21"/>
    <n v="0.03"/>
    <n v="2.2040816326530615"/>
    <n v="21.12"/>
    <n v="20.440000000000001"/>
    <n v="8.3265306122448948"/>
    <n v="11.701468017995028"/>
    <n v="3.0974474165280972"/>
    <n v="1.4279785501174362"/>
    <n v="4.6253469010175774"/>
    <n v="1.9296153393935058"/>
    <n v="11.393282346079287"/>
    <n v="4.129640786377939"/>
    <n v="1.5629885974836262"/>
    <n v="9.4665270235053587"/>
    <n v="31.876313723389103"/>
    <n v="19.499444816310724"/>
    <n v="7.0678229661247318"/>
    <n v="2.6750333204586032"/>
    <n v="16.201829787925838"/>
    <n v="54.555869109180108"/>
    <n v="1.4500000000000001E-2"/>
    <n v="21.852399999999999"/>
    <n v="1.67E-2"/>
    <n v="0"/>
    <n v="1.17E-2"/>
    <n v="0"/>
    <n v="2.9999999999999997E-4"/>
    <n v="25.514500000000002"/>
    <n v="3.6621000000000024"/>
    <n v="0"/>
    <n v="5.3031346399046607E-3"/>
    <n v="1.3325516803278812E-2"/>
    <n v="0"/>
    <n v="1.7844891870418187E-2"/>
    <n v="0"/>
    <n v="1.7850665148271648E-4"/>
    <n v="0"/>
    <n v="91.399522837109942"/>
    <n v="226.6"/>
  </r>
  <r>
    <x v="2"/>
    <s v="Ammonium Sulphate"/>
    <n v="116"/>
    <d v="2020-12-08T00:00:00"/>
    <n v="1"/>
    <n v="2"/>
    <n v="2"/>
    <n v="480"/>
    <n v="50"/>
    <n v="0.1"/>
    <n v="0.10416666666666667"/>
    <n v="1.6"/>
    <n v="1.5360000000000014"/>
    <n v="0.37062953936732401"/>
    <n v="0.22"/>
    <n v="0.03"/>
    <n v="2.3265306122448983"/>
    <n v="21.12"/>
    <n v="20.38"/>
    <n v="9.0612244897959435"/>
    <n v="12.290072278911587"/>
    <n v="3.1555590986394533"/>
    <n v="1.5596744237691138"/>
    <n v="4.5289855072463778"/>
    <n v="1.1999722722122548"/>
    <n v="7.5924479327848493"/>
    <n v="2.3553373026955171"/>
    <n v="0.38986125811136813"/>
    <n v="7.6882901847279186"/>
    <n v="18.837211524040846"/>
    <n v="20.596309059405495"/>
    <n v="6.3894089831011653"/>
    <n v="1.0575907840839369"/>
    <n v="20.856303814647077"/>
    <n v="51.100387358762319"/>
    <n v="1.2699999999999999E-2"/>
    <n v="21.370200000000001"/>
    <n v="1.8700000000000001E-2"/>
    <n v="0"/>
    <n v="3.0000000000000001E-3"/>
    <n v="0"/>
    <n v="5.9999999999999995E-4"/>
    <n v="25.514500000000002"/>
    <n v="4.1443000000000012"/>
    <n v="0"/>
    <n v="4.4829062039504538E-3"/>
    <n v="1.4401259518447007E-2"/>
    <n v="0"/>
    <n v="4.4161172310252473E-3"/>
    <n v="0"/>
    <n v="3.4456858469528862E-4"/>
    <n v="0"/>
    <n v="82.975183924402316"/>
    <n v="252.35"/>
  </r>
  <r>
    <x v="2"/>
    <s v="Ammonium Sulphate"/>
    <n v="116"/>
    <d v="2020-12-08T00:00:00"/>
    <n v="1"/>
    <n v="3"/>
    <n v="3"/>
    <n v="500"/>
    <n v="50"/>
    <n v="0.1"/>
    <n v="0.1"/>
    <n v="1.6800000000000002"/>
    <n v="1.3600000000000023"/>
    <n v="0.2827913166431012"/>
    <n v="0.22"/>
    <n v="0.03"/>
    <n v="2.3265306122448983"/>
    <n v="21.12"/>
    <n v="20.52"/>
    <n v="7.3469387755102211"/>
    <n v="10.804321728691484"/>
    <n v="3.4213685474189623"/>
    <n v="1.9623620813475193"/>
    <n v="4.3478260869565224"/>
    <n v="2.803843236826852"/>
    <n v="15.632338384797533"/>
    <n v="5.3730374639967398"/>
    <n v="4.0290525283203014"/>
    <n v="12.910323868150751"/>
    <n v="38.31978379642517"/>
    <n v="20.49751981216016"/>
    <n v="7.0452634250073132"/>
    <n v="5.2829961833345376"/>
    <n v="16.928345123732534"/>
    <n v="50.245875455765464"/>
    <n v="1.5100000000000001E-2"/>
    <n v="20.705300000000001"/>
    <n v="1.6299999999999999E-2"/>
    <n v="0"/>
    <n v="1.23E-2"/>
    <n v="0"/>
    <n v="6.9999999999999999E-4"/>
    <n v="25.514500000000002"/>
    <n v="4.8092000000000006"/>
    <n v="0"/>
    <n v="5.779049559904317E-3"/>
    <n v="1.3610372606912375E-2"/>
    <n v="0"/>
    <n v="1.9631251675838526E-2"/>
    <n v="0"/>
    <n v="4.3585899089926359E-4"/>
    <n v="0"/>
    <n v="66.974609016904324"/>
    <n v="243.2666667"/>
  </r>
  <r>
    <x v="2"/>
    <s v="Ammonium Sulphate"/>
    <n v="116"/>
    <d v="2020-12-08T00:00:00"/>
    <n v="1"/>
    <n v="4"/>
    <n v="4"/>
    <n v="490"/>
    <n v="50"/>
    <n v="0.1"/>
    <n v="0.10204081632653061"/>
    <n v="1.6600000000000001"/>
    <n v="1.5859999999999985"/>
    <n v="0.37350163671902548"/>
    <n v="0.23"/>
    <n v="0.03"/>
    <n v="2.4489795918367352"/>
    <n v="21.12"/>
    <n v="20.6"/>
    <n v="6.3673469387755057"/>
    <n v="8.1933074333781697"/>
    <n v="3.1512720897608379"/>
    <n v="1.5160957433010103"/>
    <n v="4.4365572315882877"/>
    <n v="2.1743847341948555"/>
    <n v="16.330885878169877"/>
    <n v="4.6394083665782517"/>
    <n v="3.6074392463589335"/>
    <n v="11.768378292430993"/>
    <n v="32.625371985122683"/>
    <n v="23.677736052403596"/>
    <n v="6.7265601855680339"/>
    <n v="5.2303344066929904"/>
    <n v="17.062672352973664"/>
    <n v="47.302697002361725"/>
    <n v="1.72E-2"/>
    <n v="21.2682"/>
    <n v="1.77E-2"/>
    <n v="0"/>
    <n v="1.6299999999999999E-2"/>
    <n v="0"/>
    <n v="5.9999999999999995E-4"/>
    <n v="25.514500000000002"/>
    <n v="4.2463000000000015"/>
    <n v="0"/>
    <n v="5.7599348104402058E-3"/>
    <n v="1.2931989001105185E-2"/>
    <n v="0"/>
    <n v="2.2763557431553255E-2"/>
    <n v="0"/>
    <n v="3.2689544499593746E-4"/>
    <n v="0"/>
    <n v="84.735409223732205"/>
    <n v="236.8"/>
  </r>
  <r>
    <x v="3"/>
    <s v="Ammonium Sulphate"/>
    <n v="116"/>
    <d v="2020-12-08T00:00:00"/>
    <n v="1"/>
    <n v="5"/>
    <n v="1"/>
    <n v="480"/>
    <n v="50"/>
    <n v="0.1"/>
    <n v="0.10416666666666667"/>
    <n v="1.8199999999999998"/>
    <n v="1.6120000000000005"/>
    <n v="0.45877564960013678"/>
    <n v="0.22"/>
    <n v="0.03"/>
    <n v="2.3265306122448983"/>
    <n v="20.77"/>
    <n v="19.84"/>
    <n v="11.387755102040813"/>
    <n v="14.717425431711138"/>
    <n v="3.0067858408872228"/>
    <n v="1.2600089253829718"/>
    <n v="4.5289855072463769"/>
    <n v="2.5138022335023913"/>
    <n v="11.775913111848178"/>
    <n v="7.2736140327037715"/>
    <n v="1.4437178810612583"/>
    <n v="15.452138450662716"/>
    <n v="45.099600531841197"/>
    <n v="14.530094929340418"/>
    <n v="8.9747861903153403"/>
    <n v="1.7813784514001036"/>
    <n v="19.066125608853344"/>
    <n v="55.647614820090794"/>
    <n v="3.6600000000000001E-2"/>
    <n v="21.5716"/>
    <n v="6.8999999999999999E-3"/>
    <n v="0"/>
    <n v="3.1199999999999999E-2"/>
    <n v="0"/>
    <n v="0"/>
    <n v="25.0853"/>
    <n v="3.5137"/>
    <n v="0"/>
    <n v="1.2310145747992673E-2"/>
    <n v="5.0633055851272155E-3"/>
    <n v="0"/>
    <n v="4.3762297205514736E-2"/>
    <n v="0"/>
    <n v="0"/>
    <n v="0"/>
    <n v="102.01444580301747"/>
    <n v="188.83330000000001"/>
  </r>
  <r>
    <x v="3"/>
    <s v="Ammonium Sulphate"/>
    <n v="116"/>
    <d v="2020-12-08T00:00:00"/>
    <n v="1"/>
    <n v="6"/>
    <n v="2"/>
    <n v="490"/>
    <n v="50"/>
    <n v="0.1"/>
    <n v="0.10204081632653061"/>
    <n v="1.94"/>
    <n v="1.602000000000001"/>
    <n v="0.45911787464534459"/>
    <n v="0.21"/>
    <n v="0.03"/>
    <n v="2.2040816326530615"/>
    <n v="20.47"/>
    <n v="20.440000000000001"/>
    <n v="0.36734693877548064"/>
    <m/>
    <n v="2.8078188395284722"/>
    <n v="1.2333744182430226"/>
    <n v="4.4365572315882886"/>
    <n v="1.8475409406540892"/>
    <n v="9.4795460587293654"/>
    <n v="6.2876721516328073"/>
    <n v="1.3718297088711602"/>
    <n v="13.116102299925771"/>
    <n v="28.940061519397958"/>
    <n v="16.014041981295627"/>
    <n v="10.621926954840681"/>
    <n v="2.3174673568700368"/>
    <n v="22.157370359370706"/>
    <n v="48.889193347622943"/>
    <n v="3.8600000000000002E-2"/>
    <n v="21.596"/>
    <n v="6.4999999999999997E-3"/>
    <n v="0"/>
    <n v="5.3E-3"/>
    <n v="0"/>
    <n v="0"/>
    <n v="25.0853"/>
    <n v="3.4893000000000001"/>
    <n v="0"/>
    <n v="1.2797263054946748E-2"/>
    <n v="4.701604442624443E-3"/>
    <n v="0"/>
    <n v="7.3277234384224506E-3"/>
    <n v="0"/>
    <n v="0"/>
    <n v="0"/>
    <n v="99.31993346785606"/>
    <n v="230.03333330000001"/>
  </r>
  <r>
    <x v="3"/>
    <s v="Ammonium Sulphate"/>
    <n v="116"/>
    <d v="2020-12-08T00:00:00"/>
    <n v="1"/>
    <n v="7"/>
    <n v="3"/>
    <n v="480"/>
    <n v="50"/>
    <n v="0.1"/>
    <n v="0.10416666666666667"/>
    <n v="1.8199999999999998"/>
    <n v="1.602000000000001"/>
    <n v="0.41164529640003106"/>
    <n v="0.2"/>
    <n v="0.03"/>
    <n v="2.081632653061225"/>
    <n v="20.95"/>
    <n v="19.86"/>
    <n v="13.346938775510202"/>
    <n v="17.357130117964775"/>
    <n v="2.7070753394990943"/>
    <n v="1.4042706628737749"/>
    <n v="4.5289855072463769"/>
    <n v="2.1777012131706854"/>
    <n v="11.120193917487596"/>
    <n v="5.9911108109455373"/>
    <n v="1.2075337010572014"/>
    <n v="14.511797595175738"/>
    <n v="36.942910845322729"/>
    <n v="15.937549997577444"/>
    <n v="8.5865074655140567"/>
    <n v="1.7306468643585458"/>
    <n v="20.798423250886209"/>
    <n v="52.946872421663748"/>
    <n v="3.44E-2"/>
    <n v="21.1936"/>
    <n v="7.4999999999999997E-3"/>
    <n v="0"/>
    <n v="3.3700000000000001E-2"/>
    <n v="0"/>
    <n v="0"/>
    <n v="25.0853"/>
    <n v="3.8917000000000002"/>
    <n v="0"/>
    <n v="1.1642415050420032E-2"/>
    <n v="5.537947540591291E-3"/>
    <n v="0"/>
    <n v="4.756395327777907E-2"/>
    <n v="0"/>
    <n v="0"/>
    <n v="0"/>
    <n v="88.036887312562087"/>
    <n v="236.9"/>
  </r>
  <r>
    <x v="3"/>
    <s v="Ammonium Sulphate"/>
    <n v="116"/>
    <d v="2020-12-08T00:00:00"/>
    <n v="1"/>
    <n v="8"/>
    <n v="4"/>
    <n v="470"/>
    <n v="50"/>
    <n v="0.1"/>
    <n v="0.10638297872340426"/>
    <n v="1.8199999999999998"/>
    <n v="1.55"/>
    <n v="0.48439013719178731"/>
    <n v="0.22"/>
    <n v="0.03"/>
    <n v="2.3265306122448983"/>
    <n v="21.21"/>
    <n v="20.399999999999999"/>
    <n v="9.918367346938803"/>
    <n v="13.614780160519977"/>
    <n v="3.193590408023196"/>
    <n v="1.218770876864492"/>
    <n v="4.6253469010175765"/>
    <n v="1.8626386228463261"/>
    <n v="10.968393984304077"/>
    <n v="4.9154829697073366"/>
    <n v="1.8073979653884673"/>
    <n v="11.476501052108846"/>
    <n v="28.574021336727387"/>
    <n v="18.995588110555019"/>
    <n v="8.5128679723417733"/>
    <n v="3.1301380449594447"/>
    <n v="19.875552177299255"/>
    <n v="49.485853694844508"/>
    <n v="3.0700000000000002E-2"/>
    <n v="21.885400000000001"/>
    <n v="7.3000000000000001E-3"/>
    <n v="0"/>
    <n v="0"/>
    <n v="0"/>
    <n v="0"/>
    <n v="25.0853"/>
    <n v="3.1998999999999995"/>
    <n v="0"/>
    <n v="1.0967236370893901E-2"/>
    <n v="5.6896378911801418E-3"/>
    <n v="0"/>
    <n v="0"/>
    <n v="0"/>
    <n v="0"/>
    <n v="0"/>
    <n v="108.05708427149855"/>
    <n v="242.05"/>
  </r>
  <r>
    <x v="4"/>
    <s v="Ammonium Sulphate"/>
    <n v="116"/>
    <d v="2020-12-16T00:00:00"/>
    <n v="1"/>
    <n v="6"/>
    <n v="1"/>
    <n v="480"/>
    <n v="50"/>
    <n v="0.1"/>
    <n v="0.10416666666666667"/>
    <n v="1.28"/>
    <n v="1.4479999999999991"/>
    <n v="0.54994303076338757"/>
    <n v="0.2"/>
    <n v="0.04"/>
    <n v="1.9591836734693882"/>
    <n v="20.89"/>
    <n v="20.54"/>
    <n v="4.2857142857143034"/>
    <n v="6.1661404893449392"/>
    <n v="2.8188070808433898"/>
    <n v="1.0511296278127642"/>
    <n v="4.5289855072463769"/>
    <n v="1.7796980578099666"/>
    <n v="9.3928992997141982"/>
    <n v="1.9216176837310417"/>
    <n v="2.0542991814184957"/>
    <n v="8.4663136141972952"/>
    <n v="29.704925975115572"/>
    <n v="18.224464762929628"/>
    <n v="3.7283965948665503"/>
    <n v="3.9858303437167382"/>
    <n v="16.426667550725764"/>
    <n v="57.634640747761324"/>
    <n v="1.2999999999999999E-2"/>
    <n v="22.7319"/>
    <n v="1.0699999999999999E-2"/>
    <n v="0"/>
    <n v="1.5800000000000002E-2"/>
    <n v="0"/>
    <n v="1.9900000000000001E-2"/>
    <n v="25.364899999999999"/>
    <n v="2.6329999999999991"/>
    <n v="0.2089"/>
    <n v="4.8676790729805328E-3"/>
    <n v="8.7410841595112043E-3"/>
    <n v="0"/>
    <n v="2.4671700243164296E-2"/>
    <n v="0"/>
    <n v="1.2122722360992273E-2"/>
    <n v="0.12725812568900932"/>
    <n v="129.02542525153103"/>
    <n v="247.2"/>
  </r>
  <r>
    <x v="4"/>
    <s v="Ammonium Sulphate"/>
    <n v="116"/>
    <d v="2020-12-16T00:00:00"/>
    <n v="1"/>
    <n v="7"/>
    <n v="2"/>
    <n v="490"/>
    <n v="50"/>
    <n v="0.1"/>
    <n v="0.10204081632653061"/>
    <n v="1.36"/>
    <n v="1.4039999999999992"/>
    <n v="0.45478103135527326"/>
    <n v="0.21"/>
    <n v="0.03"/>
    <n v="2.2040816326530615"/>
    <n v="20.89"/>
    <n v="21.76"/>
    <n v="-10.653061224489809"/>
    <m/>
    <n v="3.2037932912568508"/>
    <n v="1.2451360160255045"/>
    <n v="4.4365572315882877"/>
    <n v="1.8299122164079413"/>
    <n v="11.819828177496907"/>
    <n v="2.3274955479170401"/>
    <n v="1.979853201450166"/>
    <n v="7.7261858630569096"/>
    <n v="27.530572246813939"/>
    <n v="23.00296419308248"/>
    <n v="4.5296171775343534"/>
    <n v="3.8530587430385519"/>
    <n v="15.036189535763214"/>
    <n v="53.578170350581402"/>
    <n v="4.8999999999999998E-3"/>
    <n v="22.277699999999999"/>
    <n v="1.18E-2"/>
    <n v="0"/>
    <n v="2.3E-3"/>
    <n v="0"/>
    <n v="2.1299999999999999E-2"/>
    <n v="25.364899999999999"/>
    <n v="3.0871999999999993"/>
    <n v="0.20069999999999999"/>
    <n v="1.8536224319988981E-3"/>
    <n v="9.7389052971285917E-3"/>
    <n v="0"/>
    <n v="3.6284107108008638E-3"/>
    <n v="0"/>
    <n v="1.3109112706272266E-2"/>
    <n v="0.12352107606332596"/>
    <n v="111.87516220879333"/>
    <n v="245.4833333"/>
  </r>
  <r>
    <x v="4"/>
    <s v="Ammonium Sulphate"/>
    <n v="116"/>
    <d v="2020-12-16T00:00:00"/>
    <n v="1"/>
    <n v="8"/>
    <n v="3"/>
    <n v="470"/>
    <n v="50"/>
    <n v="0.1"/>
    <n v="0.10638297872340426"/>
    <n v="1.34"/>
    <n v="1.5960000000000008"/>
    <n v="0.51647142579768335"/>
    <n v="0.21"/>
    <n v="0.04"/>
    <n v="2.0816326530612246"/>
    <n v="20.9"/>
    <n v="20.5"/>
    <n v="4.8979591836734517"/>
    <n v="6.5295675140956773"/>
    <n v="2.7750661934906726"/>
    <n v="1.1430653522369452"/>
    <n v="4.6253469010175765"/>
    <n v="1.6694023251189356"/>
    <n v="10.021283256331222"/>
    <n v="1.2595507379809849"/>
    <n v="1.3722874672682983"/>
    <n v="9.9194402472960785"/>
    <n v="30.714760508919859"/>
    <n v="18.806130312520001"/>
    <n v="2.3636968148501389"/>
    <n v="2.5752607002083385"/>
    <n v="18.61500978929519"/>
    <n v="57.639902383126326"/>
    <n v="7.6E-3"/>
    <n v="22.274699999999999"/>
    <n v="0.01"/>
    <n v="0"/>
    <n v="1.04E-2"/>
    <n v="0"/>
    <n v="1.6500000000000001E-2"/>
    <n v="25.364899999999999"/>
    <n v="3.0901999999999994"/>
    <n v="0.18129999999999999"/>
    <n v="2.6367638242415911E-3"/>
    <n v="7.5693847043372259E-3"/>
    <n v="0"/>
    <n v="1.5047154715573987E-2"/>
    <n v="0"/>
    <n v="9.3134391409560036E-3"/>
    <n v="0.10233494037911052"/>
    <n v="116.90735185243078"/>
    <n v="262.64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AD6C6-E3B0-42CA-8E1B-5BE24675072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M6" firstHeaderRow="0" firstDataRow="1" firstDataCol="1"/>
  <pivotFields count="13">
    <pivotField name="Condition"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Ptot" fld="1" subtotal="average" baseField="0" baseItem="0"/>
    <dataField name="grRate" fld="2" subtotal="average" baseField="0" baseItem="0"/>
    <dataField name="glucose (1714)" fld="3" subtotal="average" baseField="0" baseItem="0"/>
    <dataField name="CO2 (1672)" fld="4" subtotal="average" baseField="0" baseItem="0"/>
    <dataField name="oxygen (1992)" fld="5" subtotal="average" baseField="0" baseItem="0"/>
    <dataField name="Citrate ()" fld="6" subtotal="average" baseField="0" baseItem="0"/>
    <dataField name="pyruvate ()" fld="7" subtotal="average" baseField="0" baseItem="0"/>
    <dataField name="acetate ()" fld="8" subtotal="average" baseField="0" baseItem="0"/>
    <dataField name="ethanol ()" fld="9" subtotal="average" baseField="0" baseItem="0"/>
    <dataField name="glycerol ()" fld="10" subtotal="average" baseField="0" baseItem="0"/>
    <dataField name="succinate ()" fld="11" subtotal="average" baseField="0" baseItem="0"/>
    <dataField name="itaconate ()" fld="12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tot"/>
    <pivotHierarchy dragToData="1"/>
    <pivotHierarchy dragToData="1" caption="grRate"/>
    <pivotHierarchy dragToData="1"/>
    <pivotHierarchy dragToData="1" caption="glucose (1714)"/>
    <pivotHierarchy dragToData="1"/>
    <pivotHierarchy dragToData="1" caption="CO2 (1672)"/>
    <pivotHierarchy dragToData="1"/>
    <pivotHierarchy dragToData="1" caption="oxygen (1992)"/>
    <pivotHierarchy dragToData="1"/>
    <pivotHierarchy dragToData="1" caption="Citrate ()"/>
    <pivotHierarchy dragToData="1"/>
    <pivotHierarchy dragToData="1" caption="Average of qPyruvate mmol gCDW-1 h-1"/>
    <pivotHierarchy dragToData="1"/>
    <pivotHierarchy dragToData="1" caption="acetate ()"/>
    <pivotHierarchy dragToData="1"/>
    <pivotHierarchy dragToData="1" caption="ethanol ()"/>
    <pivotHierarchy dragToData="1"/>
    <pivotHierarchy dragToData="1" caption="glycerol ()"/>
    <pivotHierarchy dragToData="1"/>
    <pivotHierarchy dragToData="1" caption="succinate ()"/>
    <pivotHierarchy dragToData="1"/>
    <pivotHierarchy dragToData="1" caption="itaconate ()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_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95EC4-0AC8-44E7-A94B-389D4A849554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8:G13" firstHeaderRow="0" firstDataRow="1" firstDataCol="1"/>
  <pivotFields count="54">
    <pivotField axis="axisRow" showAll="0">
      <items count="7">
        <item x="2"/>
        <item x="3"/>
        <item m="1" x="5"/>
        <item x="1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3"/>
    </i>
    <i>
      <x v="4"/>
    </i>
    <i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lipidCont" fld="24" subtotal="average" baseField="0" baseItem="0" numFmtId="166"/>
    <dataField name="C16:0(m/m)" fld="30" subtotal="average" baseField="0" baseItem="0"/>
    <dataField name="C16:1(m/m)" fld="31" subtotal="average" baseField="0" baseItem="0"/>
    <dataField name="C18:0(m/m)" fld="32" subtotal="average" baseField="0" baseItem="0"/>
    <dataField name="C18:1(m/m)" fld="33" subtotal="average" baseField="0" baseItem="0"/>
    <dataField name="C18:2(m/m)" fld="34" subtotal="average" baseField="0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F5685-3984-40D0-A9F4-0366B86E9DFB}" name="Table1" displayName="Table1" ref="A1:BB20" totalsRowShown="0" headerRowDxfId="19">
  <autoFilter ref="A1:BB20" xr:uid="{5FCF5685-3984-40D0-A9F4-0366B86E9DFB}"/>
  <tableColumns count="54">
    <tableColumn id="1" xr3:uid="{5A89E4BE-B657-4538-A79E-436BC8AFDF3E}" name="Strain" dataDxfId="18"/>
    <tableColumn id="2" xr3:uid="{2101ADA5-D361-4B78-9873-D752CDF36B4A}" name="Nitrogen source"/>
    <tableColumn id="3" xr3:uid="{7D7F7935-A829-49D4-AD41-C2D908FA7070}" name="C/N ratio"/>
    <tableColumn id="4" xr3:uid="{DD483D60-96D1-4FB7-B78F-3AB03D4A54C5}" name="Sampling date" dataDxfId="17"/>
    <tableColumn id="5" xr3:uid="{64797958-9777-4B5A-B6FE-057130EF3FAF}" name="System"/>
    <tableColumn id="6" xr3:uid="{F869CEE6-70B6-425F-94DB-512C33340EB3}" name="Reactor"/>
    <tableColumn id="7" xr3:uid="{9B53A724-609A-422F-8F36-FCFF02513516}" name="Replicate"/>
    <tableColumn id="8" xr3:uid="{B940594A-E9DC-4C67-A9ED-C885AC8C90C0}" name="Vessel volume (mL)"/>
    <tableColumn id="9" xr3:uid="{9F6F89B2-F511-4DE4-8F06-1F730FBFB711}" name="C pump (mL/h)"/>
    <tableColumn id="10" xr3:uid="{045FEA8C-351B-4709-AA67-8E5F627AF349}" name="aimed DR"/>
    <tableColumn id="11" xr3:uid="{3B31763C-566C-44AE-B3B6-CA494921B948}" name="Dilution Rate" dataDxfId="16">
      <calculatedColumnFormula>I2/H2</calculatedColumnFormula>
    </tableColumn>
    <tableColumn id="12" xr3:uid="{D55D42B2-2B4B-42E5-A97C-915812215296}" name="OD"/>
    <tableColumn id="13" xr3:uid="{7581C526-BF06-4115-BF49-6BC6183A3F67}" name="CDW (g/L)"/>
    <tableColumn id="14" xr3:uid="{4A145CC4-13E9-44E7-8B69-3FB3EB289567}" name="Biomass Yield (gCDW/gGlu)" dataDxfId="15">
      <calculatedColumnFormula>M2/AR2</calculatedColumnFormula>
    </tableColumn>
    <tableColumn id="15" xr3:uid="{C1AF46BB-16D6-40A7-A7A2-9F4DFBD3327A}" name="CO2 out (%)" dataDxfId="14"/>
    <tableColumn id="16" xr3:uid="{EC81C736-A415-4E3F-A125-A091BD071593}" name="CO2 in (%)" dataDxfId="13"/>
    <tableColumn id="17" xr3:uid="{29156867-B7CC-4AFA-9077-84115C8898D3}" name="CER">
      <calculatedColumnFormula>(30/24.5)*(O2-P2)*0.01*1000</calculatedColumnFormula>
    </tableColumn>
    <tableColumn id="18" xr3:uid="{C16FEAE5-C9D8-402B-8173-9394ED516948}" name="O2 in (%)"/>
    <tableColumn id="19" xr3:uid="{8B3D4D8D-91CF-412C-ADE8-3167E0D81C37}" name="O2 out (%)"/>
    <tableColumn id="20" xr3:uid="{5B899C5C-22A4-4C21-80DF-625B4BB1E337}" name="OER">
      <calculatedColumnFormula>(30/24.5)*(R2-S2)*0.01*1000</calculatedColumnFormula>
    </tableColumn>
    <tableColumn id="21" xr3:uid="{A1B84BB8-3E83-43BE-82CA-E702D3400790}" name="qO2 mmol gCDW-1 h-1">
      <calculatedColumnFormula>T2/(M2*H2)*1000</calculatedColumnFormula>
    </tableColumn>
    <tableColumn id="22" xr3:uid="{7971065B-FC9D-4233-B576-1B54D27A58AF}" name="qCO2 mmol gCDW-1 h-1">
      <calculatedColumnFormula>Q2/(M2*H2)*1000</calculatedColumnFormula>
    </tableColumn>
    <tableColumn id="23" xr3:uid="{62961205-5BE9-4821-A63E-579989822504}" name="qglu mmol gCDW-1 h-1">
      <calculatedColumnFormula>(AR2*1000/180.2)*K2/M2</calculatedColumnFormula>
    </tableColumn>
    <tableColumn id="24" xr3:uid="{3B8F46EE-EA45-432C-9977-DCCCDBFFFE73}" name="qbiomass mmol gCDW-1 h-1">
      <calculatedColumnFormula>M2/23*1000*K2/M2</calculatedColumnFormula>
    </tableColumn>
    <tableColumn id="25" xr3:uid="{AB731918-B486-4EB4-B2F0-E797F54C477D}" name="Lipid Content (%)" dataDxfId="12"/>
    <tableColumn id="26" xr3:uid="{EF69BC82-3B38-4C96-B03C-3E98CE0BAC11}" name="C16:0 (g/L)" dataDxfId="11"/>
    <tableColumn id="27" xr3:uid="{9323382E-24D2-4C6F-B75B-9CC83D503FC3}" name="C16:1 (g/L)" dataDxfId="10"/>
    <tableColumn id="28" xr3:uid="{5197BED0-BDF9-483B-9EE4-F2C5643541A8}" name="C18:0 (g/L)" dataDxfId="9"/>
    <tableColumn id="29" xr3:uid="{857926B1-D426-403B-B26C-44CB09DBB1B9}" name="C18:1 (g/L)" dataDxfId="8"/>
    <tableColumn id="30" xr3:uid="{80E1513A-B4CC-43E3-B616-E87E5991883F}" name="C18:2 (g/L)" dataDxfId="7"/>
    <tableColumn id="31" xr3:uid="{D2914EE4-4B88-4ACE-A5E7-F173452B9084}" name="C16:0 (%)" dataDxfId="6"/>
    <tableColumn id="32" xr3:uid="{0ED4FF20-B2FE-48C6-89F4-308F93B900A9}" name="C16:1 (%)" dataDxfId="5"/>
    <tableColumn id="33" xr3:uid="{B1A125AC-2BF5-40ED-8FB7-7DC803E64CE0}" name="C18:0 (%)" dataDxfId="4"/>
    <tableColumn id="34" xr3:uid="{BA9C770C-C4CB-4D55-B0D3-128F5A38DCE4}" name="C18:1 (%)" dataDxfId="3"/>
    <tableColumn id="35" xr3:uid="{FED02AB9-9941-43A4-832B-C6F9F1E42475}" name="C18:2 (%)" dataDxfId="2"/>
    <tableColumn id="36" xr3:uid="{FD401D6D-63E6-44AD-A9B3-D6CDFC0E6959}" name="Citrate (g/l)"/>
    <tableColumn id="37" xr3:uid="{2C4CA372-CA6E-4FE9-8CAE-51C07FDC3617}" name="Glucose (g/l)"/>
    <tableColumn id="38" xr3:uid="{72338F5A-CDA5-4E24-BC9F-7D9FB9FAAACB}" name="Pyruvate (g/l)"/>
    <tableColumn id="39" xr3:uid="{DECD8002-C51A-43DD-AC1D-ADAAEC5415BB}" name="Acetate (g/l)"/>
    <tableColumn id="40" xr3:uid="{F485A6AC-8547-4BB3-A9FF-AE0D80B5B562}" name="Ethanol (g/l)"/>
    <tableColumn id="41" xr3:uid="{BD48CB62-983C-4B2E-9868-102731A1849F}" name="Glycerol (g/l)"/>
    <tableColumn id="42" xr3:uid="{56770452-205D-4A80-87AF-A8074EA38B8B}" name="Succinate (g/l)"/>
    <tableColumn id="43" xr3:uid="{6F024D24-4C03-474C-8CB8-C88123268576}" name="Glucose in medium (g/l)"/>
    <tableColumn id="44" xr3:uid="{FC45BD5C-76AB-42AA-BB36-6A90833DB777}" name="Glucose consumed">
      <calculatedColumnFormula>AQ2-AK2</calculatedColumnFormula>
    </tableColumn>
    <tableColumn id="45" xr3:uid="{B248C4F8-6DAA-4B6D-8E9D-B2F730347499}" name="Itaconate (g/L)"/>
    <tableColumn id="46" xr3:uid="{C3FCB422-85AF-4665-A58E-A19A1DF06C02}" name="qCitrate mmol gCDW-1 h-1">
      <calculatedColumnFormula>(AJ2*1000/192.124)*$K2/$M2</calculatedColumnFormula>
    </tableColumn>
    <tableColumn id="47" xr3:uid="{CD9DB2DE-0181-464F-8236-80D1C3BFCF22}" name="qPyruvate mmol gCDW-1 h-1">
      <calculatedColumnFormula>(AL2*1000/88.06)*$K2/$M2</calculatedColumnFormula>
    </tableColumn>
    <tableColumn id="48" xr3:uid="{5210B861-CDDB-46F9-B7D3-D51C7B3B96A6}" name="qAcetate mmol gCDW-1 h-1">
      <calculatedColumnFormula>(AM2*1000/60.052)*$K2/$M2</calculatedColumnFormula>
    </tableColumn>
    <tableColumn id="49" xr3:uid="{99039421-090E-480C-8D0B-5CACA9941EE5}" name="qEthanol mmol gCDW-1 h-1">
      <calculatedColumnFormula>(AN2*1000/46.07)*$K2/$M2</calculatedColumnFormula>
    </tableColumn>
    <tableColumn id="50" xr3:uid="{81F2942E-CB17-4AD9-9DBA-3446555D76ED}" name="qGlycerol mmol gCDW-1 h-1">
      <calculatedColumnFormula>(AO2*1000/92.09)*$K2/$M2</calculatedColumnFormula>
    </tableColumn>
    <tableColumn id="51" xr3:uid="{D3226F35-48A7-42EF-BBD0-1EFA06D97AD2}" name="qSuccinate mmol gCDW-1 h-1">
      <calculatedColumnFormula>(AP2*1000/118.09)*$K2/$M2</calculatedColumnFormula>
    </tableColumn>
    <tableColumn id="52" xr3:uid="{CFDCD5E0-2270-49FE-9826-626CE0BA7B02}" name="qItaconate mmol gCDW-1 h-1">
      <calculatedColumnFormula>(AS2*1000/118.09)*$K2/$M2</calculatedColumnFormula>
    </tableColumn>
    <tableColumn id="53" xr3:uid="{EE544433-B1EF-4C4A-B855-16BAAA781A82}" name="C balance">
      <calculatedColumnFormula>100*((V2+X2+AT2*6+AU2*3+AV2*2+AW2*2+AX2*3+AY2*4+AZ2*5)/(6*W2))</calculatedColumnFormula>
    </tableColumn>
    <tableColumn id="54" xr3:uid="{FF001B71-0CA9-4B5D-AC63-E02E10F7C995}" name="Protein content (µg/mg DCW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1-02-26T14:51:46.53" personId="{7701DF52-38A2-6442-80C4-DA97B9CE1B82}" id="{DF13A365-E24E-5F40-9791-1C3EF8F11480}">
    <text>from 85h</text>
  </threadedComment>
  <threadedComment ref="O10" dT="2021-02-26T14:51:33.66" personId="{7701DF52-38A2-6442-80C4-DA97B9CE1B82}" id="{42984A51-26D2-6D4C-9E33-649636BECBD6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1D45-40EB-7947-9D79-F347D6495274}">
  <dimension ref="A1:BB48"/>
  <sheetViews>
    <sheetView workbookViewId="0">
      <selection activeCell="M25" sqref="M25"/>
    </sheetView>
  </sheetViews>
  <sheetFormatPr defaultColWidth="11" defaultRowHeight="15.75" x14ac:dyDescent="0.25"/>
  <cols>
    <col min="2" max="2" width="18.375" hidden="1" customWidth="1"/>
    <col min="3" max="6" width="0" hidden="1" customWidth="1"/>
    <col min="8" max="10" width="0" hidden="1" customWidth="1"/>
    <col min="11" max="11" width="13.625" customWidth="1"/>
    <col min="12" max="12" width="0" hidden="1" customWidth="1"/>
    <col min="14" max="14" width="25.375" customWidth="1"/>
    <col min="15" max="20" width="0" hidden="1" customWidth="1"/>
    <col min="21" max="21" width="21.625" customWidth="1"/>
    <col min="22" max="22" width="22.625" customWidth="1"/>
    <col min="23" max="23" width="21.75" customWidth="1"/>
    <col min="24" max="24" width="0" hidden="1" customWidth="1"/>
    <col min="25" max="25" width="16.875" customWidth="1"/>
    <col min="26" max="30" width="0" hidden="1" customWidth="1"/>
    <col min="36" max="45" width="0" hidden="1" customWidth="1"/>
    <col min="46" max="46" width="23.25" customWidth="1"/>
    <col min="47" max="47" width="24.875" customWidth="1"/>
    <col min="48" max="49" width="23.875" customWidth="1"/>
    <col min="50" max="50" width="24.125" customWidth="1"/>
    <col min="51" max="51" width="25.25" customWidth="1"/>
    <col min="52" max="52" width="25.375" customWidth="1"/>
    <col min="54" max="54" width="27.375" customWidth="1"/>
  </cols>
  <sheetData>
    <row r="1" spans="1:54" s="8" customFormat="1" ht="44.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41</v>
      </c>
      <c r="I1" s="8" t="s">
        <v>42</v>
      </c>
      <c r="J1" s="8" t="s">
        <v>7</v>
      </c>
      <c r="K1" s="8" t="s">
        <v>8</v>
      </c>
      <c r="L1" s="8" t="s">
        <v>9</v>
      </c>
      <c r="M1" s="8" t="s">
        <v>43</v>
      </c>
      <c r="N1" s="8" t="s">
        <v>44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52</v>
      </c>
      <c r="AF1" s="8" t="s">
        <v>53</v>
      </c>
      <c r="AG1" s="8" t="s">
        <v>54</v>
      </c>
      <c r="AH1" s="8" t="s">
        <v>55</v>
      </c>
      <c r="AI1" s="8" t="s">
        <v>56</v>
      </c>
      <c r="AJ1" s="9" t="s">
        <v>21</v>
      </c>
      <c r="AK1" s="9" t="s">
        <v>22</v>
      </c>
      <c r="AL1" s="9" t="s">
        <v>23</v>
      </c>
      <c r="AM1" s="9" t="s">
        <v>24</v>
      </c>
      <c r="AN1" s="9" t="s">
        <v>25</v>
      </c>
      <c r="AO1" s="9" t="s">
        <v>26</v>
      </c>
      <c r="AP1" s="9" t="s">
        <v>27</v>
      </c>
      <c r="AQ1" s="9" t="s">
        <v>28</v>
      </c>
      <c r="AR1" s="9" t="s">
        <v>29</v>
      </c>
      <c r="AS1" s="11" t="s">
        <v>57</v>
      </c>
      <c r="AT1" s="9" t="s">
        <v>30</v>
      </c>
      <c r="AU1" s="9" t="s">
        <v>31</v>
      </c>
      <c r="AV1" s="9" t="s">
        <v>32</v>
      </c>
      <c r="AW1" s="9" t="s">
        <v>33</v>
      </c>
      <c r="AX1" s="9" t="s">
        <v>34</v>
      </c>
      <c r="AY1" s="9" t="s">
        <v>35</v>
      </c>
      <c r="AZ1" s="11" t="s">
        <v>58</v>
      </c>
      <c r="BA1" s="9" t="s">
        <v>20</v>
      </c>
      <c r="BB1" s="8" t="s">
        <v>51</v>
      </c>
    </row>
    <row r="2" spans="1:54" x14ac:dyDescent="0.25">
      <c r="A2" t="s">
        <v>40</v>
      </c>
      <c r="B2" t="s">
        <v>37</v>
      </c>
      <c r="C2">
        <v>116</v>
      </c>
      <c r="D2" s="1">
        <v>44179</v>
      </c>
      <c r="E2">
        <v>1</v>
      </c>
      <c r="F2">
        <v>1</v>
      </c>
      <c r="G2">
        <v>1</v>
      </c>
      <c r="H2">
        <v>500</v>
      </c>
      <c r="I2">
        <v>50</v>
      </c>
      <c r="J2">
        <v>0.1</v>
      </c>
      <c r="K2" s="2">
        <f t="shared" ref="K2:K13" si="0">I2/H2</f>
        <v>0.1</v>
      </c>
      <c r="L2">
        <v>2.16</v>
      </c>
      <c r="M2">
        <v>1.9620000000000004</v>
      </c>
      <c r="N2" s="3">
        <f>M2/AR2</f>
        <v>0.42774919333740308</v>
      </c>
      <c r="O2" s="3">
        <v>0.22</v>
      </c>
      <c r="P2" s="3">
        <v>0.03</v>
      </c>
      <c r="Q2">
        <f t="shared" ref="Q2:Q13" si="1">(30/24.5)*(O2-P2)*0.01*1000</f>
        <v>2.3265306122448983</v>
      </c>
      <c r="R2">
        <v>20.83</v>
      </c>
      <c r="S2">
        <v>20.58</v>
      </c>
      <c r="T2">
        <f t="shared" ref="T2:T13" si="2">(30/24.5)*(R2-S2)*0.01*1000</f>
        <v>3.0612244897959187</v>
      </c>
      <c r="U2">
        <f t="shared" ref="U2:U20" si="3">T2/(M2*H2)*1000</f>
        <v>3.1205142607501712</v>
      </c>
      <c r="V2">
        <f t="shared" ref="V2:V20" si="4">Q2/(M2*H2)*1000</f>
        <v>2.3715908381701305</v>
      </c>
      <c r="W2">
        <f t="shared" ref="W2:W20" si="5">(AR2*1000/180.2)*K2/M2</f>
        <v>1.2973465885113495</v>
      </c>
      <c r="X2">
        <f t="shared" ref="X2:X20" si="6">M2/23*1000*K2/M2</f>
        <v>4.3478260869565224</v>
      </c>
      <c r="Y2" s="3">
        <v>6.8073556062111056</v>
      </c>
      <c r="Z2" s="3">
        <v>36.448200812655806</v>
      </c>
      <c r="AA2" s="3">
        <v>15.512442204147325</v>
      </c>
      <c r="AB2" s="3">
        <v>13.290974942978767</v>
      </c>
      <c r="AC2" s="3">
        <v>134.97793256715116</v>
      </c>
      <c r="AD2" s="3">
        <v>66.891083460790782</v>
      </c>
      <c r="AE2" s="3">
        <v>13.644846625487894</v>
      </c>
      <c r="AF2" s="3">
        <v>5.8072796446193804</v>
      </c>
      <c r="AG2" s="3">
        <v>4.9756451774480226</v>
      </c>
      <c r="AH2" s="3">
        <v>50.53070238420981</v>
      </c>
      <c r="AI2" s="3">
        <v>25.041526168234878</v>
      </c>
      <c r="AJ2">
        <v>3.2000000000000002E-3</v>
      </c>
      <c r="AK2">
        <v>20.4697</v>
      </c>
      <c r="AL2">
        <v>0</v>
      </c>
      <c r="AM2">
        <v>0</v>
      </c>
      <c r="AN2">
        <v>2.63E-2</v>
      </c>
      <c r="AO2">
        <v>0</v>
      </c>
      <c r="AP2">
        <v>0</v>
      </c>
      <c r="AQ2">
        <v>25.0565</v>
      </c>
      <c r="AR2">
        <f t="shared" ref="AR2:AR13" si="7">AQ2-AK2</f>
        <v>4.5868000000000002</v>
      </c>
      <c r="AS2">
        <v>0</v>
      </c>
      <c r="AT2">
        <f t="shared" ref="AT2:AT13" si="8">(AJ2*1000/192.124)*$K2/$M2</f>
        <v>8.4892506243472421E-4</v>
      </c>
      <c r="AU2">
        <f t="shared" ref="AU2:AU13" si="9">(AL2*1000/88.06)*$K2/$M2</f>
        <v>0</v>
      </c>
      <c r="AV2">
        <f t="shared" ref="AV2:AV13" si="10">(AM2*1000/60.052)*$K2/$M2</f>
        <v>0</v>
      </c>
      <c r="AW2">
        <f t="shared" ref="AW2:AW13" si="11">(AN2*1000/46.07)*$K2/$M2</f>
        <v>2.9096351406039687E-2</v>
      </c>
      <c r="AX2">
        <f t="shared" ref="AX2:AX13" si="12">(AO2*1000/92.09)*$K2/$M2</f>
        <v>0</v>
      </c>
      <c r="AY2">
        <f t="shared" ref="AY2:AY13" si="13">(AP2*1000/118.09)*$K2/$M2</f>
        <v>0</v>
      </c>
      <c r="AZ2">
        <f t="shared" ref="AZ2:AZ13" si="14">(AS2*1000/118.09)*$K2/$M2</f>
        <v>0</v>
      </c>
      <c r="BA2">
        <f t="shared" ref="BA2:BA20" si="15">100*((V2+X2+AT2*6+AU2*3+AV2*2+AW2*2+AX2*3+AY2*4+AZ2*5)/(6*W2))</f>
        <v>87.13558425555614</v>
      </c>
      <c r="BB2">
        <v>202.5667</v>
      </c>
    </row>
    <row r="3" spans="1:54" x14ac:dyDescent="0.25">
      <c r="A3" t="s">
        <v>40</v>
      </c>
      <c r="B3" t="s">
        <v>37</v>
      </c>
      <c r="C3">
        <v>116</v>
      </c>
      <c r="D3" s="1">
        <v>44179</v>
      </c>
      <c r="E3">
        <v>1</v>
      </c>
      <c r="F3">
        <v>2</v>
      </c>
      <c r="G3">
        <v>2</v>
      </c>
      <c r="H3">
        <v>490</v>
      </c>
      <c r="I3">
        <v>50</v>
      </c>
      <c r="J3">
        <v>0.1</v>
      </c>
      <c r="K3" s="2">
        <f t="shared" si="0"/>
        <v>0.10204081632653061</v>
      </c>
      <c r="L3">
        <v>2</v>
      </c>
      <c r="M3">
        <v>2.1039999999999992</v>
      </c>
      <c r="N3" s="3">
        <f t="shared" ref="N3:N20" si="16">M3/AR3</f>
        <v>0.46427468114215081</v>
      </c>
      <c r="O3" s="3">
        <v>0.22</v>
      </c>
      <c r="P3" s="3">
        <v>0.03</v>
      </c>
      <c r="Q3">
        <f t="shared" si="1"/>
        <v>2.3265306122448983</v>
      </c>
      <c r="R3">
        <v>20.82</v>
      </c>
      <c r="S3">
        <v>20.47</v>
      </c>
      <c r="T3">
        <f t="shared" si="2"/>
        <v>4.2857142857143034</v>
      </c>
      <c r="U3">
        <f t="shared" si="3"/>
        <v>4.1570131583323358</v>
      </c>
      <c r="V3">
        <f t="shared" si="4"/>
        <v>2.2566642859518304</v>
      </c>
      <c r="W3">
        <f t="shared" si="5"/>
        <v>1.2196750426980469</v>
      </c>
      <c r="X3">
        <f t="shared" si="6"/>
        <v>4.4365572315882877</v>
      </c>
      <c r="Y3" s="3">
        <v>7.0800217705660664</v>
      </c>
      <c r="Z3" s="3">
        <v>49.036253755983786</v>
      </c>
      <c r="AA3" s="3">
        <v>17.926814600318199</v>
      </c>
      <c r="AB3" s="3">
        <v>18.445692354124869</v>
      </c>
      <c r="AC3" s="3">
        <v>145.53155652121285</v>
      </c>
      <c r="AD3" s="3">
        <v>66.986998873780308</v>
      </c>
      <c r="AE3" s="3">
        <v>16.459133186240823</v>
      </c>
      <c r="AF3" s="3">
        <v>6.0171772211631946</v>
      </c>
      <c r="AG3" s="3">
        <v>6.1913397520078215</v>
      </c>
      <c r="AH3" s="3">
        <v>48.848007099059451</v>
      </c>
      <c r="AI3" s="3">
        <v>22.484342741528714</v>
      </c>
      <c r="AJ3">
        <v>3.8E-3</v>
      </c>
      <c r="AK3">
        <v>20.524699999999999</v>
      </c>
      <c r="AL3">
        <v>0</v>
      </c>
      <c r="AM3">
        <v>0</v>
      </c>
      <c r="AN3">
        <v>2.3999999999999998E-3</v>
      </c>
      <c r="AO3">
        <v>0</v>
      </c>
      <c r="AP3">
        <v>0</v>
      </c>
      <c r="AQ3">
        <v>25.0565</v>
      </c>
      <c r="AR3">
        <f t="shared" si="7"/>
        <v>4.5318000000000005</v>
      </c>
      <c r="AS3">
        <v>0</v>
      </c>
      <c r="AT3">
        <f t="shared" si="8"/>
        <v>9.592463722356366E-4</v>
      </c>
      <c r="AU3">
        <f t="shared" si="9"/>
        <v>0</v>
      </c>
      <c r="AV3">
        <f t="shared" si="10"/>
        <v>0</v>
      </c>
      <c r="AW3">
        <f t="shared" si="11"/>
        <v>2.5265111446343591E-3</v>
      </c>
      <c r="AX3">
        <f t="shared" si="12"/>
        <v>0</v>
      </c>
      <c r="AY3">
        <f t="shared" si="13"/>
        <v>0</v>
      </c>
      <c r="AZ3">
        <f t="shared" si="14"/>
        <v>0</v>
      </c>
      <c r="BA3">
        <f t="shared" si="15"/>
        <v>91.609510503070751</v>
      </c>
      <c r="BB3">
        <v>190.55</v>
      </c>
    </row>
    <row r="4" spans="1:54" x14ac:dyDescent="0.25">
      <c r="A4" t="s">
        <v>40</v>
      </c>
      <c r="B4" t="s">
        <v>37</v>
      </c>
      <c r="C4">
        <v>116</v>
      </c>
      <c r="D4" s="1">
        <v>44179</v>
      </c>
      <c r="E4">
        <v>1</v>
      </c>
      <c r="F4">
        <v>3</v>
      </c>
      <c r="G4">
        <v>3</v>
      </c>
      <c r="H4">
        <v>490</v>
      </c>
      <c r="I4">
        <v>50</v>
      </c>
      <c r="J4">
        <v>0.1</v>
      </c>
      <c r="K4" s="2">
        <f t="shared" si="0"/>
        <v>0.10204081632653061</v>
      </c>
      <c r="L4">
        <v>2.4</v>
      </c>
      <c r="M4">
        <v>2.4620000000000006</v>
      </c>
      <c r="N4" s="3">
        <f t="shared" si="16"/>
        <v>0.57996278061765338</v>
      </c>
      <c r="O4" s="3">
        <v>0.23</v>
      </c>
      <c r="P4" s="3">
        <v>0.03</v>
      </c>
      <c r="Q4">
        <f t="shared" si="1"/>
        <v>2.4489795918367352</v>
      </c>
      <c r="R4">
        <v>20.83</v>
      </c>
      <c r="S4">
        <v>20.45</v>
      </c>
      <c r="T4">
        <f t="shared" si="2"/>
        <v>4.6530612244897842</v>
      </c>
      <c r="U4">
        <f t="shared" si="3"/>
        <v>3.857044401009452</v>
      </c>
      <c r="V4">
        <f t="shared" si="4"/>
        <v>2.030023368952349</v>
      </c>
      <c r="W4">
        <f t="shared" si="5"/>
        <v>0.97638031347910004</v>
      </c>
      <c r="X4">
        <f t="shared" si="6"/>
        <v>4.4365572315882877</v>
      </c>
      <c r="Y4" s="3">
        <v>5.1684196932328552</v>
      </c>
      <c r="Z4" s="3">
        <v>32.543159112997643</v>
      </c>
      <c r="AA4" s="3">
        <v>18.510808978551211</v>
      </c>
      <c r="AB4" s="3">
        <v>9.6015935271907065</v>
      </c>
      <c r="AC4" s="3">
        <v>124.82051777296967</v>
      </c>
      <c r="AD4" s="3">
        <v>69.01690630307661</v>
      </c>
      <c r="AE4" s="3">
        <v>12.787448355070479</v>
      </c>
      <c r="AF4" s="3">
        <v>7.2736028177811063</v>
      </c>
      <c r="AG4" s="3">
        <v>3.772832284936106</v>
      </c>
      <c r="AH4" s="3">
        <v>49.046741870782746</v>
      </c>
      <c r="AI4" s="3">
        <v>27.119374671429565</v>
      </c>
      <c r="AJ4">
        <v>3.5000000000000001E-3</v>
      </c>
      <c r="AK4">
        <v>20.811399999999999</v>
      </c>
      <c r="AL4">
        <v>0</v>
      </c>
      <c r="AM4">
        <v>0</v>
      </c>
      <c r="AN4">
        <v>3.4599999999999999E-2</v>
      </c>
      <c r="AO4">
        <v>0</v>
      </c>
      <c r="AP4">
        <v>0</v>
      </c>
      <c r="AQ4">
        <v>25.0565</v>
      </c>
      <c r="AR4">
        <f t="shared" si="7"/>
        <v>4.2451000000000008</v>
      </c>
      <c r="AS4">
        <v>0</v>
      </c>
      <c r="AT4">
        <f t="shared" si="8"/>
        <v>7.5504406827389204E-4</v>
      </c>
      <c r="AU4">
        <f t="shared" si="9"/>
        <v>0</v>
      </c>
      <c r="AV4">
        <f t="shared" si="10"/>
        <v>0</v>
      </c>
      <c r="AW4">
        <f t="shared" si="11"/>
        <v>3.112746562949327E-2</v>
      </c>
      <c r="AX4">
        <f t="shared" si="12"/>
        <v>0</v>
      </c>
      <c r="AY4">
        <f t="shared" si="13"/>
        <v>0</v>
      </c>
      <c r="AZ4">
        <f t="shared" si="14"/>
        <v>0</v>
      </c>
      <c r="BA4">
        <f t="shared" si="15"/>
        <v>111.52358198294618</v>
      </c>
      <c r="BB4">
        <v>168.2333333</v>
      </c>
    </row>
    <row r="5" spans="1:54" x14ac:dyDescent="0.25">
      <c r="A5" t="s">
        <v>40</v>
      </c>
      <c r="B5" t="s">
        <v>37</v>
      </c>
      <c r="C5">
        <v>116</v>
      </c>
      <c r="D5" s="1">
        <v>44179</v>
      </c>
      <c r="E5">
        <v>1</v>
      </c>
      <c r="F5">
        <v>4</v>
      </c>
      <c r="G5">
        <v>4</v>
      </c>
      <c r="H5">
        <v>480</v>
      </c>
      <c r="I5">
        <v>50</v>
      </c>
      <c r="J5">
        <v>0.1</v>
      </c>
      <c r="K5" s="2">
        <f t="shared" si="0"/>
        <v>0.10416666666666667</v>
      </c>
      <c r="L5">
        <v>2.48</v>
      </c>
      <c r="M5">
        <v>2.6900000000000004</v>
      </c>
      <c r="N5" s="3">
        <f t="shared" si="16"/>
        <v>0.61856144223693887</v>
      </c>
      <c r="O5" s="3">
        <v>0.23</v>
      </c>
      <c r="P5" s="3">
        <v>0.03</v>
      </c>
      <c r="Q5">
        <f t="shared" si="1"/>
        <v>2.4489795918367352</v>
      </c>
      <c r="R5">
        <v>20.83</v>
      </c>
      <c r="S5">
        <v>20.62</v>
      </c>
      <c r="T5">
        <f t="shared" si="2"/>
        <v>2.5714285714285383</v>
      </c>
      <c r="U5">
        <f t="shared" si="3"/>
        <v>1.9915029208709247</v>
      </c>
      <c r="V5">
        <f t="shared" si="4"/>
        <v>1.8966694484485243</v>
      </c>
      <c r="W5">
        <f t="shared" si="5"/>
        <v>0.93452545498805561</v>
      </c>
      <c r="X5">
        <f t="shared" si="6"/>
        <v>4.5289855072463769</v>
      </c>
      <c r="Y5" s="3">
        <v>5.8375498470596634</v>
      </c>
      <c r="Z5" s="3">
        <v>40.751204835431288</v>
      </c>
      <c r="AA5" s="3">
        <v>19.30164210884757</v>
      </c>
      <c r="AB5" s="3">
        <v>12.335699052587007</v>
      </c>
      <c r="AC5" s="3">
        <v>161.61768233579241</v>
      </c>
      <c r="AD5" s="3">
        <v>80.05395343915167</v>
      </c>
      <c r="AE5" s="3">
        <v>12.97560378572293</v>
      </c>
      <c r="AF5" s="3">
        <v>6.1458418574283868</v>
      </c>
      <c r="AG5" s="3">
        <v>3.9278137658182617</v>
      </c>
      <c r="AH5" s="3">
        <v>51.460736418098584</v>
      </c>
      <c r="AI5" s="3">
        <v>25.49000417293184</v>
      </c>
      <c r="AJ5" s="7">
        <v>3.0000000000000001E-3</v>
      </c>
      <c r="AK5">
        <v>20.707699999999999</v>
      </c>
      <c r="AL5">
        <v>0</v>
      </c>
      <c r="AM5">
        <v>0</v>
      </c>
      <c r="AN5">
        <v>2.5000000000000001E-3</v>
      </c>
      <c r="AO5">
        <v>0</v>
      </c>
      <c r="AP5">
        <v>0</v>
      </c>
      <c r="AQ5">
        <v>25.0565</v>
      </c>
      <c r="AR5">
        <f t="shared" si="7"/>
        <v>4.3488000000000007</v>
      </c>
      <c r="AS5">
        <v>0</v>
      </c>
      <c r="AT5">
        <f t="shared" si="8"/>
        <v>6.0466679705540227E-4</v>
      </c>
      <c r="AU5">
        <f t="shared" si="9"/>
        <v>0</v>
      </c>
      <c r="AV5">
        <f t="shared" si="10"/>
        <v>0</v>
      </c>
      <c r="AW5">
        <f t="shared" si="11"/>
        <v>2.1013494630900821E-3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114.73712176706914</v>
      </c>
      <c r="BB5">
        <v>142.4833333</v>
      </c>
    </row>
    <row r="6" spans="1:54" x14ac:dyDescent="0.25">
      <c r="A6" t="s">
        <v>36</v>
      </c>
      <c r="B6" t="s">
        <v>37</v>
      </c>
      <c r="C6">
        <v>116</v>
      </c>
      <c r="D6" s="1">
        <v>44164</v>
      </c>
      <c r="E6">
        <v>1</v>
      </c>
      <c r="F6">
        <v>1</v>
      </c>
      <c r="G6">
        <v>1</v>
      </c>
      <c r="H6">
        <v>480</v>
      </c>
      <c r="I6">
        <v>50</v>
      </c>
      <c r="J6">
        <v>0.1</v>
      </c>
      <c r="K6" s="2">
        <f t="shared" si="0"/>
        <v>0.10416666666666667</v>
      </c>
      <c r="L6">
        <v>2.94</v>
      </c>
      <c r="M6">
        <v>1.9380000000000024</v>
      </c>
      <c r="N6" s="3">
        <f t="shared" si="16"/>
        <v>0.42444152431011889</v>
      </c>
      <c r="O6" s="3">
        <v>0.2</v>
      </c>
      <c r="P6" s="3">
        <v>0.03</v>
      </c>
      <c r="Q6">
        <f t="shared" si="1"/>
        <v>2.081632653061225</v>
      </c>
      <c r="R6" s="4">
        <v>20.96</v>
      </c>
      <c r="S6" s="4">
        <v>20.55</v>
      </c>
      <c r="T6">
        <f t="shared" si="2"/>
        <v>5.0204081632653068</v>
      </c>
      <c r="U6">
        <f t="shared" si="3"/>
        <v>5.3968956003453954</v>
      </c>
      <c r="V6">
        <f t="shared" si="4"/>
        <v>2.2377372001432128</v>
      </c>
      <c r="W6">
        <f t="shared" si="5"/>
        <v>1.3619341655699588</v>
      </c>
      <c r="X6">
        <f t="shared" si="6"/>
        <v>4.5289855072463778</v>
      </c>
      <c r="Y6" s="3">
        <v>7.2752068227663393</v>
      </c>
      <c r="Z6" s="5">
        <v>36.416852188926804</v>
      </c>
      <c r="AA6" s="5">
        <v>16.522123456018885</v>
      </c>
      <c r="AB6" s="5">
        <v>14.650451317038229</v>
      </c>
      <c r="AC6" s="5">
        <v>147.15130870047108</v>
      </c>
      <c r="AD6" s="5">
        <v>67.24628078796863</v>
      </c>
      <c r="AE6" s="5">
        <v>12.914371961990412</v>
      </c>
      <c r="AF6" s="5">
        <v>5.8591787891495537</v>
      </c>
      <c r="AG6" s="5">
        <v>5.1954347052762042</v>
      </c>
      <c r="AH6" s="5">
        <v>52.183717730260057</v>
      </c>
      <c r="AI6" s="5">
        <v>23.847296813323762</v>
      </c>
      <c r="AJ6">
        <v>2.3999999999999998E-3</v>
      </c>
      <c r="AK6">
        <v>20.739599999999999</v>
      </c>
      <c r="AL6">
        <v>0</v>
      </c>
      <c r="AM6">
        <v>0</v>
      </c>
      <c r="AN6">
        <v>5.5500000000000001E-2</v>
      </c>
      <c r="AO6">
        <v>0</v>
      </c>
      <c r="AP6">
        <v>0</v>
      </c>
      <c r="AQ6">
        <v>25.305599999999998</v>
      </c>
      <c r="AR6">
        <f t="shared" si="7"/>
        <v>4.5659999999999989</v>
      </c>
      <c r="AS6">
        <v>0</v>
      </c>
      <c r="AT6">
        <f t="shared" si="8"/>
        <v>6.714359892999092E-4</v>
      </c>
      <c r="AU6">
        <f t="shared" si="9"/>
        <v>0</v>
      </c>
      <c r="AV6">
        <f t="shared" si="10"/>
        <v>0</v>
      </c>
      <c r="AW6">
        <f t="shared" si="11"/>
        <v>6.4751489802277296E-2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84.441848431078427</v>
      </c>
      <c r="BB6">
        <v>219.73330000000001</v>
      </c>
    </row>
    <row r="7" spans="1:54" x14ac:dyDescent="0.25">
      <c r="A7" t="s">
        <v>36</v>
      </c>
      <c r="B7" t="s">
        <v>37</v>
      </c>
      <c r="C7">
        <v>116</v>
      </c>
      <c r="D7" s="1">
        <v>44164</v>
      </c>
      <c r="E7">
        <v>1</v>
      </c>
      <c r="F7">
        <v>2</v>
      </c>
      <c r="G7">
        <v>2</v>
      </c>
      <c r="H7">
        <v>500</v>
      </c>
      <c r="I7">
        <v>50</v>
      </c>
      <c r="J7">
        <v>0.1</v>
      </c>
      <c r="K7" s="2">
        <f t="shared" si="0"/>
        <v>0.1</v>
      </c>
      <c r="L7">
        <v>3.14</v>
      </c>
      <c r="M7">
        <v>1.9639999999999986</v>
      </c>
      <c r="N7" s="3">
        <f t="shared" si="16"/>
        <v>0.41002087682672211</v>
      </c>
      <c r="O7" s="3">
        <v>0.21</v>
      </c>
      <c r="P7" s="3">
        <v>0.03</v>
      </c>
      <c r="Q7">
        <f t="shared" si="1"/>
        <v>2.2040816326530615</v>
      </c>
      <c r="R7" s="4">
        <v>20.96</v>
      </c>
      <c r="S7">
        <v>20.58</v>
      </c>
      <c r="T7">
        <f t="shared" si="2"/>
        <v>4.6530612244898277</v>
      </c>
      <c r="U7">
        <f t="shared" si="3"/>
        <v>4.7383515524336364</v>
      </c>
      <c r="V7">
        <f t="shared" si="4"/>
        <v>2.2444823143106545</v>
      </c>
      <c r="W7">
        <f t="shared" si="5"/>
        <v>1.3534407345538231</v>
      </c>
      <c r="X7">
        <f t="shared" si="6"/>
        <v>4.3478260869565224</v>
      </c>
      <c r="Y7" s="3">
        <v>8.5001607309299594</v>
      </c>
      <c r="Z7" s="3">
        <v>43.706240553856752</v>
      </c>
      <c r="AA7" s="3">
        <v>18.722186309955411</v>
      </c>
      <c r="AB7" s="3">
        <v>19.473963986129874</v>
      </c>
      <c r="AC7" s="3">
        <v>183.78001995191417</v>
      </c>
      <c r="AD7" s="3">
        <v>68.203902709072352</v>
      </c>
      <c r="AE7" s="3">
        <v>13.09015637516576</v>
      </c>
      <c r="AF7" s="3">
        <v>5.6073536267735058</v>
      </c>
      <c r="AG7" s="3">
        <v>5.8325134029467973</v>
      </c>
      <c r="AH7" s="3">
        <v>55.042693430408853</v>
      </c>
      <c r="AI7" s="3">
        <v>20.427283164705084</v>
      </c>
      <c r="AJ7">
        <v>4.7999999999999996E-3</v>
      </c>
      <c r="AK7">
        <v>20.515599999999999</v>
      </c>
      <c r="AL7">
        <v>0</v>
      </c>
      <c r="AM7">
        <v>0</v>
      </c>
      <c r="AN7">
        <v>9.0399999999999994E-2</v>
      </c>
      <c r="AO7">
        <v>0</v>
      </c>
      <c r="AP7">
        <v>0</v>
      </c>
      <c r="AQ7">
        <v>25.305599999999998</v>
      </c>
      <c r="AR7">
        <f t="shared" si="7"/>
        <v>4.7899999999999991</v>
      </c>
      <c r="AS7">
        <v>0</v>
      </c>
      <c r="AT7">
        <f t="shared" si="8"/>
        <v>1.2720908649416474E-3</v>
      </c>
      <c r="AU7">
        <f t="shared" si="9"/>
        <v>0</v>
      </c>
      <c r="AV7">
        <f t="shared" si="10"/>
        <v>0</v>
      </c>
      <c r="AW7">
        <f t="shared" si="11"/>
        <v>9.9909948422594388E-2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83.73425189225388</v>
      </c>
      <c r="BB7">
        <v>199.1333333</v>
      </c>
    </row>
    <row r="8" spans="1:54" x14ac:dyDescent="0.25">
      <c r="A8" t="s">
        <v>36</v>
      </c>
      <c r="B8" t="s">
        <v>37</v>
      </c>
      <c r="C8">
        <v>116</v>
      </c>
      <c r="D8" s="1">
        <v>44164</v>
      </c>
      <c r="E8">
        <v>1</v>
      </c>
      <c r="F8">
        <v>3</v>
      </c>
      <c r="G8">
        <v>3</v>
      </c>
      <c r="H8">
        <v>460</v>
      </c>
      <c r="I8">
        <v>50</v>
      </c>
      <c r="J8">
        <v>0.1</v>
      </c>
      <c r="K8" s="2">
        <f t="shared" si="0"/>
        <v>0.10869565217391304</v>
      </c>
      <c r="L8">
        <v>3.06</v>
      </c>
      <c r="M8">
        <v>1.9820000000000022</v>
      </c>
      <c r="N8" s="3">
        <f t="shared" si="16"/>
        <v>0.46369081040613941</v>
      </c>
      <c r="O8" s="3">
        <v>0.21</v>
      </c>
      <c r="P8" s="3">
        <v>0.03</v>
      </c>
      <c r="Q8">
        <f t="shared" si="1"/>
        <v>2.2040816326530615</v>
      </c>
      <c r="R8" s="4">
        <v>20.96</v>
      </c>
      <c r="S8">
        <v>20.49</v>
      </c>
      <c r="T8">
        <f t="shared" si="2"/>
        <v>5.7551020408163573</v>
      </c>
      <c r="U8">
        <f t="shared" si="3"/>
        <v>6.3123569087179732</v>
      </c>
      <c r="V8">
        <f t="shared" si="4"/>
        <v>2.417498390572828</v>
      </c>
      <c r="W8">
        <f t="shared" si="5"/>
        <v>1.3008550194037496</v>
      </c>
      <c r="X8">
        <f t="shared" si="6"/>
        <v>4.7258979206049148</v>
      </c>
      <c r="Y8" s="3">
        <v>6.4145926745157604</v>
      </c>
      <c r="Z8" s="3">
        <v>32.763108707443145</v>
      </c>
      <c r="AA8" s="3">
        <v>14.832882376275093</v>
      </c>
      <c r="AB8" s="3">
        <v>12.931729407271172</v>
      </c>
      <c r="AC8" s="3">
        <v>132.78494770063253</v>
      </c>
      <c r="AD8" s="3">
        <v>60.961785426183077</v>
      </c>
      <c r="AE8" s="3">
        <v>12.884939183347429</v>
      </c>
      <c r="AF8" s="3">
        <v>5.8334143148214608</v>
      </c>
      <c r="AG8" s="3">
        <v>5.0857367790114711</v>
      </c>
      <c r="AH8" s="3">
        <v>52.221112192504805</v>
      </c>
      <c r="AI8" s="3">
        <v>23.974797530314845</v>
      </c>
      <c r="AJ8">
        <v>2.7000000000000001E-3</v>
      </c>
      <c r="AK8">
        <v>21.031199999999998</v>
      </c>
      <c r="AL8">
        <v>0</v>
      </c>
      <c r="AM8">
        <v>0</v>
      </c>
      <c r="AN8">
        <v>0.17979999999999999</v>
      </c>
      <c r="AO8">
        <v>0</v>
      </c>
      <c r="AP8">
        <v>0</v>
      </c>
      <c r="AQ8">
        <v>25.305599999999998</v>
      </c>
      <c r="AR8">
        <f t="shared" si="7"/>
        <v>4.2744</v>
      </c>
      <c r="AS8">
        <v>0</v>
      </c>
      <c r="AT8">
        <f t="shared" si="8"/>
        <v>7.7070941903450746E-4</v>
      </c>
      <c r="AU8">
        <f t="shared" si="9"/>
        <v>0</v>
      </c>
      <c r="AV8">
        <f t="shared" si="10"/>
        <v>0</v>
      </c>
      <c r="AW8">
        <f t="shared" si="11"/>
        <v>0.21403263472478201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97.065464945945493</v>
      </c>
      <c r="BB8">
        <v>185.4</v>
      </c>
    </row>
    <row r="9" spans="1:54" x14ac:dyDescent="0.25">
      <c r="A9" t="s">
        <v>36</v>
      </c>
      <c r="B9" t="s">
        <v>37</v>
      </c>
      <c r="C9">
        <v>116</v>
      </c>
      <c r="D9" s="1">
        <v>44164</v>
      </c>
      <c r="E9">
        <v>1</v>
      </c>
      <c r="F9">
        <v>4</v>
      </c>
      <c r="G9">
        <v>4</v>
      </c>
      <c r="H9">
        <v>500</v>
      </c>
      <c r="I9">
        <v>50</v>
      </c>
      <c r="J9">
        <v>0.1</v>
      </c>
      <c r="K9" s="2">
        <f t="shared" si="0"/>
        <v>0.1</v>
      </c>
      <c r="L9">
        <v>2.9</v>
      </c>
      <c r="M9">
        <v>1.9359999999999986</v>
      </c>
      <c r="N9" s="3">
        <f t="shared" si="16"/>
        <v>0.51411424170804876</v>
      </c>
      <c r="O9" s="3">
        <v>0.23</v>
      </c>
      <c r="P9" s="3">
        <v>0.03</v>
      </c>
      <c r="Q9">
        <f t="shared" si="1"/>
        <v>2.4489795918367352</v>
      </c>
      <c r="R9" s="4">
        <v>20.96</v>
      </c>
      <c r="S9">
        <v>20.63</v>
      </c>
      <c r="T9">
        <f t="shared" si="2"/>
        <v>4.0408163265306349</v>
      </c>
      <c r="U9">
        <f t="shared" si="3"/>
        <v>4.1743970315399155</v>
      </c>
      <c r="V9">
        <f t="shared" si="4"/>
        <v>2.5299375948726621</v>
      </c>
      <c r="W9">
        <f t="shared" si="5"/>
        <v>1.0794078663743689</v>
      </c>
      <c r="X9">
        <f t="shared" si="6"/>
        <v>4.3478260869565215</v>
      </c>
      <c r="Y9" s="3">
        <v>5.9617196605912675</v>
      </c>
      <c r="Z9" s="3">
        <v>27.942186197001089</v>
      </c>
      <c r="AA9" s="3">
        <v>13.514030056999717</v>
      </c>
      <c r="AB9" s="3">
        <v>11.939378391170768</v>
      </c>
      <c r="AC9" s="3">
        <v>121.17816808962203</v>
      </c>
      <c r="AD9" s="3">
        <v>56.264022523300071</v>
      </c>
      <c r="AE9" s="3">
        <v>12.104684753303998</v>
      </c>
      <c r="AF9" s="3">
        <v>5.8543405456303583</v>
      </c>
      <c r="AG9" s="3">
        <v>5.1721941352979375</v>
      </c>
      <c r="AH9" s="3">
        <v>52.494944861013934</v>
      </c>
      <c r="AI9" s="3">
        <v>24.37383570475377</v>
      </c>
      <c r="AJ9">
        <v>5.7999999999999996E-3</v>
      </c>
      <c r="AK9">
        <v>21.539899999999999</v>
      </c>
      <c r="AL9">
        <v>0</v>
      </c>
      <c r="AM9">
        <v>0</v>
      </c>
      <c r="AN9">
        <v>7.1999999999999998E-3</v>
      </c>
      <c r="AO9">
        <v>0</v>
      </c>
      <c r="AP9">
        <v>0</v>
      </c>
      <c r="AQ9">
        <v>25.305599999999998</v>
      </c>
      <c r="AR9">
        <f t="shared" si="7"/>
        <v>3.7656999999999989</v>
      </c>
      <c r="AS9">
        <v>0</v>
      </c>
      <c r="AT9">
        <f t="shared" si="8"/>
        <v>1.5593407219270073E-3</v>
      </c>
      <c r="AU9">
        <f t="shared" si="9"/>
        <v>0</v>
      </c>
      <c r="AV9">
        <f t="shared" si="10"/>
        <v>0</v>
      </c>
      <c r="AW9">
        <f t="shared" si="11"/>
        <v>8.0725163109676857E-3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106.59030402736931</v>
      </c>
      <c r="BB9">
        <v>166.5166667</v>
      </c>
    </row>
    <row r="10" spans="1:54" x14ac:dyDescent="0.25">
      <c r="A10" t="s">
        <v>38</v>
      </c>
      <c r="B10" t="s">
        <v>37</v>
      </c>
      <c r="C10">
        <v>116</v>
      </c>
      <c r="D10" s="1">
        <v>44173</v>
      </c>
      <c r="E10">
        <v>1</v>
      </c>
      <c r="F10">
        <v>1</v>
      </c>
      <c r="G10">
        <v>1</v>
      </c>
      <c r="H10">
        <v>470</v>
      </c>
      <c r="I10">
        <v>50</v>
      </c>
      <c r="J10">
        <v>0.1</v>
      </c>
      <c r="K10" s="2">
        <f t="shared" si="0"/>
        <v>0.10638297872340426</v>
      </c>
      <c r="L10">
        <v>1.58</v>
      </c>
      <c r="M10">
        <v>1.5139999999999987</v>
      </c>
      <c r="N10" s="3">
        <f t="shared" si="16"/>
        <v>0.41342399169875144</v>
      </c>
      <c r="O10" s="3">
        <v>0.21</v>
      </c>
      <c r="P10" s="3">
        <v>0.03</v>
      </c>
      <c r="Q10">
        <f t="shared" si="1"/>
        <v>2.2040816326530615</v>
      </c>
      <c r="R10">
        <v>21.12</v>
      </c>
      <c r="S10">
        <v>20.440000000000001</v>
      </c>
      <c r="T10">
        <f t="shared" si="2"/>
        <v>8.3265306122448948</v>
      </c>
      <c r="U10">
        <f t="shared" si="3"/>
        <v>11.701468017995028</v>
      </c>
      <c r="V10">
        <f t="shared" si="4"/>
        <v>3.0974474165280972</v>
      </c>
      <c r="W10">
        <f t="shared" si="5"/>
        <v>1.4279785501174362</v>
      </c>
      <c r="X10">
        <f t="shared" si="6"/>
        <v>4.6253469010175774</v>
      </c>
      <c r="Y10" s="3">
        <v>1.9296153393935058</v>
      </c>
      <c r="Z10" s="3">
        <v>11.393282346079287</v>
      </c>
      <c r="AA10" s="3">
        <v>4.129640786377939</v>
      </c>
      <c r="AB10" s="3">
        <v>1.5629885974836262</v>
      </c>
      <c r="AC10" s="3">
        <v>9.4665270235053587</v>
      </c>
      <c r="AD10" s="3">
        <v>31.876313723389103</v>
      </c>
      <c r="AE10" s="3">
        <v>19.499444816310724</v>
      </c>
      <c r="AF10" s="3">
        <v>7.0678229661247318</v>
      </c>
      <c r="AG10" s="3">
        <v>2.6750333204586032</v>
      </c>
      <c r="AH10" s="3">
        <v>16.201829787925838</v>
      </c>
      <c r="AI10" s="3">
        <v>54.555869109180108</v>
      </c>
      <c r="AJ10">
        <v>1.4500000000000001E-2</v>
      </c>
      <c r="AK10">
        <v>21.852399999999999</v>
      </c>
      <c r="AL10">
        <v>1.67E-2</v>
      </c>
      <c r="AM10">
        <v>0</v>
      </c>
      <c r="AN10">
        <v>1.17E-2</v>
      </c>
      <c r="AO10">
        <v>0</v>
      </c>
      <c r="AP10">
        <v>2.9999999999999997E-4</v>
      </c>
      <c r="AQ10">
        <v>25.514500000000002</v>
      </c>
      <c r="AR10">
        <f t="shared" si="7"/>
        <v>3.6621000000000024</v>
      </c>
      <c r="AS10">
        <v>0</v>
      </c>
      <c r="AT10">
        <f t="shared" si="8"/>
        <v>5.3031346399046607E-3</v>
      </c>
      <c r="AU10">
        <f t="shared" si="9"/>
        <v>1.3325516803278812E-2</v>
      </c>
      <c r="AV10">
        <f t="shared" si="10"/>
        <v>0</v>
      </c>
      <c r="AW10">
        <f t="shared" si="11"/>
        <v>1.7844891870418187E-2</v>
      </c>
      <c r="AX10">
        <f t="shared" si="12"/>
        <v>0</v>
      </c>
      <c r="AY10">
        <f t="shared" si="13"/>
        <v>1.7850665148271648E-4</v>
      </c>
      <c r="AZ10">
        <f t="shared" si="14"/>
        <v>0</v>
      </c>
      <c r="BA10">
        <f t="shared" si="15"/>
        <v>91.399522837109942</v>
      </c>
      <c r="BB10">
        <v>226.6</v>
      </c>
    </row>
    <row r="11" spans="1:54" x14ac:dyDescent="0.25">
      <c r="A11" t="s">
        <v>38</v>
      </c>
      <c r="B11" t="s">
        <v>37</v>
      </c>
      <c r="C11">
        <v>116</v>
      </c>
      <c r="D11" s="1">
        <v>44173</v>
      </c>
      <c r="E11">
        <v>1</v>
      </c>
      <c r="F11">
        <v>2</v>
      </c>
      <c r="G11">
        <v>2</v>
      </c>
      <c r="H11">
        <v>480</v>
      </c>
      <c r="I11">
        <v>50</v>
      </c>
      <c r="J11">
        <v>0.1</v>
      </c>
      <c r="K11" s="2">
        <f t="shared" si="0"/>
        <v>0.10416666666666667</v>
      </c>
      <c r="L11">
        <v>1.6</v>
      </c>
      <c r="M11">
        <v>1.5360000000000014</v>
      </c>
      <c r="N11" s="3">
        <f t="shared" si="16"/>
        <v>0.37062953936732401</v>
      </c>
      <c r="O11" s="3">
        <v>0.22</v>
      </c>
      <c r="P11" s="3">
        <v>0.03</v>
      </c>
      <c r="Q11">
        <f t="shared" si="1"/>
        <v>2.3265306122448983</v>
      </c>
      <c r="R11">
        <v>21.12</v>
      </c>
      <c r="S11">
        <v>20.38</v>
      </c>
      <c r="T11">
        <f t="shared" si="2"/>
        <v>9.0612244897959435</v>
      </c>
      <c r="U11">
        <f t="shared" si="3"/>
        <v>12.290072278911587</v>
      </c>
      <c r="V11">
        <f t="shared" si="4"/>
        <v>3.1555590986394533</v>
      </c>
      <c r="W11">
        <f t="shared" si="5"/>
        <v>1.5596744237691138</v>
      </c>
      <c r="X11">
        <f t="shared" si="6"/>
        <v>4.5289855072463778</v>
      </c>
      <c r="Y11" s="3">
        <v>1.1999722722122548</v>
      </c>
      <c r="Z11" s="3">
        <v>7.5924479327848493</v>
      </c>
      <c r="AA11" s="3">
        <v>2.3553373026955171</v>
      </c>
      <c r="AB11" s="3">
        <v>0.38986125811136813</v>
      </c>
      <c r="AC11" s="3">
        <v>7.6882901847279186</v>
      </c>
      <c r="AD11" s="3">
        <v>18.837211524040846</v>
      </c>
      <c r="AE11" s="3">
        <v>20.596309059405495</v>
      </c>
      <c r="AF11" s="3">
        <v>6.3894089831011653</v>
      </c>
      <c r="AG11" s="3">
        <v>1.0575907840839369</v>
      </c>
      <c r="AH11" s="3">
        <v>20.856303814647077</v>
      </c>
      <c r="AI11" s="3">
        <v>51.100387358762319</v>
      </c>
      <c r="AJ11">
        <v>1.2699999999999999E-2</v>
      </c>
      <c r="AK11">
        <v>21.370200000000001</v>
      </c>
      <c r="AL11">
        <v>1.8700000000000001E-2</v>
      </c>
      <c r="AM11">
        <v>0</v>
      </c>
      <c r="AN11">
        <v>3.0000000000000001E-3</v>
      </c>
      <c r="AO11">
        <v>0</v>
      </c>
      <c r="AP11">
        <v>5.9999999999999995E-4</v>
      </c>
      <c r="AQ11">
        <v>25.514500000000002</v>
      </c>
      <c r="AR11">
        <f t="shared" si="7"/>
        <v>4.1443000000000012</v>
      </c>
      <c r="AS11">
        <v>0</v>
      </c>
      <c r="AT11">
        <f t="shared" si="8"/>
        <v>4.4829062039504538E-3</v>
      </c>
      <c r="AU11">
        <f t="shared" si="9"/>
        <v>1.4401259518447007E-2</v>
      </c>
      <c r="AV11">
        <f t="shared" si="10"/>
        <v>0</v>
      </c>
      <c r="AW11">
        <f t="shared" si="11"/>
        <v>4.4161172310252473E-3</v>
      </c>
      <c r="AX11">
        <f t="shared" si="12"/>
        <v>0</v>
      </c>
      <c r="AY11">
        <f t="shared" si="13"/>
        <v>3.4456858469528862E-4</v>
      </c>
      <c r="AZ11">
        <f t="shared" si="14"/>
        <v>0</v>
      </c>
      <c r="BA11">
        <f t="shared" si="15"/>
        <v>82.975183924402316</v>
      </c>
      <c r="BB11">
        <v>252.35</v>
      </c>
    </row>
    <row r="12" spans="1:54" x14ac:dyDescent="0.25">
      <c r="A12" t="s">
        <v>38</v>
      </c>
      <c r="B12" t="s">
        <v>37</v>
      </c>
      <c r="C12">
        <v>116</v>
      </c>
      <c r="D12" s="1">
        <v>44173</v>
      </c>
      <c r="E12">
        <v>1</v>
      </c>
      <c r="F12">
        <v>3</v>
      </c>
      <c r="G12">
        <v>3</v>
      </c>
      <c r="H12">
        <v>500</v>
      </c>
      <c r="I12">
        <v>50</v>
      </c>
      <c r="J12">
        <v>0.1</v>
      </c>
      <c r="K12" s="2">
        <f t="shared" si="0"/>
        <v>0.1</v>
      </c>
      <c r="L12">
        <v>1.6800000000000002</v>
      </c>
      <c r="M12">
        <v>1.3600000000000023</v>
      </c>
      <c r="N12" s="3">
        <f t="shared" si="16"/>
        <v>0.2827913166431012</v>
      </c>
      <c r="O12" s="3">
        <v>0.22</v>
      </c>
      <c r="P12" s="3">
        <v>0.03</v>
      </c>
      <c r="Q12">
        <f t="shared" si="1"/>
        <v>2.3265306122448983</v>
      </c>
      <c r="R12">
        <v>21.12</v>
      </c>
      <c r="S12">
        <v>20.52</v>
      </c>
      <c r="T12">
        <f t="shared" si="2"/>
        <v>7.3469387755102211</v>
      </c>
      <c r="U12">
        <f t="shared" si="3"/>
        <v>10.804321728691484</v>
      </c>
      <c r="V12">
        <f t="shared" si="4"/>
        <v>3.4213685474189623</v>
      </c>
      <c r="W12">
        <f t="shared" si="5"/>
        <v>1.9623620813475193</v>
      </c>
      <c r="X12">
        <f t="shared" si="6"/>
        <v>4.3478260869565224</v>
      </c>
      <c r="Y12" s="3">
        <v>2.803843236826852</v>
      </c>
      <c r="Z12" s="3">
        <v>15.632338384797533</v>
      </c>
      <c r="AA12" s="3">
        <v>5.3730374639967398</v>
      </c>
      <c r="AB12" s="3">
        <v>4.0290525283203014</v>
      </c>
      <c r="AC12" s="3">
        <v>12.910323868150751</v>
      </c>
      <c r="AD12" s="3">
        <v>38.31978379642517</v>
      </c>
      <c r="AE12" s="3">
        <v>20.49751981216016</v>
      </c>
      <c r="AF12" s="3">
        <v>7.0452634250073132</v>
      </c>
      <c r="AG12" s="3">
        <v>5.2829961833345376</v>
      </c>
      <c r="AH12" s="3">
        <v>16.928345123732534</v>
      </c>
      <c r="AI12" s="3">
        <v>50.245875455765464</v>
      </c>
      <c r="AJ12">
        <v>1.5100000000000001E-2</v>
      </c>
      <c r="AK12">
        <v>20.705300000000001</v>
      </c>
      <c r="AL12">
        <v>1.6299999999999999E-2</v>
      </c>
      <c r="AM12">
        <v>0</v>
      </c>
      <c r="AN12">
        <v>1.23E-2</v>
      </c>
      <c r="AO12">
        <v>0</v>
      </c>
      <c r="AP12">
        <v>6.9999999999999999E-4</v>
      </c>
      <c r="AQ12">
        <v>25.514500000000002</v>
      </c>
      <c r="AR12">
        <f t="shared" si="7"/>
        <v>4.8092000000000006</v>
      </c>
      <c r="AS12">
        <v>0</v>
      </c>
      <c r="AT12">
        <f t="shared" si="8"/>
        <v>5.779049559904317E-3</v>
      </c>
      <c r="AU12">
        <f t="shared" si="9"/>
        <v>1.3610372606912375E-2</v>
      </c>
      <c r="AV12">
        <f t="shared" si="10"/>
        <v>0</v>
      </c>
      <c r="AW12">
        <f t="shared" si="11"/>
        <v>1.9631251675838526E-2</v>
      </c>
      <c r="AX12">
        <f t="shared" si="12"/>
        <v>0</v>
      </c>
      <c r="AY12">
        <f t="shared" si="13"/>
        <v>4.3585899089926359E-4</v>
      </c>
      <c r="AZ12">
        <f t="shared" si="14"/>
        <v>0</v>
      </c>
      <c r="BA12">
        <f t="shared" si="15"/>
        <v>66.974609016904324</v>
      </c>
      <c r="BB12">
        <v>243.2666667</v>
      </c>
    </row>
    <row r="13" spans="1:54" x14ac:dyDescent="0.25">
      <c r="A13" t="s">
        <v>38</v>
      </c>
      <c r="B13" t="s">
        <v>37</v>
      </c>
      <c r="C13">
        <v>116</v>
      </c>
      <c r="D13" s="1">
        <v>44173</v>
      </c>
      <c r="E13">
        <v>1</v>
      </c>
      <c r="F13">
        <v>4</v>
      </c>
      <c r="G13">
        <v>4</v>
      </c>
      <c r="H13">
        <v>490</v>
      </c>
      <c r="I13">
        <v>50</v>
      </c>
      <c r="J13">
        <v>0.1</v>
      </c>
      <c r="K13" s="2">
        <f t="shared" si="0"/>
        <v>0.10204081632653061</v>
      </c>
      <c r="L13">
        <v>1.6600000000000001</v>
      </c>
      <c r="M13">
        <v>1.5859999999999985</v>
      </c>
      <c r="N13" s="3">
        <f t="shared" si="16"/>
        <v>0.37350163671902548</v>
      </c>
      <c r="O13" s="3">
        <v>0.23</v>
      </c>
      <c r="P13" s="3">
        <v>0.03</v>
      </c>
      <c r="Q13">
        <f t="shared" si="1"/>
        <v>2.4489795918367352</v>
      </c>
      <c r="R13">
        <v>21.12</v>
      </c>
      <c r="S13">
        <v>20.6</v>
      </c>
      <c r="T13">
        <f t="shared" si="2"/>
        <v>6.3673469387755057</v>
      </c>
      <c r="U13">
        <f t="shared" si="3"/>
        <v>8.1933074333781697</v>
      </c>
      <c r="V13">
        <f t="shared" si="4"/>
        <v>3.1512720897608379</v>
      </c>
      <c r="W13">
        <f t="shared" si="5"/>
        <v>1.5160957433010103</v>
      </c>
      <c r="X13">
        <f t="shared" si="6"/>
        <v>4.4365572315882877</v>
      </c>
      <c r="Y13" s="3">
        <v>2.1743847341948555</v>
      </c>
      <c r="Z13" s="3">
        <v>16.330885878169877</v>
      </c>
      <c r="AA13" s="3">
        <v>4.6394083665782517</v>
      </c>
      <c r="AB13" s="3">
        <v>3.6074392463589335</v>
      </c>
      <c r="AC13" s="3">
        <v>11.768378292430993</v>
      </c>
      <c r="AD13" s="3">
        <v>32.625371985122683</v>
      </c>
      <c r="AE13" s="3">
        <v>23.677736052403596</v>
      </c>
      <c r="AF13" s="3">
        <v>6.7265601855680339</v>
      </c>
      <c r="AG13" s="3">
        <v>5.2303344066929904</v>
      </c>
      <c r="AH13" s="3">
        <v>17.062672352973664</v>
      </c>
      <c r="AI13" s="3">
        <v>47.302697002361725</v>
      </c>
      <c r="AJ13">
        <v>1.72E-2</v>
      </c>
      <c r="AK13">
        <v>21.2682</v>
      </c>
      <c r="AL13">
        <v>1.77E-2</v>
      </c>
      <c r="AM13">
        <v>0</v>
      </c>
      <c r="AN13">
        <v>1.6299999999999999E-2</v>
      </c>
      <c r="AO13">
        <v>0</v>
      </c>
      <c r="AP13">
        <v>5.9999999999999995E-4</v>
      </c>
      <c r="AQ13">
        <v>25.514500000000002</v>
      </c>
      <c r="AR13">
        <f t="shared" si="7"/>
        <v>4.2463000000000015</v>
      </c>
      <c r="AS13">
        <v>0</v>
      </c>
      <c r="AT13">
        <f t="shared" si="8"/>
        <v>5.7599348104402058E-3</v>
      </c>
      <c r="AU13">
        <f t="shared" si="9"/>
        <v>1.2931989001105185E-2</v>
      </c>
      <c r="AV13">
        <f t="shared" si="10"/>
        <v>0</v>
      </c>
      <c r="AW13">
        <f t="shared" si="11"/>
        <v>2.2763557431553255E-2</v>
      </c>
      <c r="AX13">
        <f t="shared" si="12"/>
        <v>0</v>
      </c>
      <c r="AY13">
        <f t="shared" si="13"/>
        <v>3.2689544499593746E-4</v>
      </c>
      <c r="AZ13">
        <f t="shared" si="14"/>
        <v>0</v>
      </c>
      <c r="BA13">
        <f t="shared" si="15"/>
        <v>84.735409223732205</v>
      </c>
      <c r="BB13">
        <v>236.8</v>
      </c>
    </row>
    <row r="14" spans="1:54" x14ac:dyDescent="0.25">
      <c r="A14" t="s">
        <v>39</v>
      </c>
      <c r="B14" t="s">
        <v>37</v>
      </c>
      <c r="C14">
        <v>116</v>
      </c>
      <c r="D14" s="1">
        <v>44173</v>
      </c>
      <c r="E14">
        <v>1</v>
      </c>
      <c r="F14">
        <v>5</v>
      </c>
      <c r="G14">
        <v>1</v>
      </c>
      <c r="H14">
        <v>480</v>
      </c>
      <c r="I14">
        <v>50</v>
      </c>
      <c r="J14">
        <v>0.1</v>
      </c>
      <c r="K14" s="2">
        <f t="shared" ref="K14:K20" si="17">I14/H14</f>
        <v>0.10416666666666667</v>
      </c>
      <c r="L14">
        <v>1.8199999999999998</v>
      </c>
      <c r="M14">
        <v>1.6120000000000005</v>
      </c>
      <c r="N14" s="3">
        <f t="shared" si="16"/>
        <v>0.45877564960013678</v>
      </c>
      <c r="O14" s="3">
        <v>0.22</v>
      </c>
      <c r="P14" s="3">
        <v>0.03</v>
      </c>
      <c r="Q14">
        <f t="shared" ref="Q14:Q20" si="18">(30/24.5)*(O14-P14)*0.01*1000</f>
        <v>2.3265306122448983</v>
      </c>
      <c r="R14">
        <v>20.77</v>
      </c>
      <c r="S14">
        <v>19.84</v>
      </c>
      <c r="T14">
        <f t="shared" ref="T14:T20" si="19">(30/24.5)*(R14-S14)*0.01*1000</f>
        <v>11.387755102040813</v>
      </c>
      <c r="U14">
        <f t="shared" si="3"/>
        <v>14.717425431711138</v>
      </c>
      <c r="V14">
        <f t="shared" si="4"/>
        <v>3.0067858408872228</v>
      </c>
      <c r="W14">
        <f t="shared" si="5"/>
        <v>1.2600089253829718</v>
      </c>
      <c r="X14">
        <f t="shared" si="6"/>
        <v>4.5289855072463769</v>
      </c>
      <c r="Y14" s="3">
        <v>2.5138022335023913</v>
      </c>
      <c r="Z14" s="3">
        <v>11.775913111848178</v>
      </c>
      <c r="AA14" s="3">
        <v>7.2736140327037715</v>
      </c>
      <c r="AB14" s="3">
        <v>1.4437178810612583</v>
      </c>
      <c r="AC14" s="3">
        <v>15.452138450662716</v>
      </c>
      <c r="AD14" s="3">
        <v>45.099600531841197</v>
      </c>
      <c r="AE14" s="3">
        <v>14.530094929340418</v>
      </c>
      <c r="AF14" s="3">
        <v>8.9747861903153403</v>
      </c>
      <c r="AG14" s="3">
        <v>1.7813784514001036</v>
      </c>
      <c r="AH14" s="3">
        <v>19.066125608853344</v>
      </c>
      <c r="AI14" s="3">
        <v>55.647614820090794</v>
      </c>
      <c r="AJ14">
        <v>3.6600000000000001E-2</v>
      </c>
      <c r="AK14">
        <v>21.5716</v>
      </c>
      <c r="AL14">
        <v>6.8999999999999999E-3</v>
      </c>
      <c r="AM14">
        <v>0</v>
      </c>
      <c r="AN14">
        <v>3.1199999999999999E-2</v>
      </c>
      <c r="AO14">
        <v>0</v>
      </c>
      <c r="AP14">
        <v>0</v>
      </c>
      <c r="AQ14">
        <v>25.0853</v>
      </c>
      <c r="AR14">
        <f t="shared" ref="AR14:AR20" si="20">AQ14-AK14</f>
        <v>3.5137</v>
      </c>
      <c r="AS14">
        <v>0</v>
      </c>
      <c r="AT14">
        <f t="shared" ref="AT14:AT20" si="21">(AJ14*1000/192.124)*$K14/$M14</f>
        <v>1.2310145747992673E-2</v>
      </c>
      <c r="AU14">
        <f t="shared" ref="AU14:AU20" si="22">(AL14*1000/88.06)*$K14/$M14</f>
        <v>5.0633055851272155E-3</v>
      </c>
      <c r="AV14">
        <f t="shared" ref="AV14:AV20" si="23">(AM14*1000/60.052)*$K14/$M14</f>
        <v>0</v>
      </c>
      <c r="AW14">
        <f t="shared" ref="AW14:AW20" si="24">(AN14*1000/46.07)*$K14/$M14</f>
        <v>4.3762297205514736E-2</v>
      </c>
      <c r="AX14">
        <f t="shared" ref="AX14:AX20" si="25">(AO14*1000/92.09)*$K14/$M14</f>
        <v>0</v>
      </c>
      <c r="AY14">
        <f t="shared" ref="AY14:AY20" si="26">(AP14*1000/118.09)*$K14/$M14</f>
        <v>0</v>
      </c>
      <c r="AZ14">
        <f t="shared" ref="AZ14:AZ20" si="27">(AS14*1000/118.09)*$K14/$M14</f>
        <v>0</v>
      </c>
      <c r="BA14">
        <f t="shared" si="15"/>
        <v>102.01444580301747</v>
      </c>
      <c r="BB14">
        <v>188.83330000000001</v>
      </c>
    </row>
    <row r="15" spans="1:54" x14ac:dyDescent="0.25">
      <c r="A15" t="s">
        <v>39</v>
      </c>
      <c r="B15" t="s">
        <v>37</v>
      </c>
      <c r="C15">
        <v>116</v>
      </c>
      <c r="D15" s="1">
        <v>44173</v>
      </c>
      <c r="E15">
        <v>1</v>
      </c>
      <c r="F15">
        <v>6</v>
      </c>
      <c r="G15">
        <v>2</v>
      </c>
      <c r="H15">
        <v>490</v>
      </c>
      <c r="I15">
        <v>50</v>
      </c>
      <c r="J15">
        <v>0.1</v>
      </c>
      <c r="K15" s="2">
        <f t="shared" si="17"/>
        <v>0.10204081632653061</v>
      </c>
      <c r="L15">
        <v>1.94</v>
      </c>
      <c r="M15">
        <v>1.602000000000001</v>
      </c>
      <c r="N15" s="3">
        <f t="shared" si="16"/>
        <v>0.45911787464534459</v>
      </c>
      <c r="O15" s="3">
        <v>0.21</v>
      </c>
      <c r="P15" s="3">
        <v>0.03</v>
      </c>
      <c r="Q15">
        <f t="shared" si="18"/>
        <v>2.2040816326530615</v>
      </c>
      <c r="R15">
        <v>20.47</v>
      </c>
      <c r="S15">
        <v>20.440000000000001</v>
      </c>
      <c r="T15">
        <f t="shared" si="19"/>
        <v>0.36734693877548064</v>
      </c>
      <c r="U15" s="6"/>
      <c r="V15">
        <f t="shared" si="4"/>
        <v>2.8078188395284722</v>
      </c>
      <c r="W15">
        <f t="shared" si="5"/>
        <v>1.2333744182430226</v>
      </c>
      <c r="X15">
        <f t="shared" si="6"/>
        <v>4.4365572315882886</v>
      </c>
      <c r="Y15" s="3">
        <v>1.8475409406540892</v>
      </c>
      <c r="Z15" s="3">
        <v>9.4795460587293654</v>
      </c>
      <c r="AA15" s="3">
        <v>6.2876721516328073</v>
      </c>
      <c r="AB15" s="3">
        <v>1.3718297088711602</v>
      </c>
      <c r="AC15" s="3">
        <v>13.116102299925771</v>
      </c>
      <c r="AD15" s="3">
        <v>28.940061519397958</v>
      </c>
      <c r="AE15" s="3">
        <v>16.014041981295627</v>
      </c>
      <c r="AF15" s="3">
        <v>10.621926954840681</v>
      </c>
      <c r="AG15" s="3">
        <v>2.3174673568700368</v>
      </c>
      <c r="AH15" s="3">
        <v>22.157370359370706</v>
      </c>
      <c r="AI15" s="3">
        <v>48.889193347622943</v>
      </c>
      <c r="AJ15">
        <v>3.8600000000000002E-2</v>
      </c>
      <c r="AK15">
        <v>21.596</v>
      </c>
      <c r="AL15">
        <v>6.4999999999999997E-3</v>
      </c>
      <c r="AM15">
        <v>0</v>
      </c>
      <c r="AN15">
        <v>5.3E-3</v>
      </c>
      <c r="AO15">
        <v>0</v>
      </c>
      <c r="AP15">
        <v>0</v>
      </c>
      <c r="AQ15">
        <v>25.0853</v>
      </c>
      <c r="AR15">
        <f t="shared" si="20"/>
        <v>3.4893000000000001</v>
      </c>
      <c r="AS15">
        <v>0</v>
      </c>
      <c r="AT15">
        <f t="shared" si="21"/>
        <v>1.2797263054946748E-2</v>
      </c>
      <c r="AU15">
        <f t="shared" si="22"/>
        <v>4.701604442624443E-3</v>
      </c>
      <c r="AV15">
        <f t="shared" si="23"/>
        <v>0</v>
      </c>
      <c r="AW15">
        <f t="shared" si="24"/>
        <v>7.3277234384224506E-3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15"/>
        <v>99.31993346785606</v>
      </c>
      <c r="BB15">
        <v>230.03333330000001</v>
      </c>
    </row>
    <row r="16" spans="1:54" x14ac:dyDescent="0.25">
      <c r="A16" t="s">
        <v>39</v>
      </c>
      <c r="B16" t="s">
        <v>37</v>
      </c>
      <c r="C16">
        <v>116</v>
      </c>
      <c r="D16" s="1">
        <v>44173</v>
      </c>
      <c r="E16">
        <v>1</v>
      </c>
      <c r="F16">
        <v>7</v>
      </c>
      <c r="G16">
        <v>3</v>
      </c>
      <c r="H16">
        <v>480</v>
      </c>
      <c r="I16">
        <v>50</v>
      </c>
      <c r="J16">
        <v>0.1</v>
      </c>
      <c r="K16" s="2">
        <f t="shared" si="17"/>
        <v>0.10416666666666667</v>
      </c>
      <c r="L16">
        <v>1.8199999999999998</v>
      </c>
      <c r="M16">
        <v>1.602000000000001</v>
      </c>
      <c r="N16" s="3">
        <f t="shared" si="16"/>
        <v>0.41164529640003106</v>
      </c>
      <c r="O16" s="3">
        <v>0.2</v>
      </c>
      <c r="P16" s="3">
        <v>0.03</v>
      </c>
      <c r="Q16">
        <f t="shared" si="18"/>
        <v>2.081632653061225</v>
      </c>
      <c r="R16">
        <v>20.95</v>
      </c>
      <c r="S16">
        <v>19.86</v>
      </c>
      <c r="T16">
        <f t="shared" si="19"/>
        <v>13.346938775510202</v>
      </c>
      <c r="U16">
        <f t="shared" si="3"/>
        <v>17.357130117964775</v>
      </c>
      <c r="V16">
        <f t="shared" si="4"/>
        <v>2.7070753394990943</v>
      </c>
      <c r="W16">
        <f t="shared" si="5"/>
        <v>1.4042706628737749</v>
      </c>
      <c r="X16">
        <f t="shared" si="6"/>
        <v>4.5289855072463769</v>
      </c>
      <c r="Y16" s="3">
        <v>2.1777012131706854</v>
      </c>
      <c r="Z16" s="3">
        <v>11.120193917487596</v>
      </c>
      <c r="AA16" s="3">
        <v>5.9911108109455373</v>
      </c>
      <c r="AB16" s="3">
        <v>1.2075337010572014</v>
      </c>
      <c r="AC16" s="3">
        <v>14.511797595175738</v>
      </c>
      <c r="AD16" s="3">
        <v>36.942910845322729</v>
      </c>
      <c r="AE16" s="3">
        <v>15.937549997577444</v>
      </c>
      <c r="AF16" s="3">
        <v>8.5865074655140567</v>
      </c>
      <c r="AG16" s="3">
        <v>1.7306468643585458</v>
      </c>
      <c r="AH16" s="3">
        <v>20.798423250886209</v>
      </c>
      <c r="AI16" s="3">
        <v>52.946872421663748</v>
      </c>
      <c r="AJ16">
        <v>3.44E-2</v>
      </c>
      <c r="AK16">
        <v>21.1936</v>
      </c>
      <c r="AL16">
        <v>7.4999999999999997E-3</v>
      </c>
      <c r="AM16">
        <v>0</v>
      </c>
      <c r="AN16">
        <v>3.3700000000000001E-2</v>
      </c>
      <c r="AO16">
        <v>0</v>
      </c>
      <c r="AP16">
        <v>0</v>
      </c>
      <c r="AQ16">
        <v>25.0853</v>
      </c>
      <c r="AR16">
        <f t="shared" si="20"/>
        <v>3.8917000000000002</v>
      </c>
      <c r="AS16">
        <v>0</v>
      </c>
      <c r="AT16">
        <f t="shared" si="21"/>
        <v>1.1642415050420032E-2</v>
      </c>
      <c r="AU16">
        <f t="shared" si="22"/>
        <v>5.537947540591291E-3</v>
      </c>
      <c r="AV16">
        <f t="shared" si="23"/>
        <v>0</v>
      </c>
      <c r="AW16">
        <f t="shared" si="24"/>
        <v>4.756395327777907E-2</v>
      </c>
      <c r="AX16">
        <f t="shared" si="25"/>
        <v>0</v>
      </c>
      <c r="AY16">
        <f t="shared" si="26"/>
        <v>0</v>
      </c>
      <c r="AZ16">
        <f t="shared" si="27"/>
        <v>0</v>
      </c>
      <c r="BA16">
        <f t="shared" si="15"/>
        <v>88.036887312562087</v>
      </c>
      <c r="BB16">
        <v>236.9</v>
      </c>
    </row>
    <row r="17" spans="1:54" x14ac:dyDescent="0.25">
      <c r="A17" t="s">
        <v>39</v>
      </c>
      <c r="B17" t="s">
        <v>37</v>
      </c>
      <c r="C17">
        <v>116</v>
      </c>
      <c r="D17" s="1">
        <v>44173</v>
      </c>
      <c r="E17">
        <v>1</v>
      </c>
      <c r="F17">
        <v>8</v>
      </c>
      <c r="G17">
        <v>4</v>
      </c>
      <c r="H17">
        <v>470</v>
      </c>
      <c r="I17">
        <v>50</v>
      </c>
      <c r="J17">
        <v>0.1</v>
      </c>
      <c r="K17" s="2">
        <f t="shared" si="17"/>
        <v>0.10638297872340426</v>
      </c>
      <c r="L17">
        <v>1.8199999999999998</v>
      </c>
      <c r="M17">
        <v>1.55</v>
      </c>
      <c r="N17" s="3">
        <f t="shared" si="16"/>
        <v>0.48439013719178731</v>
      </c>
      <c r="O17" s="3">
        <v>0.22</v>
      </c>
      <c r="P17" s="3">
        <v>0.03</v>
      </c>
      <c r="Q17">
        <f t="shared" si="18"/>
        <v>2.3265306122448983</v>
      </c>
      <c r="R17">
        <v>21.21</v>
      </c>
      <c r="S17">
        <v>20.399999999999999</v>
      </c>
      <c r="T17">
        <f t="shared" si="19"/>
        <v>9.918367346938803</v>
      </c>
      <c r="U17">
        <f t="shared" si="3"/>
        <v>13.614780160519977</v>
      </c>
      <c r="V17">
        <f t="shared" si="4"/>
        <v>3.193590408023196</v>
      </c>
      <c r="W17">
        <f t="shared" si="5"/>
        <v>1.218770876864492</v>
      </c>
      <c r="X17">
        <f t="shared" si="6"/>
        <v>4.6253469010175765</v>
      </c>
      <c r="Y17" s="3">
        <v>1.8626386228463261</v>
      </c>
      <c r="Z17" s="3">
        <v>10.968393984304077</v>
      </c>
      <c r="AA17" s="3">
        <v>4.9154829697073366</v>
      </c>
      <c r="AB17" s="3">
        <v>1.8073979653884673</v>
      </c>
      <c r="AC17" s="3">
        <v>11.476501052108846</v>
      </c>
      <c r="AD17" s="3">
        <v>28.574021336727387</v>
      </c>
      <c r="AE17" s="3">
        <v>18.995588110555019</v>
      </c>
      <c r="AF17" s="3">
        <v>8.5128679723417733</v>
      </c>
      <c r="AG17" s="3">
        <v>3.1301380449594447</v>
      </c>
      <c r="AH17" s="3">
        <v>19.875552177299255</v>
      </c>
      <c r="AI17" s="3">
        <v>49.485853694844508</v>
      </c>
      <c r="AJ17">
        <v>3.0700000000000002E-2</v>
      </c>
      <c r="AK17">
        <v>21.885400000000001</v>
      </c>
      <c r="AL17">
        <v>7.3000000000000001E-3</v>
      </c>
      <c r="AM17">
        <v>0</v>
      </c>
      <c r="AN17">
        <v>0</v>
      </c>
      <c r="AO17">
        <v>0</v>
      </c>
      <c r="AP17">
        <v>0</v>
      </c>
      <c r="AQ17">
        <v>25.0853</v>
      </c>
      <c r="AR17">
        <f t="shared" si="20"/>
        <v>3.1998999999999995</v>
      </c>
      <c r="AS17">
        <v>0</v>
      </c>
      <c r="AT17">
        <f t="shared" si="21"/>
        <v>1.0967236370893901E-2</v>
      </c>
      <c r="AU17">
        <f t="shared" si="22"/>
        <v>5.6896378911801418E-3</v>
      </c>
      <c r="AV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A17">
        <f t="shared" si="15"/>
        <v>108.05708427149855</v>
      </c>
      <c r="BB17">
        <v>242.05</v>
      </c>
    </row>
    <row r="18" spans="1:54" x14ac:dyDescent="0.25">
      <c r="A18" t="s">
        <v>173</v>
      </c>
      <c r="B18" t="s">
        <v>37</v>
      </c>
      <c r="C18">
        <v>116</v>
      </c>
      <c r="D18" s="1">
        <v>44181</v>
      </c>
      <c r="E18">
        <v>1</v>
      </c>
      <c r="F18">
        <v>6</v>
      </c>
      <c r="G18">
        <v>1</v>
      </c>
      <c r="H18">
        <v>480</v>
      </c>
      <c r="I18">
        <v>50</v>
      </c>
      <c r="J18">
        <v>0.1</v>
      </c>
      <c r="K18" s="2">
        <f t="shared" si="17"/>
        <v>0.10416666666666667</v>
      </c>
      <c r="L18">
        <v>1.28</v>
      </c>
      <c r="M18">
        <v>1.4479999999999991</v>
      </c>
      <c r="N18" s="3">
        <f t="shared" si="16"/>
        <v>0.54994303076338757</v>
      </c>
      <c r="O18" s="3">
        <v>0.2</v>
      </c>
      <c r="P18" s="3">
        <v>0.04</v>
      </c>
      <c r="Q18">
        <f t="shared" si="18"/>
        <v>1.9591836734693882</v>
      </c>
      <c r="R18">
        <v>20.89</v>
      </c>
      <c r="S18">
        <v>20.54</v>
      </c>
      <c r="T18">
        <f t="shared" si="19"/>
        <v>4.2857142857143034</v>
      </c>
      <c r="U18">
        <f t="shared" si="3"/>
        <v>6.1661404893449392</v>
      </c>
      <c r="V18">
        <f t="shared" si="4"/>
        <v>2.8188070808433898</v>
      </c>
      <c r="W18">
        <f t="shared" si="5"/>
        <v>1.0511296278127642</v>
      </c>
      <c r="X18">
        <f t="shared" si="6"/>
        <v>4.5289855072463769</v>
      </c>
      <c r="Y18" s="3">
        <v>1.7796980578099666</v>
      </c>
      <c r="Z18" s="3">
        <v>9.3928992997141982</v>
      </c>
      <c r="AA18" s="3">
        <v>1.9216176837310417</v>
      </c>
      <c r="AB18" s="3">
        <v>2.0542991814184957</v>
      </c>
      <c r="AC18" s="3">
        <v>8.4663136141972952</v>
      </c>
      <c r="AD18" s="3">
        <v>29.704925975115572</v>
      </c>
      <c r="AE18" s="3">
        <v>18.224464762929628</v>
      </c>
      <c r="AF18" s="3">
        <v>3.7283965948665503</v>
      </c>
      <c r="AG18" s="3">
        <v>3.9858303437167382</v>
      </c>
      <c r="AH18" s="3">
        <v>16.426667550725764</v>
      </c>
      <c r="AI18" s="3">
        <v>57.634640747761324</v>
      </c>
      <c r="AJ18" s="7">
        <v>1.2999999999999999E-2</v>
      </c>
      <c r="AK18">
        <v>22.7319</v>
      </c>
      <c r="AL18">
        <v>1.0699999999999999E-2</v>
      </c>
      <c r="AM18">
        <v>0</v>
      </c>
      <c r="AN18">
        <v>1.5800000000000002E-2</v>
      </c>
      <c r="AO18">
        <v>0</v>
      </c>
      <c r="AP18">
        <v>1.9900000000000001E-2</v>
      </c>
      <c r="AQ18">
        <v>25.364899999999999</v>
      </c>
      <c r="AR18">
        <f t="shared" si="20"/>
        <v>2.6329999999999991</v>
      </c>
      <c r="AS18">
        <v>0.2089</v>
      </c>
      <c r="AT18">
        <f t="shared" si="21"/>
        <v>4.8676790729805328E-3</v>
      </c>
      <c r="AU18">
        <f t="shared" si="22"/>
        <v>8.7410841595112043E-3</v>
      </c>
      <c r="AV18">
        <f t="shared" si="23"/>
        <v>0</v>
      </c>
      <c r="AW18">
        <f t="shared" si="24"/>
        <v>2.4671700243164296E-2</v>
      </c>
      <c r="AX18">
        <f t="shared" si="25"/>
        <v>0</v>
      </c>
      <c r="AY18">
        <f t="shared" si="26"/>
        <v>1.2122722360992273E-2</v>
      </c>
      <c r="AZ18">
        <f t="shared" si="27"/>
        <v>0.12725812568900932</v>
      </c>
      <c r="BA18">
        <f t="shared" si="15"/>
        <v>129.02542525153103</v>
      </c>
      <c r="BB18">
        <v>247.2</v>
      </c>
    </row>
    <row r="19" spans="1:54" x14ac:dyDescent="0.25">
      <c r="A19" t="s">
        <v>173</v>
      </c>
      <c r="B19" t="s">
        <v>37</v>
      </c>
      <c r="C19">
        <v>116</v>
      </c>
      <c r="D19" s="1">
        <v>44181</v>
      </c>
      <c r="E19">
        <v>1</v>
      </c>
      <c r="F19">
        <v>7</v>
      </c>
      <c r="G19">
        <v>2</v>
      </c>
      <c r="H19">
        <v>490</v>
      </c>
      <c r="I19">
        <v>50</v>
      </c>
      <c r="J19">
        <v>0.1</v>
      </c>
      <c r="K19" s="2">
        <f t="shared" si="17"/>
        <v>0.10204081632653061</v>
      </c>
      <c r="L19">
        <v>1.36</v>
      </c>
      <c r="M19">
        <v>1.4039999999999992</v>
      </c>
      <c r="N19" s="3">
        <f t="shared" si="16"/>
        <v>0.45478103135527326</v>
      </c>
      <c r="O19" s="3">
        <v>0.21</v>
      </c>
      <c r="P19" s="3">
        <v>0.03</v>
      </c>
      <c r="Q19">
        <f t="shared" si="18"/>
        <v>2.2040816326530615</v>
      </c>
      <c r="R19">
        <v>20.89</v>
      </c>
      <c r="S19">
        <v>21.76</v>
      </c>
      <c r="T19">
        <f t="shared" si="19"/>
        <v>-10.653061224489809</v>
      </c>
      <c r="U19" s="6"/>
      <c r="V19">
        <f t="shared" si="4"/>
        <v>3.2037932912568508</v>
      </c>
      <c r="W19">
        <f t="shared" si="5"/>
        <v>1.2451360160255045</v>
      </c>
      <c r="X19">
        <f t="shared" si="6"/>
        <v>4.4365572315882877</v>
      </c>
      <c r="Y19" s="3">
        <v>1.8299122164079413</v>
      </c>
      <c r="Z19" s="3">
        <v>11.819828177496907</v>
      </c>
      <c r="AA19" s="3">
        <v>2.3274955479170401</v>
      </c>
      <c r="AB19" s="3">
        <v>1.979853201450166</v>
      </c>
      <c r="AC19" s="3">
        <v>7.7261858630569096</v>
      </c>
      <c r="AD19" s="3">
        <v>27.530572246813939</v>
      </c>
      <c r="AE19" s="3">
        <v>23.00296419308248</v>
      </c>
      <c r="AF19" s="3">
        <v>4.5296171775343534</v>
      </c>
      <c r="AG19" s="3">
        <v>3.8530587430385519</v>
      </c>
      <c r="AH19" s="3">
        <v>15.036189535763214</v>
      </c>
      <c r="AI19" s="3">
        <v>53.578170350581402</v>
      </c>
      <c r="AJ19">
        <v>4.8999999999999998E-3</v>
      </c>
      <c r="AK19">
        <v>22.277699999999999</v>
      </c>
      <c r="AL19">
        <v>1.18E-2</v>
      </c>
      <c r="AM19">
        <v>0</v>
      </c>
      <c r="AN19">
        <v>2.3E-3</v>
      </c>
      <c r="AO19">
        <v>0</v>
      </c>
      <c r="AP19">
        <v>2.1299999999999999E-2</v>
      </c>
      <c r="AQ19">
        <v>25.364899999999999</v>
      </c>
      <c r="AR19">
        <f t="shared" si="20"/>
        <v>3.0871999999999993</v>
      </c>
      <c r="AS19">
        <v>0.20069999999999999</v>
      </c>
      <c r="AT19">
        <f t="shared" si="21"/>
        <v>1.8536224319988981E-3</v>
      </c>
      <c r="AU19">
        <f t="shared" si="22"/>
        <v>9.7389052971285917E-3</v>
      </c>
      <c r="AV19">
        <f t="shared" si="23"/>
        <v>0</v>
      </c>
      <c r="AW19">
        <f t="shared" si="24"/>
        <v>3.6284107108008638E-3</v>
      </c>
      <c r="AX19">
        <f t="shared" si="25"/>
        <v>0</v>
      </c>
      <c r="AY19">
        <f t="shared" si="26"/>
        <v>1.3109112706272266E-2</v>
      </c>
      <c r="AZ19">
        <f t="shared" si="27"/>
        <v>0.12352107606332596</v>
      </c>
      <c r="BA19">
        <f t="shared" si="15"/>
        <v>111.87516220879333</v>
      </c>
      <c r="BB19">
        <v>245.4833333</v>
      </c>
    </row>
    <row r="20" spans="1:54" x14ac:dyDescent="0.25">
      <c r="A20" t="s">
        <v>173</v>
      </c>
      <c r="B20" t="s">
        <v>37</v>
      </c>
      <c r="C20">
        <v>116</v>
      </c>
      <c r="D20" s="1">
        <v>44181</v>
      </c>
      <c r="E20">
        <v>1</v>
      </c>
      <c r="F20">
        <v>8</v>
      </c>
      <c r="G20">
        <v>3</v>
      </c>
      <c r="H20">
        <v>470</v>
      </c>
      <c r="I20">
        <v>50</v>
      </c>
      <c r="J20">
        <v>0.1</v>
      </c>
      <c r="K20" s="2">
        <f t="shared" si="17"/>
        <v>0.10638297872340426</v>
      </c>
      <c r="L20">
        <v>1.34</v>
      </c>
      <c r="M20">
        <v>1.5960000000000008</v>
      </c>
      <c r="N20" s="3">
        <f t="shared" si="16"/>
        <v>0.51647142579768335</v>
      </c>
      <c r="O20" s="3">
        <v>0.21</v>
      </c>
      <c r="P20" s="3">
        <v>0.04</v>
      </c>
      <c r="Q20">
        <f t="shared" si="18"/>
        <v>2.0816326530612246</v>
      </c>
      <c r="R20">
        <v>20.9</v>
      </c>
      <c r="S20">
        <v>20.5</v>
      </c>
      <c r="T20">
        <f t="shared" si="19"/>
        <v>4.8979591836734517</v>
      </c>
      <c r="U20">
        <f t="shared" si="3"/>
        <v>6.5295675140956773</v>
      </c>
      <c r="V20">
        <f t="shared" si="4"/>
        <v>2.7750661934906726</v>
      </c>
      <c r="W20">
        <f t="shared" si="5"/>
        <v>1.1430653522369452</v>
      </c>
      <c r="X20">
        <f t="shared" si="6"/>
        <v>4.6253469010175765</v>
      </c>
      <c r="Y20" s="3">
        <v>1.6694023251189356</v>
      </c>
      <c r="Z20" s="3">
        <v>10.021283256331222</v>
      </c>
      <c r="AA20" s="3">
        <v>1.2595507379809849</v>
      </c>
      <c r="AB20" s="3">
        <v>1.3722874672682983</v>
      </c>
      <c r="AC20" s="3">
        <v>9.9194402472960785</v>
      </c>
      <c r="AD20" s="3">
        <v>30.714760508919859</v>
      </c>
      <c r="AE20" s="3">
        <v>18.806130312520001</v>
      </c>
      <c r="AF20" s="3">
        <v>2.3636968148501389</v>
      </c>
      <c r="AG20" s="3">
        <v>2.5752607002083385</v>
      </c>
      <c r="AH20" s="3">
        <v>18.61500978929519</v>
      </c>
      <c r="AI20" s="3">
        <v>57.639902383126326</v>
      </c>
      <c r="AJ20">
        <v>7.6E-3</v>
      </c>
      <c r="AK20">
        <v>22.274699999999999</v>
      </c>
      <c r="AL20" s="7">
        <v>0.01</v>
      </c>
      <c r="AM20">
        <v>0</v>
      </c>
      <c r="AN20">
        <v>1.04E-2</v>
      </c>
      <c r="AO20">
        <v>0</v>
      </c>
      <c r="AP20">
        <v>1.6500000000000001E-2</v>
      </c>
      <c r="AQ20">
        <v>25.364899999999999</v>
      </c>
      <c r="AR20">
        <f t="shared" si="20"/>
        <v>3.0901999999999994</v>
      </c>
      <c r="AS20">
        <v>0.18129999999999999</v>
      </c>
      <c r="AT20">
        <f t="shared" si="21"/>
        <v>2.6367638242415911E-3</v>
      </c>
      <c r="AU20">
        <f t="shared" si="22"/>
        <v>7.5693847043372259E-3</v>
      </c>
      <c r="AV20">
        <f t="shared" si="23"/>
        <v>0</v>
      </c>
      <c r="AW20">
        <f t="shared" si="24"/>
        <v>1.5047154715573987E-2</v>
      </c>
      <c r="AX20">
        <f t="shared" si="25"/>
        <v>0</v>
      </c>
      <c r="AY20">
        <f t="shared" si="26"/>
        <v>9.3134391409560036E-3</v>
      </c>
      <c r="AZ20">
        <f t="shared" si="27"/>
        <v>0.10233494037911052</v>
      </c>
      <c r="BA20">
        <f t="shared" si="15"/>
        <v>116.90735185243078</v>
      </c>
      <c r="BB20">
        <v>262.64999999999998</v>
      </c>
    </row>
    <row r="24" spans="1:54" x14ac:dyDescent="0.25">
      <c r="Z24" s="3"/>
      <c r="AA24" s="3"/>
      <c r="AB24" s="3"/>
      <c r="AC24" s="3"/>
      <c r="AD24" s="3"/>
      <c r="AE24" s="3"/>
      <c r="AF24" s="10"/>
      <c r="AG24" s="10"/>
      <c r="AH24" s="10"/>
      <c r="AI24" s="10"/>
      <c r="AJ24" s="10"/>
      <c r="AK24" s="10"/>
    </row>
    <row r="25" spans="1:54" x14ac:dyDescent="0.25">
      <c r="Z25" s="3"/>
      <c r="AA25" s="3"/>
      <c r="AB25" s="3"/>
      <c r="AC25" s="3"/>
      <c r="AD25" s="3"/>
      <c r="AE25" s="3"/>
      <c r="AF25" s="10"/>
      <c r="AG25" s="10"/>
      <c r="AH25" s="10"/>
      <c r="AI25" s="10"/>
      <c r="AJ25" s="10"/>
      <c r="AK25" s="10"/>
    </row>
    <row r="26" spans="1:54" x14ac:dyDescent="0.25">
      <c r="Z26" s="3"/>
      <c r="AA26" s="3"/>
      <c r="AB26" s="3"/>
      <c r="AC26" s="3"/>
      <c r="AD26" s="3"/>
      <c r="AE26" s="3"/>
      <c r="AF26" s="10"/>
      <c r="AG26" s="10"/>
      <c r="AH26" s="10"/>
      <c r="AI26" s="10"/>
      <c r="AJ26" s="10"/>
      <c r="AK26" s="10"/>
    </row>
    <row r="27" spans="1:54" x14ac:dyDescent="0.25">
      <c r="Z27" s="3"/>
      <c r="AA27" s="3"/>
      <c r="AB27" s="3"/>
      <c r="AC27" s="3"/>
      <c r="AD27" s="3"/>
      <c r="AE27" s="3"/>
      <c r="AF27" s="10"/>
      <c r="AG27" s="10"/>
      <c r="AH27" s="10"/>
      <c r="AI27" s="10"/>
      <c r="AJ27" s="10"/>
      <c r="AK27" s="10"/>
    </row>
    <row r="28" spans="1:54" x14ac:dyDescent="0.25">
      <c r="Z28" s="5"/>
      <c r="AA28" s="5"/>
      <c r="AB28" s="5"/>
      <c r="AC28" s="5"/>
      <c r="AD28" s="5"/>
      <c r="AE28" s="3"/>
      <c r="AF28" s="10"/>
      <c r="AG28" s="10"/>
      <c r="AH28" s="10"/>
      <c r="AI28" s="10"/>
      <c r="AJ28" s="10"/>
      <c r="AK28" s="10"/>
    </row>
    <row r="29" spans="1:54" x14ac:dyDescent="0.25">
      <c r="Z29" s="3"/>
      <c r="AA29" s="3"/>
      <c r="AB29" s="3"/>
      <c r="AC29" s="3"/>
      <c r="AD29" s="3"/>
      <c r="AE29" s="3"/>
      <c r="AF29" s="10"/>
      <c r="AG29" s="10"/>
      <c r="AH29" s="10"/>
      <c r="AI29" s="10"/>
      <c r="AJ29" s="10"/>
      <c r="AK29" s="10"/>
    </row>
    <row r="30" spans="1:54" x14ac:dyDescent="0.25">
      <c r="Y30" s="3"/>
      <c r="Z30" s="3"/>
      <c r="AA30" s="3"/>
      <c r="AB30" s="3"/>
      <c r="AD30" s="3"/>
      <c r="AE30" s="3"/>
      <c r="AF30" s="10"/>
      <c r="AG30" s="10"/>
      <c r="AH30" s="10"/>
      <c r="AI30" s="10"/>
      <c r="AJ30" s="10"/>
      <c r="AK30" s="10"/>
    </row>
    <row r="31" spans="1:54" x14ac:dyDescent="0.25">
      <c r="Y31" s="3"/>
      <c r="Z31" s="3"/>
      <c r="AA31" s="3"/>
      <c r="AB31" s="3"/>
      <c r="AD31" s="3"/>
      <c r="AE31" s="3"/>
      <c r="AF31" s="10"/>
      <c r="AG31" s="10"/>
      <c r="AH31" s="10"/>
      <c r="AI31" s="10"/>
      <c r="AJ31" s="10"/>
      <c r="AK31" s="10"/>
    </row>
    <row r="32" spans="1:54" x14ac:dyDescent="0.25">
      <c r="Y32" s="3"/>
      <c r="Z32" s="3"/>
      <c r="AA32" s="3"/>
      <c r="AB32" s="3"/>
      <c r="AD32" s="3"/>
      <c r="AE32" s="3"/>
      <c r="AF32" s="10"/>
      <c r="AG32" s="10"/>
      <c r="AH32" s="10"/>
      <c r="AI32" s="10"/>
      <c r="AJ32" s="10"/>
      <c r="AK32" s="10"/>
    </row>
    <row r="33" spans="25:37" x14ac:dyDescent="0.25">
      <c r="Y33" s="3"/>
      <c r="Z33" s="3"/>
      <c r="AA33" s="3"/>
      <c r="AB33" s="3"/>
      <c r="AD33" s="3"/>
      <c r="AE33" s="3"/>
      <c r="AF33" s="10"/>
      <c r="AG33" s="10"/>
      <c r="AH33" s="10"/>
      <c r="AI33" s="10"/>
      <c r="AJ33" s="10"/>
      <c r="AK33" s="10"/>
    </row>
    <row r="34" spans="25:37" x14ac:dyDescent="0.25">
      <c r="Y34" s="5"/>
      <c r="Z34" s="3"/>
      <c r="AA34" s="3"/>
      <c r="AB34" s="3"/>
      <c r="AD34" s="3"/>
      <c r="AE34" s="3"/>
      <c r="AF34" s="10"/>
      <c r="AG34" s="10"/>
      <c r="AH34" s="10"/>
      <c r="AI34" s="10"/>
      <c r="AJ34" s="10"/>
      <c r="AK34" s="10"/>
    </row>
    <row r="35" spans="25:37" x14ac:dyDescent="0.25">
      <c r="Y35" s="3"/>
      <c r="Z35" s="3"/>
      <c r="AA35" s="3"/>
      <c r="AB35" s="3"/>
      <c r="AD35" s="3"/>
      <c r="AE35" s="3"/>
      <c r="AF35" s="10"/>
      <c r="AG35" s="10"/>
      <c r="AH35" s="10"/>
      <c r="AI35" s="10"/>
      <c r="AJ35" s="10"/>
      <c r="AK35" s="10"/>
    </row>
    <row r="36" spans="25:37" x14ac:dyDescent="0.25">
      <c r="Y36" s="3"/>
      <c r="Z36" s="3"/>
      <c r="AA36" s="3"/>
      <c r="AB36" s="3"/>
      <c r="AD36" s="3"/>
      <c r="AE36" s="3"/>
      <c r="AF36" s="10"/>
      <c r="AG36" s="10"/>
      <c r="AH36" s="10"/>
      <c r="AI36" s="10"/>
      <c r="AJ36" s="10"/>
      <c r="AK36" s="10"/>
    </row>
    <row r="37" spans="25:37" x14ac:dyDescent="0.25">
      <c r="Y37" s="3"/>
      <c r="Z37" s="3"/>
      <c r="AA37" s="3"/>
      <c r="AB37" s="3"/>
      <c r="AD37" s="3"/>
      <c r="AE37" s="3"/>
      <c r="AF37" s="10"/>
      <c r="AG37" s="10"/>
      <c r="AH37" s="10"/>
      <c r="AI37" s="10"/>
      <c r="AJ37" s="10"/>
      <c r="AK37" s="10"/>
    </row>
    <row r="38" spans="25:37" x14ac:dyDescent="0.25">
      <c r="Y38" s="3"/>
      <c r="Z38" s="3"/>
      <c r="AA38" s="3"/>
      <c r="AB38" s="3"/>
      <c r="AD38" s="3"/>
      <c r="AE38" s="3"/>
      <c r="AF38" s="10"/>
      <c r="AG38" s="10"/>
      <c r="AH38" s="10"/>
      <c r="AI38" s="10"/>
      <c r="AJ38" s="10"/>
      <c r="AK38" s="10"/>
    </row>
    <row r="39" spans="25:37" x14ac:dyDescent="0.25">
      <c r="Y39" s="3"/>
      <c r="Z39" s="3"/>
      <c r="AA39" s="3"/>
      <c r="AB39" s="3"/>
      <c r="AD39" s="3"/>
      <c r="AE39" s="3"/>
      <c r="AF39" s="10"/>
      <c r="AG39" s="10"/>
      <c r="AH39" s="10"/>
      <c r="AI39" s="10"/>
      <c r="AJ39" s="10"/>
      <c r="AK39" s="10"/>
    </row>
    <row r="40" spans="25:37" x14ac:dyDescent="0.25">
      <c r="Y40" s="3"/>
      <c r="Z40" s="3"/>
      <c r="AA40" s="3"/>
      <c r="AB40" s="3"/>
      <c r="AD40" s="3"/>
      <c r="AE40" s="3"/>
      <c r="AF40" s="10"/>
      <c r="AG40" s="10"/>
      <c r="AH40" s="10"/>
      <c r="AI40" s="10"/>
      <c r="AJ40" s="10"/>
      <c r="AK40" s="10"/>
    </row>
    <row r="41" spans="25:37" x14ac:dyDescent="0.25">
      <c r="Y41" s="3"/>
      <c r="Z41" s="3"/>
      <c r="AA41" s="3"/>
      <c r="AB41" s="3"/>
      <c r="AD41" s="3"/>
      <c r="AE41" s="3"/>
      <c r="AF41" s="10"/>
      <c r="AG41" s="10"/>
      <c r="AH41" s="10"/>
      <c r="AI41" s="10"/>
      <c r="AJ41" s="10"/>
      <c r="AK41" s="10"/>
    </row>
    <row r="42" spans="25:37" x14ac:dyDescent="0.25">
      <c r="Y42" s="3"/>
      <c r="Z42" s="3"/>
      <c r="AA42" s="3"/>
      <c r="AB42" s="3"/>
      <c r="AD42" s="3"/>
      <c r="AE42" s="3"/>
      <c r="AF42" s="10"/>
      <c r="AG42" s="10"/>
      <c r="AH42" s="10"/>
      <c r="AI42" s="10"/>
      <c r="AJ42" s="10"/>
      <c r="AK42" s="10"/>
    </row>
    <row r="43" spans="25:37" x14ac:dyDescent="0.25">
      <c r="Y43" s="3"/>
      <c r="Z43" s="3"/>
    </row>
    <row r="44" spans="25:37" x14ac:dyDescent="0.25">
      <c r="Y44" s="3"/>
      <c r="Z44" s="3"/>
    </row>
    <row r="45" spans="25:37" x14ac:dyDescent="0.25">
      <c r="Y45" s="3"/>
      <c r="Z45" s="3"/>
    </row>
    <row r="46" spans="25:37" x14ac:dyDescent="0.25">
      <c r="Y46" s="3"/>
      <c r="Z46" s="3"/>
    </row>
    <row r="47" spans="25:37" x14ac:dyDescent="0.25">
      <c r="Y47" s="3"/>
      <c r="Z47" s="3"/>
    </row>
    <row r="48" spans="25:37" x14ac:dyDescent="0.25">
      <c r="Y48" s="3"/>
      <c r="Z48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84C9-45AB-4EE5-8155-D8D47B937B6A}">
  <dimension ref="A1:N27"/>
  <sheetViews>
    <sheetView topLeftCell="A7" workbookViewId="0">
      <selection activeCell="B20" sqref="B20:F20"/>
    </sheetView>
  </sheetViews>
  <sheetFormatPr defaultRowHeight="15.75" x14ac:dyDescent="0.25"/>
  <cols>
    <col min="1" max="1" width="12.375" bestFit="1" customWidth="1"/>
    <col min="2" max="2" width="11.875" bestFit="1" customWidth="1"/>
    <col min="3" max="7" width="10.75" bestFit="1" customWidth="1"/>
    <col min="8" max="8" width="10.375" bestFit="1" customWidth="1"/>
    <col min="9" max="9" width="9" bestFit="1" customWidth="1"/>
    <col min="10" max="10" width="9.25" bestFit="1" customWidth="1"/>
    <col min="11" max="11" width="9.375" bestFit="1" customWidth="1"/>
    <col min="12" max="12" width="10.625" bestFit="1" customWidth="1"/>
    <col min="13" max="13" width="10.75" bestFit="1" customWidth="1"/>
    <col min="14" max="14" width="9.625" bestFit="1" customWidth="1"/>
    <col min="15" max="15" width="12.25" bestFit="1" customWidth="1"/>
    <col min="16" max="16" width="14.875" bestFit="1" customWidth="1"/>
    <col min="17" max="17" width="11.25" bestFit="1" customWidth="1"/>
    <col min="18" max="18" width="9.625" bestFit="1" customWidth="1"/>
    <col min="19" max="19" width="11.625" bestFit="1" customWidth="1"/>
    <col min="20" max="20" width="6.875" bestFit="1" customWidth="1"/>
    <col min="21" max="21" width="11" bestFit="1" customWidth="1"/>
  </cols>
  <sheetData>
    <row r="1" spans="1:14" x14ac:dyDescent="0.25">
      <c r="A1" s="12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4" x14ac:dyDescent="0.25">
      <c r="A2" s="13" t="s">
        <v>38</v>
      </c>
      <c r="B2" s="7">
        <v>239.75416667499999</v>
      </c>
      <c r="C2" s="7">
        <v>0.10314761542915038</v>
      </c>
      <c r="D2" s="7">
        <v>1.6165276996337699</v>
      </c>
      <c r="E2" s="7">
        <v>3.2064117880868377</v>
      </c>
      <c r="F2" s="7">
        <v>10.747292364744066</v>
      </c>
      <c r="G2" s="7">
        <v>5.3312563035499087E-3</v>
      </c>
      <c r="H2" s="7">
        <v>1.3567284482435845E-2</v>
      </c>
      <c r="I2" s="7">
        <v>0</v>
      </c>
      <c r="J2" s="7">
        <v>1.6163954552208804E-2</v>
      </c>
      <c r="K2" s="7">
        <v>0</v>
      </c>
      <c r="L2" s="7">
        <v>3.2145741801830154E-4</v>
      </c>
      <c r="M2" s="7">
        <v>0</v>
      </c>
    </row>
    <row r="3" spans="1:14" x14ac:dyDescent="0.25">
      <c r="A3" s="13" t="s">
        <v>173</v>
      </c>
      <c r="B3" s="7">
        <v>251.77777776666667</v>
      </c>
      <c r="C3" s="7">
        <v>0.10419682057220052</v>
      </c>
      <c r="D3" s="7">
        <v>1.1464436653584047</v>
      </c>
      <c r="E3" s="7">
        <v>2.9325555218636379</v>
      </c>
      <c r="F3" s="7">
        <v>6.3478540017203082</v>
      </c>
      <c r="G3" s="7">
        <v>3.1193551097403404E-3</v>
      </c>
      <c r="H3" s="7">
        <v>8.6831247203256745E-3</v>
      </c>
      <c r="I3" s="7">
        <v>0</v>
      </c>
      <c r="J3" s="7">
        <v>1.444908855651305E-2</v>
      </c>
      <c r="K3" s="7">
        <v>0</v>
      </c>
      <c r="L3" s="7">
        <v>1.151509140274018E-2</v>
      </c>
      <c r="M3" s="7">
        <v>0.11770471404381526</v>
      </c>
    </row>
    <row r="4" spans="1:14" x14ac:dyDescent="0.25">
      <c r="A4" s="13" t="s">
        <v>39</v>
      </c>
      <c r="B4" s="7">
        <v>224.45415832500001</v>
      </c>
      <c r="C4" s="7">
        <v>0.10418928209581706</v>
      </c>
      <c r="D4" s="7">
        <v>1.2791062208410653</v>
      </c>
      <c r="E4" s="7">
        <v>2.9288176069844964</v>
      </c>
      <c r="F4" s="7">
        <v>15.229778570065298</v>
      </c>
      <c r="G4" s="7">
        <v>1.1929265056063339E-2</v>
      </c>
      <c r="H4" s="7">
        <v>5.2481238648807724E-3</v>
      </c>
      <c r="I4" s="7">
        <v>0</v>
      </c>
      <c r="J4" s="7">
        <v>2.4663493480429066E-2</v>
      </c>
      <c r="K4" s="7">
        <v>0</v>
      </c>
      <c r="L4" s="7">
        <v>0</v>
      </c>
      <c r="M4" s="7">
        <v>0</v>
      </c>
    </row>
    <row r="5" spans="1:14" x14ac:dyDescent="0.25">
      <c r="A5" s="13" t="s">
        <v>36</v>
      </c>
      <c r="B5" s="7">
        <v>192.69582500000001</v>
      </c>
      <c r="C5" s="7">
        <v>0.10321557971014492</v>
      </c>
      <c r="D5" s="7">
        <v>1.273909446475475</v>
      </c>
      <c r="E5" s="7">
        <v>2.357413874974839</v>
      </c>
      <c r="F5" s="7">
        <v>5.1555002732592294</v>
      </c>
      <c r="G5" s="7">
        <v>1.0683942488007678E-3</v>
      </c>
      <c r="H5" s="7">
        <v>0</v>
      </c>
      <c r="I5" s="7">
        <v>0</v>
      </c>
      <c r="J5" s="7">
        <v>9.6691647315155338E-2</v>
      </c>
      <c r="K5" s="7">
        <v>0</v>
      </c>
      <c r="L5" s="7">
        <v>0</v>
      </c>
      <c r="M5" s="7">
        <v>0</v>
      </c>
    </row>
    <row r="6" spans="1:14" x14ac:dyDescent="0.25">
      <c r="A6" s="13" t="s">
        <v>40</v>
      </c>
      <c r="B6" s="7">
        <v>175.95834164999999</v>
      </c>
      <c r="C6" s="7">
        <v>0.10206207482993197</v>
      </c>
      <c r="D6" s="7">
        <v>1.1069818499191382</v>
      </c>
      <c r="E6" s="7">
        <v>2.1387369853807083</v>
      </c>
      <c r="F6" s="7">
        <v>3.2815186852407208</v>
      </c>
      <c r="G6" s="7">
        <v>7.9197057499991381E-4</v>
      </c>
      <c r="H6" s="7">
        <v>0</v>
      </c>
      <c r="I6" s="7">
        <v>0</v>
      </c>
      <c r="J6" s="7">
        <v>1.6212919410814351E-2</v>
      </c>
      <c r="K6" s="7">
        <v>0</v>
      </c>
      <c r="L6" s="7">
        <v>0</v>
      </c>
      <c r="M6" s="7">
        <v>0</v>
      </c>
    </row>
    <row r="8" spans="1:14" x14ac:dyDescent="0.25">
      <c r="A8" s="12" t="s">
        <v>62</v>
      </c>
      <c r="B8" t="s">
        <v>79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I8" s="14"/>
      <c r="J8" s="14"/>
      <c r="K8" s="14"/>
      <c r="L8" s="14"/>
    </row>
    <row r="9" spans="1:14" x14ac:dyDescent="0.25">
      <c r="A9" s="13" t="s">
        <v>38</v>
      </c>
      <c r="B9" s="7">
        <v>2.0269538956568671</v>
      </c>
      <c r="C9" s="7">
        <v>21.067752435069991</v>
      </c>
      <c r="D9" s="7">
        <v>6.8072638899503106</v>
      </c>
      <c r="E9" s="7">
        <v>3.5614886736425166</v>
      </c>
      <c r="F9" s="7">
        <v>17.762287769819778</v>
      </c>
      <c r="G9" s="7">
        <v>50.801207231517402</v>
      </c>
      <c r="I9" s="14" t="s">
        <v>85</v>
      </c>
      <c r="J9" s="15" t="s">
        <v>86</v>
      </c>
      <c r="K9" s="15" t="s">
        <v>87</v>
      </c>
      <c r="L9" s="15" t="s">
        <v>88</v>
      </c>
      <c r="M9" s="15" t="s">
        <v>89</v>
      </c>
      <c r="N9" s="15" t="s">
        <v>90</v>
      </c>
    </row>
    <row r="10" spans="1:14" x14ac:dyDescent="0.25">
      <c r="A10" s="13" t="s">
        <v>39</v>
      </c>
      <c r="B10" s="7">
        <v>2.1004207525433731</v>
      </c>
      <c r="C10" s="7">
        <v>16.369318754692127</v>
      </c>
      <c r="D10" s="7">
        <v>9.1740221457529643</v>
      </c>
      <c r="E10" s="7">
        <v>2.2399076793970325</v>
      </c>
      <c r="F10" s="7">
        <v>20.474367849102379</v>
      </c>
      <c r="G10" s="7">
        <v>51.742383571055498</v>
      </c>
      <c r="I10" s="14" t="s">
        <v>91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</row>
    <row r="11" spans="1:14" x14ac:dyDescent="0.25">
      <c r="A11" s="13" t="s">
        <v>36</v>
      </c>
      <c r="B11" s="7">
        <v>7.0379199722008314</v>
      </c>
      <c r="C11" s="7">
        <v>12.7485380684519</v>
      </c>
      <c r="D11" s="7">
        <v>5.7885718190937192</v>
      </c>
      <c r="E11" s="7">
        <v>5.3214697556331014</v>
      </c>
      <c r="F11" s="7">
        <v>52.985617053546918</v>
      </c>
      <c r="G11" s="7">
        <v>23.155803303274364</v>
      </c>
      <c r="I11" s="14" t="s">
        <v>97</v>
      </c>
      <c r="J11" s="15" t="s">
        <v>98</v>
      </c>
      <c r="K11" s="15" t="s">
        <v>102</v>
      </c>
      <c r="L11" s="15" t="s">
        <v>100</v>
      </c>
      <c r="M11" s="15" t="s">
        <v>101</v>
      </c>
      <c r="N11" s="15" t="s">
        <v>99</v>
      </c>
    </row>
    <row r="12" spans="1:14" x14ac:dyDescent="0.25">
      <c r="A12" s="13" t="s">
        <v>40</v>
      </c>
      <c r="B12" s="7">
        <v>6.2233367292674222</v>
      </c>
      <c r="C12" s="7">
        <v>13.966757988130531</v>
      </c>
      <c r="D12" s="7">
        <v>6.3109753852480175</v>
      </c>
      <c r="E12" s="7">
        <v>4.7169077450525529</v>
      </c>
      <c r="F12" s="7">
        <v>49.971546943037644</v>
      </c>
      <c r="G12" s="7">
        <v>25.033811938531251</v>
      </c>
      <c r="I12" s="14" t="s">
        <v>103</v>
      </c>
      <c r="J12" s="16">
        <v>256.42</v>
      </c>
      <c r="K12" s="16">
        <v>254.4</v>
      </c>
      <c r="L12" s="16">
        <v>284.48</v>
      </c>
      <c r="M12" s="16">
        <v>282.45999999999998</v>
      </c>
      <c r="N12" s="16">
        <v>280.44</v>
      </c>
    </row>
    <row r="13" spans="1:14" x14ac:dyDescent="0.25">
      <c r="A13" s="13" t="s">
        <v>173</v>
      </c>
      <c r="B13" s="7">
        <v>1.7596708664456144</v>
      </c>
      <c r="C13" s="7">
        <v>20.011186422844034</v>
      </c>
      <c r="D13" s="7">
        <v>3.5405701957503477</v>
      </c>
      <c r="E13" s="7">
        <v>3.4713832623212095</v>
      </c>
      <c r="F13" s="7">
        <v>16.692622291928057</v>
      </c>
      <c r="G13" s="7">
        <v>56.284237827156346</v>
      </c>
      <c r="I13" s="15"/>
      <c r="K13" s="15"/>
      <c r="L13" s="16"/>
    </row>
    <row r="15" spans="1:14" x14ac:dyDescent="0.25">
      <c r="B15" s="14" t="s">
        <v>80</v>
      </c>
      <c r="C15" s="14" t="s">
        <v>81</v>
      </c>
      <c r="D15" s="14" t="s">
        <v>82</v>
      </c>
      <c r="E15" s="14" t="s">
        <v>83</v>
      </c>
      <c r="F15" s="14" t="s">
        <v>84</v>
      </c>
    </row>
    <row r="16" spans="1:14" x14ac:dyDescent="0.25">
      <c r="A16" t="s">
        <v>38</v>
      </c>
      <c r="B16" s="15">
        <f t="shared" ref="B16:F20" si="0">C9*J$12/SUMPRODUCT($C9:$G9,$J$12:$N$12)</f>
        <v>0.19708150113561135</v>
      </c>
      <c r="C16" s="15">
        <f t="shared" si="0"/>
        <v>6.3177938840151854E-2</v>
      </c>
      <c r="D16" s="15">
        <f t="shared" si="0"/>
        <v>3.6962306685441836E-2</v>
      </c>
      <c r="E16" s="15">
        <f t="shared" si="0"/>
        <v>0.1830339347399759</v>
      </c>
      <c r="F16" s="15">
        <f t="shared" si="0"/>
        <v>0.5197443185988192</v>
      </c>
    </row>
    <row r="17" spans="1:13" x14ac:dyDescent="0.25">
      <c r="A17" t="s">
        <v>39</v>
      </c>
      <c r="B17" s="15">
        <f t="shared" si="0"/>
        <v>0.15284287597246557</v>
      </c>
      <c r="C17" s="15">
        <f t="shared" si="0"/>
        <v>8.4984473978066744E-2</v>
      </c>
      <c r="D17" s="15">
        <f t="shared" si="0"/>
        <v>2.3203022303856981E-2</v>
      </c>
      <c r="E17" s="15">
        <f t="shared" si="0"/>
        <v>0.21058632029797503</v>
      </c>
      <c r="F17" s="15">
        <f t="shared" si="0"/>
        <v>0.52838330744763562</v>
      </c>
    </row>
    <row r="18" spans="1:13" x14ac:dyDescent="0.25">
      <c r="A18" t="s">
        <v>173</v>
      </c>
      <c r="B18" s="15">
        <f t="shared" si="0"/>
        <v>0.11794740269865614</v>
      </c>
      <c r="C18" s="15">
        <f t="shared" si="0"/>
        <v>5.3133036210584177E-2</v>
      </c>
      <c r="D18" s="15">
        <f t="shared" si="0"/>
        <v>5.4620973759245239E-2</v>
      </c>
      <c r="E18" s="15">
        <f t="shared" si="0"/>
        <v>0.53999663303088308</v>
      </c>
      <c r="F18" s="15">
        <f t="shared" si="0"/>
        <v>0.23430195430063122</v>
      </c>
    </row>
    <row r="19" spans="1:13" x14ac:dyDescent="0.25">
      <c r="A19" t="s">
        <v>36</v>
      </c>
      <c r="B19" s="15">
        <f t="shared" si="0"/>
        <v>0.1294582433761583</v>
      </c>
      <c r="C19" s="15">
        <f t="shared" si="0"/>
        <v>5.8035776468512226E-2</v>
      </c>
      <c r="D19" s="15">
        <f t="shared" si="0"/>
        <v>4.8505538182016882E-2</v>
      </c>
      <c r="E19" s="15">
        <f t="shared" si="0"/>
        <v>0.51022525885370418</v>
      </c>
      <c r="F19" s="15">
        <f t="shared" si="0"/>
        <v>0.25377518311960845</v>
      </c>
    </row>
    <row r="20" spans="1:13" x14ac:dyDescent="0.25">
      <c r="A20" t="s">
        <v>40</v>
      </c>
      <c r="B20" s="15">
        <f>C13*J$12/SUMPRODUCT($C13:$G13,$J$12:$N$12)</f>
        <v>0.1864635745402132</v>
      </c>
      <c r="C20" s="15">
        <f t="shared" si="0"/>
        <v>3.273102365155562E-2</v>
      </c>
      <c r="D20" s="15">
        <f t="shared" si="0"/>
        <v>3.5885877988085943E-2</v>
      </c>
      <c r="E20" s="15">
        <f t="shared" si="0"/>
        <v>0.17133685589891903</v>
      </c>
      <c r="F20" s="15">
        <f>G13*N$12/SUMPRODUCT($C13:$G13,$J$12:$N$12)</f>
        <v>0.57358266792122614</v>
      </c>
    </row>
    <row r="22" spans="1:13" x14ac:dyDescent="0.25"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s">
        <v>158</v>
      </c>
      <c r="H22" t="s">
        <v>107</v>
      </c>
      <c r="I22" t="s">
        <v>139</v>
      </c>
      <c r="J22" t="s">
        <v>108</v>
      </c>
      <c r="K22" t="s">
        <v>148</v>
      </c>
      <c r="L22" t="s">
        <v>150</v>
      </c>
      <c r="M22" t="s">
        <v>154</v>
      </c>
    </row>
    <row r="23" spans="1:13" x14ac:dyDescent="0.25">
      <c r="A23" s="17" t="s">
        <v>104</v>
      </c>
      <c r="B23" t="s">
        <v>111</v>
      </c>
      <c r="C23" t="s">
        <v>116</v>
      </c>
      <c r="D23" t="s">
        <v>121</v>
      </c>
      <c r="E23" t="s">
        <v>126</v>
      </c>
      <c r="F23" t="s">
        <v>131</v>
      </c>
      <c r="G23" t="s">
        <v>159</v>
      </c>
      <c r="H23" t="s">
        <v>136</v>
      </c>
      <c r="I23" t="s">
        <v>140</v>
      </c>
      <c r="J23" t="s">
        <v>143</v>
      </c>
      <c r="K23" t="s">
        <v>146</v>
      </c>
      <c r="L23" t="s">
        <v>151</v>
      </c>
      <c r="M23" t="s">
        <v>155</v>
      </c>
    </row>
    <row r="24" spans="1:13" x14ac:dyDescent="0.25">
      <c r="A24" s="17" t="s">
        <v>105</v>
      </c>
      <c r="B24" t="s">
        <v>112</v>
      </c>
      <c r="C24" t="s">
        <v>117</v>
      </c>
      <c r="D24" t="s">
        <v>122</v>
      </c>
      <c r="E24" t="s">
        <v>127</v>
      </c>
      <c r="F24" t="s">
        <v>132</v>
      </c>
      <c r="G24" t="s">
        <v>160</v>
      </c>
      <c r="H24" t="s">
        <v>137</v>
      </c>
      <c r="I24" t="s">
        <v>141</v>
      </c>
      <c r="J24" t="s">
        <v>144</v>
      </c>
      <c r="K24" t="s">
        <v>147</v>
      </c>
      <c r="L24" t="s">
        <v>152</v>
      </c>
      <c r="M24" t="s">
        <v>156</v>
      </c>
    </row>
    <row r="25" spans="1:13" x14ac:dyDescent="0.25">
      <c r="A25" s="17" t="s">
        <v>106</v>
      </c>
      <c r="B25" t="s">
        <v>114</v>
      </c>
      <c r="C25" t="s">
        <v>118</v>
      </c>
      <c r="D25" t="s">
        <v>123</v>
      </c>
      <c r="E25" t="s">
        <v>128</v>
      </c>
      <c r="F25" t="s">
        <v>133</v>
      </c>
      <c r="G25" t="s">
        <v>161</v>
      </c>
      <c r="H25" t="s">
        <v>138</v>
      </c>
      <c r="I25" t="s">
        <v>142</v>
      </c>
      <c r="J25" t="s">
        <v>145</v>
      </c>
      <c r="K25" t="s">
        <v>149</v>
      </c>
      <c r="L25" t="s">
        <v>153</v>
      </c>
      <c r="M25" t="s">
        <v>157</v>
      </c>
    </row>
    <row r="26" spans="1:13" x14ac:dyDescent="0.25">
      <c r="A26" t="s">
        <v>109</v>
      </c>
      <c r="B26" t="s">
        <v>113</v>
      </c>
      <c r="C26" t="s">
        <v>119</v>
      </c>
      <c r="D26" t="s">
        <v>124</v>
      </c>
      <c r="E26" t="s">
        <v>129</v>
      </c>
      <c r="F26" t="s">
        <v>134</v>
      </c>
      <c r="G26" t="s">
        <v>162</v>
      </c>
    </row>
    <row r="27" spans="1:13" x14ac:dyDescent="0.25">
      <c r="A27" t="s">
        <v>110</v>
      </c>
      <c r="B27" t="s">
        <v>115</v>
      </c>
      <c r="C27" t="s">
        <v>120</v>
      </c>
      <c r="D27" t="s">
        <v>125</v>
      </c>
      <c r="E27" t="s">
        <v>130</v>
      </c>
      <c r="F27" t="s">
        <v>135</v>
      </c>
      <c r="G27" t="s">
        <v>163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DA5B-ED7F-4130-9668-4ED793D82080}">
  <dimension ref="A1:M6"/>
  <sheetViews>
    <sheetView workbookViewId="0">
      <selection activeCell="B2" sqref="B2"/>
    </sheetView>
  </sheetViews>
  <sheetFormatPr defaultRowHeight="15.75" x14ac:dyDescent="0.25"/>
  <cols>
    <col min="1" max="1" width="10.125" bestFit="1" customWidth="1"/>
    <col min="2" max="3" width="6.375" bestFit="1" customWidth="1"/>
    <col min="4" max="4" width="13" bestFit="1" customWidth="1"/>
    <col min="5" max="5" width="10.125" bestFit="1" customWidth="1"/>
    <col min="6" max="6" width="12.375" bestFit="1" customWidth="1"/>
    <col min="7" max="7" width="11.875" bestFit="1" customWidth="1"/>
    <col min="8" max="8" width="13.75" bestFit="1" customWidth="1"/>
    <col min="9" max="9" width="12.75" bestFit="1" customWidth="1"/>
    <col min="10" max="10" width="12.875" bestFit="1" customWidth="1"/>
    <col min="11" max="11" width="13.125" bestFit="1" customWidth="1"/>
    <col min="12" max="12" width="14.5" bestFit="1" customWidth="1"/>
    <col min="13" max="13" width="10.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72</v>
      </c>
    </row>
    <row r="2" spans="1:13" x14ac:dyDescent="0.25">
      <c r="A2" t="str">
        <f>'Pivot tables'!A2</f>
        <v>JFYL07</v>
      </c>
      <c r="B2" s="7">
        <f>'Pivot tables'!B2/1000</f>
        <v>0.23975416667499999</v>
      </c>
      <c r="C2" s="7">
        <f>'Pivot tables'!C2</f>
        <v>0.10314761542915038</v>
      </c>
      <c r="D2" s="7">
        <f>-'Pivot tables'!D2</f>
        <v>-1.6165276996337699</v>
      </c>
      <c r="E2" s="7">
        <f>'Pivot tables'!E2</f>
        <v>3.2064117880868377</v>
      </c>
      <c r="F2" s="7">
        <f>-'Pivot tables'!F2</f>
        <v>-10.747292364744066</v>
      </c>
      <c r="G2" s="7">
        <f>'Pivot tables'!G2</f>
        <v>5.3312563035499087E-3</v>
      </c>
      <c r="H2" s="7">
        <f>'Pivot tables'!H2</f>
        <v>1.3567284482435845E-2</v>
      </c>
      <c r="I2" s="7">
        <f>'Pivot tables'!I2</f>
        <v>0</v>
      </c>
      <c r="J2" s="7">
        <f>'Pivot tables'!J2</f>
        <v>1.6163954552208804E-2</v>
      </c>
      <c r="K2" s="7">
        <f>'Pivot tables'!K2</f>
        <v>0</v>
      </c>
      <c r="L2" s="7">
        <f>'Pivot tables'!L2</f>
        <v>3.2145741801830154E-4</v>
      </c>
      <c r="M2" s="7">
        <f>'Pivot tables'!M2</f>
        <v>0</v>
      </c>
    </row>
    <row r="3" spans="1:13" x14ac:dyDescent="0.25">
      <c r="A3" t="str">
        <f>'Pivot tables'!A3</f>
        <v>JFYL14</v>
      </c>
      <c r="B3" s="7">
        <f>'Pivot tables'!B3/1000</f>
        <v>0.25177777776666665</v>
      </c>
      <c r="C3" s="7">
        <f>'Pivot tables'!C3</f>
        <v>0.10419682057220052</v>
      </c>
      <c r="D3" s="7">
        <f>-'Pivot tables'!D3</f>
        <v>-1.1464436653584047</v>
      </c>
      <c r="E3" s="7">
        <f>'Pivot tables'!E3</f>
        <v>2.9325555218636379</v>
      </c>
      <c r="F3" s="7">
        <f>-'Pivot tables'!F3</f>
        <v>-6.3478540017203082</v>
      </c>
      <c r="G3" s="7">
        <f>'Pivot tables'!G3</f>
        <v>3.1193551097403404E-3</v>
      </c>
      <c r="H3" s="7">
        <f>'Pivot tables'!H3</f>
        <v>8.6831247203256745E-3</v>
      </c>
      <c r="I3" s="7">
        <f>'Pivot tables'!I3</f>
        <v>0</v>
      </c>
      <c r="J3" s="7">
        <f>'Pivot tables'!J3</f>
        <v>1.444908855651305E-2</v>
      </c>
      <c r="K3" s="7">
        <f>'Pivot tables'!K3</f>
        <v>0</v>
      </c>
      <c r="L3" s="7">
        <f>'Pivot tables'!L3</f>
        <v>1.151509140274018E-2</v>
      </c>
      <c r="M3" s="7">
        <f>'Pivot tables'!M3</f>
        <v>0.11770471404381526</v>
      </c>
    </row>
    <row r="4" spans="1:13" x14ac:dyDescent="0.25">
      <c r="A4" t="str">
        <f>'Pivot tables'!A4</f>
        <v>JFYL18</v>
      </c>
      <c r="B4" s="7">
        <f>'Pivot tables'!B4/1000</f>
        <v>0.22445415832500001</v>
      </c>
      <c r="C4" s="7">
        <f>'Pivot tables'!C4</f>
        <v>0.10418928209581706</v>
      </c>
      <c r="D4" s="7">
        <f>-'Pivot tables'!D4</f>
        <v>-1.2791062208410653</v>
      </c>
      <c r="E4" s="7">
        <f>'Pivot tables'!E4</f>
        <v>2.9288176069844964</v>
      </c>
      <c r="F4" s="7">
        <f>-'Pivot tables'!F4</f>
        <v>-15.229778570065298</v>
      </c>
      <c r="G4" s="7">
        <f>'Pivot tables'!G4</f>
        <v>1.1929265056063339E-2</v>
      </c>
      <c r="H4" s="7">
        <f>'Pivot tables'!H4</f>
        <v>5.2481238648807724E-3</v>
      </c>
      <c r="I4" s="7">
        <f>'Pivot tables'!I4</f>
        <v>0</v>
      </c>
      <c r="J4" s="7">
        <f>'Pivot tables'!J4</f>
        <v>2.4663493480429066E-2</v>
      </c>
      <c r="K4" s="7">
        <f>'Pivot tables'!K4</f>
        <v>0</v>
      </c>
      <c r="L4" s="7">
        <f>'Pivot tables'!L4</f>
        <v>0</v>
      </c>
      <c r="M4" s="7">
        <f>'Pivot tables'!M4</f>
        <v>0</v>
      </c>
    </row>
    <row r="5" spans="1:13" x14ac:dyDescent="0.25">
      <c r="A5" t="str">
        <f>'Pivot tables'!A5</f>
        <v>OKYL029</v>
      </c>
      <c r="B5" s="7">
        <f>'Pivot tables'!B5/1000</f>
        <v>0.19269582500000002</v>
      </c>
      <c r="C5" s="7">
        <f>'Pivot tables'!C5</f>
        <v>0.10321557971014492</v>
      </c>
      <c r="D5" s="7">
        <f>-'Pivot tables'!D5</f>
        <v>-1.273909446475475</v>
      </c>
      <c r="E5" s="7">
        <f>'Pivot tables'!E5</f>
        <v>2.357413874974839</v>
      </c>
      <c r="F5" s="7">
        <f>-'Pivot tables'!F5</f>
        <v>-5.1555002732592294</v>
      </c>
      <c r="G5" s="7">
        <f>'Pivot tables'!G5</f>
        <v>1.0683942488007678E-3</v>
      </c>
      <c r="H5" s="7">
        <f>'Pivot tables'!H5</f>
        <v>0</v>
      </c>
      <c r="I5" s="7">
        <f>'Pivot tables'!I5</f>
        <v>0</v>
      </c>
      <c r="J5" s="7">
        <f>'Pivot tables'!J5</f>
        <v>9.6691647315155338E-2</v>
      </c>
      <c r="K5" s="7">
        <f>'Pivot tables'!K5</f>
        <v>0</v>
      </c>
      <c r="L5" s="7">
        <f>'Pivot tables'!L5</f>
        <v>0</v>
      </c>
      <c r="M5" s="7">
        <f>'Pivot tables'!M5</f>
        <v>0</v>
      </c>
    </row>
    <row r="6" spans="1:13" x14ac:dyDescent="0.25">
      <c r="A6" t="str">
        <f>'Pivot tables'!A6</f>
        <v>ST6512</v>
      </c>
      <c r="B6" s="7">
        <f>'Pivot tables'!B6/1000</f>
        <v>0.17595834164999999</v>
      </c>
      <c r="C6" s="7">
        <f>'Pivot tables'!C6</f>
        <v>0.10206207482993197</v>
      </c>
      <c r="D6" s="7">
        <f>-'Pivot tables'!D6</f>
        <v>-1.1069818499191382</v>
      </c>
      <c r="E6" s="7">
        <f>'Pivot tables'!E6</f>
        <v>2.1387369853807083</v>
      </c>
      <c r="F6" s="7">
        <f>-'Pivot tables'!F6</f>
        <v>-3.2815186852407208</v>
      </c>
      <c r="G6" s="7">
        <f>'Pivot tables'!G6</f>
        <v>7.9197057499991381E-4</v>
      </c>
      <c r="H6" s="7">
        <f>'Pivot tables'!H6</f>
        <v>0</v>
      </c>
      <c r="I6" s="7">
        <f>'Pivot tables'!I6</f>
        <v>0</v>
      </c>
      <c r="J6" s="7">
        <f>'Pivot tables'!J6</f>
        <v>1.6212919410814351E-2</v>
      </c>
      <c r="K6" s="7">
        <f>'Pivot tables'!K6</f>
        <v>0</v>
      </c>
      <c r="L6" s="7">
        <f>'Pivot tables'!L6</f>
        <v>0</v>
      </c>
      <c r="M6" s="7">
        <f>'Pivot tables'!M6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8210-B7CB-4AB7-9EA7-8B7E7EFAFB50}">
  <dimension ref="A1:G6"/>
  <sheetViews>
    <sheetView tabSelected="1" workbookViewId="0">
      <selection activeCell="H4" sqref="H4"/>
    </sheetView>
  </sheetViews>
  <sheetFormatPr defaultRowHeight="15.75" x14ac:dyDescent="0.25"/>
  <cols>
    <col min="1" max="1" width="8.625" bestFit="1" customWidth="1"/>
    <col min="2" max="2" width="8.125" bestFit="1" customWidth="1"/>
    <col min="3" max="7" width="13.625" bestFit="1" customWidth="1"/>
  </cols>
  <sheetData>
    <row r="1" spans="1:7" x14ac:dyDescent="0.25">
      <c r="A1" t="s">
        <v>59</v>
      </c>
      <c r="B1" t="str">
        <f>'Pivot tables'!B8</f>
        <v>lipidCont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 t="str">
        <f>'Pivot tables'!A9</f>
        <v>JFYL07</v>
      </c>
      <c r="B2" s="7">
        <f>'Pivot tables'!B9/100</f>
        <v>2.0269538956568672E-2</v>
      </c>
      <c r="C2" s="7">
        <f>'Pivot tables'!B16</f>
        <v>0.19708150113561135</v>
      </c>
      <c r="D2" s="7">
        <f>'Pivot tables'!C16</f>
        <v>6.3177938840151854E-2</v>
      </c>
      <c r="E2" s="7">
        <f>'Pivot tables'!D16</f>
        <v>3.6962306685441836E-2</v>
      </c>
      <c r="F2" s="7">
        <f>'Pivot tables'!E16</f>
        <v>0.1830339347399759</v>
      </c>
      <c r="G2" s="7">
        <f>'Pivot tables'!F16</f>
        <v>0.5197443185988192</v>
      </c>
    </row>
    <row r="3" spans="1:7" x14ac:dyDescent="0.25">
      <c r="A3" t="str">
        <f>'Pivot tables'!A10</f>
        <v>JFYL18</v>
      </c>
      <c r="B3" s="7">
        <f>'Pivot tables'!B10/100</f>
        <v>2.1004207525433732E-2</v>
      </c>
      <c r="C3" s="7">
        <f>'Pivot tables'!B17</f>
        <v>0.15284287597246557</v>
      </c>
      <c r="D3" s="7">
        <f>'Pivot tables'!C17</f>
        <v>8.4984473978066744E-2</v>
      </c>
      <c r="E3" s="7">
        <f>'Pivot tables'!D17</f>
        <v>2.3203022303856981E-2</v>
      </c>
      <c r="F3" s="7">
        <f>'Pivot tables'!E17</f>
        <v>0.21058632029797503</v>
      </c>
      <c r="G3" s="7">
        <f>'Pivot tables'!F17</f>
        <v>0.52838330744763562</v>
      </c>
    </row>
    <row r="4" spans="1:7" x14ac:dyDescent="0.25">
      <c r="A4" t="str">
        <f>'Pivot tables'!A11</f>
        <v>OKYL029</v>
      </c>
      <c r="B4" s="7">
        <f>'Pivot tables'!B11/100</f>
        <v>7.0379199722008318E-2</v>
      </c>
      <c r="C4" s="7">
        <f>'Pivot tables'!B18</f>
        <v>0.11794740269865614</v>
      </c>
      <c r="D4" s="7">
        <f>'Pivot tables'!C18</f>
        <v>5.3133036210584177E-2</v>
      </c>
      <c r="E4" s="7">
        <f>'Pivot tables'!D18</f>
        <v>5.4620973759245239E-2</v>
      </c>
      <c r="F4" s="7">
        <f>'Pivot tables'!E18</f>
        <v>0.53999663303088308</v>
      </c>
      <c r="G4" s="7">
        <f>'Pivot tables'!F18</f>
        <v>0.23430195430063122</v>
      </c>
    </row>
    <row r="5" spans="1:7" x14ac:dyDescent="0.25">
      <c r="A5" t="str">
        <f>'Pivot tables'!A12</f>
        <v>ST6512</v>
      </c>
      <c r="B5" s="7">
        <f>'Pivot tables'!B12/100</f>
        <v>6.2233367292674223E-2</v>
      </c>
      <c r="C5" s="7">
        <f>'Pivot tables'!B19</f>
        <v>0.1294582433761583</v>
      </c>
      <c r="D5" s="7">
        <f>'Pivot tables'!C19</f>
        <v>5.8035776468512226E-2</v>
      </c>
      <c r="E5" s="7">
        <f>'Pivot tables'!D19</f>
        <v>4.8505538182016882E-2</v>
      </c>
      <c r="F5" s="7">
        <f>'Pivot tables'!E19</f>
        <v>0.51022525885370418</v>
      </c>
      <c r="G5" s="7">
        <f>'Pivot tables'!F19</f>
        <v>0.25377518311960845</v>
      </c>
    </row>
    <row r="6" spans="1:7" x14ac:dyDescent="0.25">
      <c r="A6" t="str">
        <f>'Pivot tables'!A13</f>
        <v>JFYL14</v>
      </c>
      <c r="B6" s="7">
        <f>'Pivot tables'!B13/100</f>
        <v>1.7596708664456145E-2</v>
      </c>
      <c r="C6" s="7">
        <f>'Pivot tables'!B20</f>
        <v>0.1864635745402132</v>
      </c>
      <c r="D6" s="7">
        <f>'Pivot tables'!C20</f>
        <v>3.273102365155562E-2</v>
      </c>
      <c r="E6" s="7">
        <f>'Pivot tables'!D20</f>
        <v>3.5885877988085943E-2</v>
      </c>
      <c r="F6" s="7">
        <f>'Pivot tables'!E20</f>
        <v>0.17133685589891903</v>
      </c>
      <c r="G6" s="7">
        <f>'Pivot tables'!F20</f>
        <v>0.57358266792122614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E5F1-2D30-4A5F-8B3E-F698942F7C27}">
  <dimension ref="A1:G9"/>
  <sheetViews>
    <sheetView workbookViewId="0">
      <selection activeCell="G36" sqref="G36"/>
    </sheetView>
  </sheetViews>
  <sheetFormatPr defaultRowHeight="15.75" x14ac:dyDescent="0.25"/>
  <cols>
    <col min="1" max="1" width="14" bestFit="1" customWidth="1"/>
    <col min="2" max="2" width="12.25" bestFit="1" customWidth="1"/>
    <col min="3" max="3" width="14.875" bestFit="1" customWidth="1"/>
    <col min="4" max="4" width="11.25" bestFit="1" customWidth="1"/>
    <col min="5" max="5" width="9.625" bestFit="1" customWidth="1"/>
    <col min="6" max="6" width="11.625" bestFit="1" customWidth="1"/>
    <col min="7" max="7" width="8" bestFit="1" customWidth="1"/>
  </cols>
  <sheetData>
    <row r="1" spans="1:7" x14ac:dyDescent="0.25">
      <c r="A1" t="s">
        <v>172</v>
      </c>
      <c r="B1" t="s">
        <v>107</v>
      </c>
      <c r="C1" t="s">
        <v>139</v>
      </c>
      <c r="D1" t="s">
        <v>108</v>
      </c>
      <c r="E1" t="s">
        <v>148</v>
      </c>
      <c r="F1" t="s">
        <v>150</v>
      </c>
      <c r="G1" t="s">
        <v>154</v>
      </c>
    </row>
    <row r="2" spans="1:7" x14ac:dyDescent="0.25">
      <c r="A2" t="s">
        <v>164</v>
      </c>
      <c r="B2" t="s">
        <v>136</v>
      </c>
      <c r="C2" t="s">
        <v>140</v>
      </c>
      <c r="D2" t="s">
        <v>143</v>
      </c>
      <c r="E2" t="s">
        <v>146</v>
      </c>
      <c r="F2" t="s">
        <v>151</v>
      </c>
      <c r="G2" t="s">
        <v>155</v>
      </c>
    </row>
    <row r="3" spans="1:7" x14ac:dyDescent="0.25">
      <c r="A3" t="s">
        <v>165</v>
      </c>
      <c r="B3" t="s">
        <v>137</v>
      </c>
      <c r="C3" t="s">
        <v>141</v>
      </c>
      <c r="D3" t="s">
        <v>144</v>
      </c>
      <c r="E3" t="s">
        <v>147</v>
      </c>
      <c r="F3" t="s">
        <v>152</v>
      </c>
      <c r="G3" t="s">
        <v>156</v>
      </c>
    </row>
    <row r="4" spans="1:7" x14ac:dyDescent="0.25">
      <c r="A4" t="s">
        <v>171</v>
      </c>
      <c r="B4" t="s">
        <v>138</v>
      </c>
      <c r="C4" t="s">
        <v>142</v>
      </c>
      <c r="D4" t="s">
        <v>145</v>
      </c>
      <c r="E4" t="s">
        <v>149</v>
      </c>
      <c r="F4" t="s">
        <v>153</v>
      </c>
      <c r="G4" t="s">
        <v>157</v>
      </c>
    </row>
    <row r="5" spans="1:7" x14ac:dyDescent="0.25">
      <c r="A5" t="s">
        <v>166</v>
      </c>
      <c r="B5" t="s">
        <v>111</v>
      </c>
      <c r="C5" t="s">
        <v>116</v>
      </c>
      <c r="D5" t="s">
        <v>121</v>
      </c>
      <c r="E5" t="s">
        <v>126</v>
      </c>
      <c r="F5" t="s">
        <v>131</v>
      </c>
      <c r="G5" t="s">
        <v>159</v>
      </c>
    </row>
    <row r="6" spans="1:7" x14ac:dyDescent="0.25">
      <c r="A6" t="s">
        <v>167</v>
      </c>
      <c r="B6" t="s">
        <v>113</v>
      </c>
      <c r="C6" t="s">
        <v>119</v>
      </c>
      <c r="D6" t="s">
        <v>124</v>
      </c>
      <c r="E6" t="s">
        <v>129</v>
      </c>
      <c r="F6" t="s">
        <v>134</v>
      </c>
      <c r="G6" t="s">
        <v>162</v>
      </c>
    </row>
    <row r="7" spans="1:7" x14ac:dyDescent="0.25">
      <c r="A7" t="s">
        <v>168</v>
      </c>
      <c r="B7" t="s">
        <v>112</v>
      </c>
      <c r="C7" t="s">
        <v>117</v>
      </c>
      <c r="D7" t="s">
        <v>122</v>
      </c>
      <c r="E7" t="s">
        <v>127</v>
      </c>
      <c r="F7" t="s">
        <v>132</v>
      </c>
      <c r="G7" t="s">
        <v>160</v>
      </c>
    </row>
    <row r="8" spans="1:7" x14ac:dyDescent="0.25">
      <c r="A8" t="s">
        <v>169</v>
      </c>
      <c r="B8" t="s">
        <v>115</v>
      </c>
      <c r="C8" t="s">
        <v>120</v>
      </c>
      <c r="D8" t="s">
        <v>125</v>
      </c>
      <c r="E8" t="s">
        <v>130</v>
      </c>
      <c r="F8" t="s">
        <v>135</v>
      </c>
      <c r="G8" t="s">
        <v>163</v>
      </c>
    </row>
    <row r="9" spans="1:7" x14ac:dyDescent="0.25">
      <c r="A9" t="s">
        <v>170</v>
      </c>
      <c r="B9" t="s">
        <v>114</v>
      </c>
      <c r="C9" t="s">
        <v>118</v>
      </c>
      <c r="D9" t="s">
        <v>123</v>
      </c>
      <c r="E9" t="s">
        <v>128</v>
      </c>
      <c r="F9" t="s">
        <v>133</v>
      </c>
      <c r="G9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Pivot tables</vt:lpstr>
      <vt:lpstr>fluxData</vt:lpstr>
      <vt:lpstr>lipidNchainData</vt:lpstr>
      <vt:lpstr>xPOOLmets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Juliano Sabedotti De Biaggi</cp:lastModifiedBy>
  <dcterms:created xsi:type="dcterms:W3CDTF">2023-08-23T12:12:56Z</dcterms:created>
  <dcterms:modified xsi:type="dcterms:W3CDTF">2024-02-08T14:29:02Z</dcterms:modified>
</cp:coreProperties>
</file>