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1Principal\USM\2025 -2\DEE\PC1_v3\phoenix-c1-\docs\"/>
    </mc:Choice>
  </mc:AlternateContent>
  <xr:revisionPtr revIDLastSave="0" documentId="13_ncr:1_{F3E7CBBF-8D11-47B9-BDCC-227D829916A1}" xr6:coauthVersionLast="47" xr6:coauthVersionMax="47" xr10:uidLastSave="{00000000-0000-0000-0000-000000000000}"/>
  <bookViews>
    <workbookView xWindow="-108" yWindow="-108" windowWidth="23256" windowHeight="12456" xr2:uid="{8698A76B-EBE4-42D6-9BF9-8613B12501B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R20" i="1"/>
  <c r="R18" i="1"/>
  <c r="R14" i="1"/>
  <c r="R24" i="1"/>
  <c r="R23" i="1"/>
  <c r="R19" i="1"/>
  <c r="R8" i="1"/>
  <c r="R21" i="1"/>
  <c r="R9" i="1"/>
  <c r="R13" i="1"/>
  <c r="T6" i="1"/>
  <c r="U6" i="1" s="1"/>
  <c r="T13" i="1"/>
  <c r="U13" i="1" s="1"/>
  <c r="T14" i="1"/>
  <c r="U14" i="1" s="1"/>
  <c r="T20" i="1"/>
  <c r="U20" i="1" s="1"/>
  <c r="T22" i="1"/>
  <c r="U22" i="1" s="1"/>
  <c r="T23" i="1"/>
  <c r="U23" i="1" s="1"/>
  <c r="R11" i="1"/>
  <c r="R22" i="1"/>
  <c r="R17" i="1"/>
  <c r="R16" i="1"/>
  <c r="R15" i="1"/>
  <c r="R12" i="1"/>
  <c r="R10" i="1"/>
  <c r="R7" i="1"/>
  <c r="R6" i="1"/>
  <c r="Q6" i="1"/>
  <c r="Q7" i="1"/>
  <c r="T7" i="1" s="1"/>
  <c r="U7" i="1" s="1"/>
  <c r="Q8" i="1"/>
  <c r="T8" i="1" s="1"/>
  <c r="U8" i="1" s="1"/>
  <c r="Q9" i="1"/>
  <c r="T9" i="1" s="1"/>
  <c r="U9" i="1" s="1"/>
  <c r="Q10" i="1"/>
  <c r="T10" i="1" s="1"/>
  <c r="U10" i="1" s="1"/>
  <c r="Q11" i="1"/>
  <c r="T11" i="1" s="1"/>
  <c r="U11" i="1" s="1"/>
  <c r="Q12" i="1"/>
  <c r="T12" i="1" s="1"/>
  <c r="U12" i="1" s="1"/>
  <c r="Q13" i="1"/>
  <c r="Q14" i="1"/>
  <c r="Q15" i="1"/>
  <c r="T15" i="1" s="1"/>
  <c r="U15" i="1" s="1"/>
  <c r="Q16" i="1"/>
  <c r="T16" i="1" s="1"/>
  <c r="U16" i="1" s="1"/>
  <c r="Q17" i="1"/>
  <c r="T17" i="1" s="1"/>
  <c r="U17" i="1" s="1"/>
  <c r="Q18" i="1"/>
  <c r="T18" i="1" s="1"/>
  <c r="U18" i="1" s="1"/>
  <c r="Q19" i="1"/>
  <c r="T19" i="1" s="1"/>
  <c r="U19" i="1" s="1"/>
  <c r="Q20" i="1"/>
  <c r="Q21" i="1"/>
  <c r="T21" i="1" s="1"/>
  <c r="U21" i="1" s="1"/>
  <c r="Q22" i="1"/>
  <c r="Q23" i="1"/>
  <c r="Q24" i="1"/>
  <c r="T24" i="1" s="1"/>
  <c r="U24" i="1" s="1"/>
  <c r="Q25" i="1"/>
  <c r="T25" i="1" s="1"/>
  <c r="U25" i="1" s="1"/>
  <c r="U3" i="1" l="1"/>
  <c r="T3" i="1"/>
</calcChain>
</file>

<file path=xl/sharedStrings.xml><?xml version="1.0" encoding="utf-8"?>
<sst xmlns="http://schemas.openxmlformats.org/spreadsheetml/2006/main" count="67" uniqueCount="47">
  <si>
    <t>power input</t>
  </si>
  <si>
    <t>gate driver</t>
  </si>
  <si>
    <t>h bridge A</t>
  </si>
  <si>
    <t>x3</t>
  </si>
  <si>
    <t>current sense</t>
  </si>
  <si>
    <t>aux 2</t>
  </si>
  <si>
    <t>aux 1</t>
  </si>
  <si>
    <t>LED SENSE</t>
  </si>
  <si>
    <t>BUCK capacitance</t>
  </si>
  <si>
    <t>Gate Driver</t>
  </si>
  <si>
    <t>H bridges</t>
  </si>
  <si>
    <t>Current Sense</t>
  </si>
  <si>
    <t>Led Sense</t>
  </si>
  <si>
    <t>COMPONENTES</t>
  </si>
  <si>
    <t>XT30PW-M</t>
  </si>
  <si>
    <t>1uf 100v</t>
  </si>
  <si>
    <t>1uf</t>
  </si>
  <si>
    <t>1uf 25v</t>
  </si>
  <si>
    <t>0.1uf 100v</t>
  </si>
  <si>
    <t>47nf 100v</t>
  </si>
  <si>
    <t>TPN19008QM_LQ</t>
  </si>
  <si>
    <t>2m Ohm</t>
  </si>
  <si>
    <t>2k Ohm</t>
  </si>
  <si>
    <t>BAT41KFILM</t>
  </si>
  <si>
    <t>22 Ohm</t>
  </si>
  <si>
    <t>1000pf</t>
  </si>
  <si>
    <t>560  Ohm</t>
  </si>
  <si>
    <t>LED</t>
  </si>
  <si>
    <t>Bulk capacitance</t>
  </si>
  <si>
    <t>4.7uf 100v</t>
  </si>
  <si>
    <t>AS5600 ASOM</t>
  </si>
  <si>
    <t>100nf 20%</t>
  </si>
  <si>
    <t>10uf</t>
  </si>
  <si>
    <t>4.7kOhm</t>
  </si>
  <si>
    <t>Power Input(MAX15062AATA+T )</t>
  </si>
  <si>
    <t>33 uh</t>
  </si>
  <si>
    <t>SMBJ48D-M3/1</t>
  </si>
  <si>
    <t>Cantidad</t>
  </si>
  <si>
    <t>Link</t>
  </si>
  <si>
    <t>TOTAL(USD)</t>
  </si>
  <si>
    <t>LED ROJO</t>
  </si>
  <si>
    <t>Precio unitario(USD)</t>
  </si>
  <si>
    <t>CantX$(USD)</t>
  </si>
  <si>
    <t>CantX$(CLP)</t>
  </si>
  <si>
    <t>TOTAL(CLP)~</t>
  </si>
  <si>
    <t>DANGER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</si>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</sst>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1" fillId="0" borderId="0" xfId="1" applyNumberFormat="1"/>
    <xf numFmtId="1" fontId="0" fillId="0" borderId="0" xfId="0" applyNumberFormat="1"/>
    <xf numFmtId="0" fontId="2" fillId="0" borderId="0" xfId="0" applyFont="1"/>
  </cellXfs>
  <cellStyles count="2">
    <cellStyle name="Hipervínculo" xfId="1" builtinId="8"/>
    <cellStyle name="Normal" xfId="0" builtinId="0"/>
  </cellStyles>
  <dxfs count="5"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7D323B-07D8-41B3-BC6E-1481F5D5B22E}" name="Tabla1" displayName="Tabla1" ref="E5:L25" totalsRowShown="0">
  <autoFilter ref="E5:L25" xr:uid="{407D323B-07D8-41B3-BC6E-1481F5D5B22E}"/>
  <tableColumns count="8">
    <tableColumn id="1" xr3:uid="{6D099DED-64BC-4E96-8FE8-0204A61F077F}" name="COMPONENTES"/>
    <tableColumn id="2" xr3:uid="{B3378577-FBA9-4C1A-8433-96129B6DA66C}" name="Power Input(MAX15062AATA+T )"/>
    <tableColumn id="3" xr3:uid="{942FE652-5052-4FF0-A7B8-C8B5CDE8FA36}" name="Gate Driver"/>
    <tableColumn id="4" xr3:uid="{BB8B280A-0985-4753-88C9-B3B750E1D54E}" name="H bridges"/>
    <tableColumn id="5" xr3:uid="{F6643CF0-1E40-42E2-9146-9A535FE345DD}" name="Current Sense"/>
    <tableColumn id="6" xr3:uid="{A1C47A35-2241-4F9E-9844-D0A9F11DCDE7}" name="Led Sense"/>
    <tableColumn id="7" xr3:uid="{7D7C6486-DDEB-46FF-BCA9-42D302F60417}" name="Bulk capacitance"/>
    <tableColumn id="10" xr3:uid="{36C55E6D-903C-4B9A-A0B0-41B256C9B417}" name="AS5600 ASOM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B482A5-D867-462B-9A42-5E02AF1BC0EA}" name="Tabla2" displayName="Tabla2" ref="P5:U26" totalsRowCount="1">
  <autoFilter ref="P5:U25" xr:uid="{B1B482A5-D867-462B-9A42-5E02AF1BC0EA}"/>
  <tableColumns count="6">
    <tableColumn id="1" xr3:uid="{2A8164C2-2FB7-4C23-97F1-2EB7091D5D63}" name="COMPONENTES"/>
    <tableColumn id="2" xr3:uid="{E0C099EA-6525-4D7A-8A81-ABCE7DC1E501}" name="Cantidad" dataDxfId="4">
      <calculatedColumnFormula>SUM(Tabla1[[#This Row],[Power Input(MAX15062AATA+T )]:[AS5600 ASOM]])</calculatedColumnFormula>
    </tableColumn>
    <tableColumn id="3" xr3:uid="{F8E4DDA3-B94B-4AA6-A9F3-1C390E031E27}" name="Link" dataDxfId="3">
      <calculatedColumnFormula>HYPERLINK("https://github.com/tu_repo","Ver repo")</calculatedColumnFormula>
    </tableColumn>
    <tableColumn id="4" xr3:uid="{3EB6D48B-B456-4C54-9366-899F34DB475D}" name="Precio unitario(USD)"/>
    <tableColumn id="5" xr3:uid="{E2B14899-0F61-4692-90A3-AC74A17D725D}" name="CantX$(USD)" dataDxfId="2">
      <calculatedColumnFormula>PRODUCT(Tabla2[[#This Row],[Cantidad]],Tabla2[[#This Row],[Precio unitario(USD)]])</calculatedColumnFormula>
    </tableColumn>
    <tableColumn id="6" xr3:uid="{81E0CD81-31E1-4B12-A1CA-8459D81315C8}" name="CantX$(CLP)" dataDxfId="1" totalsRowDxfId="0">
      <calculatedColumnFormula>PRODUCT(Tabla2[[#This Row],[CantX$(USD)]],941.85)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8B6582-852F-4E91-9FAF-A50541E24129}" name="Tabla3" displayName="Tabla3" ref="T2:U3" totalsRowShown="0">
  <autoFilter ref="T2:U3" xr:uid="{E28B6582-852F-4E91-9FAF-A50541E24129}"/>
  <tableColumns count="2">
    <tableColumn id="1" xr3:uid="{6441C57D-BDB7-4FF4-9BC8-CECA7F77E429}" name="TOTAL(USD)">
      <calculatedColumnFormula>SUM(Tabla2[CantX$(USD)])</calculatedColumnFormula>
    </tableColumn>
    <tableColumn id="2" xr3:uid="{E67F2DD1-E8F8-43EA-B655-9EE6347BCA33}" name="TOTAL(CLP)~">
      <calculatedColumnFormula>ROUND(SUM(Tabla2[CantX$(CLP)]),0)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08D2B94-B45D-41E6-8288-C856D97EC24C}" name="Tabla4" displayName="Tabla4" ref="O5:O25" totalsRowShown="0">
  <autoFilter ref="O5:O25" xr:uid="{308D2B94-B45D-41E6-8288-C856D97EC24C}"/>
  <tableColumns count="1">
    <tableColumn id="1" xr3:uid="{FAC6BF7B-01EC-4986-A1BE-12FA75B22E70}" name="DAN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72604-DB61-4F0E-97E4-06141D15F6B9}">
  <dimension ref="A2:U26"/>
  <sheetViews>
    <sheetView tabSelected="1" topLeftCell="L1" zoomScaleNormal="100" workbookViewId="0">
      <selection activeCell="S26" sqref="S26"/>
    </sheetView>
  </sheetViews>
  <sheetFormatPr baseColWidth="10" defaultRowHeight="14.4" x14ac:dyDescent="0.3"/>
  <cols>
    <col min="4" max="4" width="6.5546875" customWidth="1"/>
    <col min="5" max="5" width="16.109375" customWidth="1"/>
    <col min="6" max="6" width="31.109375" customWidth="1"/>
    <col min="7" max="7" width="13.44140625" customWidth="1"/>
    <col min="8" max="8" width="11.6640625" customWidth="1"/>
    <col min="9" max="9" width="16.109375" customWidth="1"/>
    <col min="10" max="10" width="13.33203125" customWidth="1"/>
    <col min="11" max="11" width="16.109375" customWidth="1"/>
    <col min="12" max="12" width="16" customWidth="1"/>
    <col min="13" max="13" width="18.5546875" customWidth="1"/>
    <col min="15" max="15" width="11.77734375" customWidth="1"/>
    <col min="16" max="16" width="17.44140625" customWidth="1"/>
    <col min="17" max="17" width="13.88671875" customWidth="1"/>
    <col min="18" max="18" width="8.88671875" customWidth="1"/>
    <col min="19" max="19" width="20.109375" customWidth="1"/>
    <col min="20" max="20" width="13.5546875" customWidth="1"/>
    <col min="21" max="21" width="14.6640625" customWidth="1"/>
  </cols>
  <sheetData>
    <row r="2" spans="1:21" x14ac:dyDescent="0.3">
      <c r="T2" t="s">
        <v>39</v>
      </c>
      <c r="U2" t="s">
        <v>44</v>
      </c>
    </row>
    <row r="3" spans="1:21" x14ac:dyDescent="0.3">
      <c r="A3" t="s">
        <v>0</v>
      </c>
      <c r="T3">
        <f>SUM(Tabla2[CantX$(USD)])</f>
        <v>28.390000000000004</v>
      </c>
      <c r="U3">
        <f>ROUND(SUM(Tabla2[CantX$(CLP)]),0)</f>
        <v>26739</v>
      </c>
    </row>
    <row r="4" spans="1:21" x14ac:dyDescent="0.3">
      <c r="A4" t="s">
        <v>1</v>
      </c>
    </row>
    <row r="5" spans="1:21" x14ac:dyDescent="0.3">
      <c r="A5" t="s">
        <v>2</v>
      </c>
      <c r="B5" t="s">
        <v>3</v>
      </c>
      <c r="E5" t="s">
        <v>13</v>
      </c>
      <c r="F5" t="s">
        <v>34</v>
      </c>
      <c r="G5" t="s">
        <v>9</v>
      </c>
      <c r="H5" t="s">
        <v>10</v>
      </c>
      <c r="I5" t="s">
        <v>11</v>
      </c>
      <c r="J5" t="s">
        <v>12</v>
      </c>
      <c r="K5" t="s">
        <v>28</v>
      </c>
      <c r="L5" t="s">
        <v>30</v>
      </c>
      <c r="O5" t="s">
        <v>45</v>
      </c>
      <c r="P5" t="s">
        <v>13</v>
      </c>
      <c r="Q5" t="s">
        <v>37</v>
      </c>
      <c r="R5" t="s">
        <v>38</v>
      </c>
      <c r="S5" t="s">
        <v>41</v>
      </c>
      <c r="T5" t="s">
        <v>42</v>
      </c>
      <c r="U5" t="s">
        <v>43</v>
      </c>
    </row>
    <row r="6" spans="1:21" x14ac:dyDescent="0.3">
      <c r="A6" t="s">
        <v>4</v>
      </c>
      <c r="E6" t="s">
        <v>14</v>
      </c>
      <c r="F6">
        <v>1</v>
      </c>
      <c r="P6" t="s">
        <v>14</v>
      </c>
      <c r="Q6">
        <f>SUM(Tabla1[[#This Row],[Power Input(MAX15062AATA+T )]:[AS5600 ASOM]])</f>
        <v>1</v>
      </c>
      <c r="R6" s="1" t="str">
        <f>HYPERLINK("https://octopart.com/es/xt60pw-m-amass-118051292","Octopart")</f>
        <v>Octopart</v>
      </c>
      <c r="S6">
        <v>0.9</v>
      </c>
      <c r="T6">
        <f>PRODUCT(Tabla2[[#This Row],[Cantidad]],Tabla2[[#This Row],[Precio unitario(USD)]])</f>
        <v>0.9</v>
      </c>
      <c r="U6">
        <f>PRODUCT(Tabla2[[#This Row],[CantX$(USD)]],942)</f>
        <v>847.80000000000007</v>
      </c>
    </row>
    <row r="7" spans="1:21" x14ac:dyDescent="0.3">
      <c r="A7" t="s">
        <v>5</v>
      </c>
      <c r="E7" t="s">
        <v>15</v>
      </c>
      <c r="F7">
        <v>1</v>
      </c>
      <c r="P7" t="s">
        <v>15</v>
      </c>
      <c r="Q7">
        <f>SUM(Tabla1[[#This Row],[Power Input(MAX15062AATA+T )]:[AS5600 ASOM]])</f>
        <v>1</v>
      </c>
      <c r="R7" s="1" t="str">
        <f>HYPERLINK("https://mou.sr/4oCNLrW","Mouser")</f>
        <v>Mouser</v>
      </c>
      <c r="S7">
        <v>0.42</v>
      </c>
      <c r="T7">
        <f>PRODUCT(Tabla2[[#This Row],[Cantidad]],Tabla2[[#This Row],[Precio unitario(USD)]])</f>
        <v>0.42</v>
      </c>
      <c r="U7">
        <f>PRODUCT(Tabla2[[#This Row],[CantX$(USD)]],941.85)</f>
        <v>395.577</v>
      </c>
    </row>
    <row r="8" spans="1:21" x14ac:dyDescent="0.3">
      <c r="A8" t="s">
        <v>6</v>
      </c>
      <c r="E8" t="s">
        <v>16</v>
      </c>
      <c r="F8">
        <v>2</v>
      </c>
      <c r="G8">
        <v>2</v>
      </c>
      <c r="P8" t="s">
        <v>16</v>
      </c>
      <c r="Q8">
        <f>SUM(Tabla1[[#This Row],[Power Input(MAX15062AATA+T )]:[AS5600 ASOM]])</f>
        <v>4</v>
      </c>
      <c r="R8" s="1" t="str">
        <f>HYPERLINK("https://mou.sr/3JzqjNg","Mouser")</f>
        <v>Mouser</v>
      </c>
      <c r="S8">
        <v>0.34</v>
      </c>
      <c r="T8">
        <f>PRODUCT(Tabla2[[#This Row],[Cantidad]],Tabla2[[#This Row],[Precio unitario(USD)]])</f>
        <v>1.36</v>
      </c>
      <c r="U8">
        <f>PRODUCT(Tabla2[[#This Row],[CantX$(USD)]],941.85)</f>
        <v>1280.9160000000002</v>
      </c>
    </row>
    <row r="9" spans="1:21" x14ac:dyDescent="0.3">
      <c r="A9" t="s">
        <v>7</v>
      </c>
      <c r="E9" t="s">
        <v>35</v>
      </c>
      <c r="F9">
        <v>1</v>
      </c>
      <c r="P9" t="s">
        <v>35</v>
      </c>
      <c r="Q9">
        <f>SUM(Tabla1[[#This Row],[Power Input(MAX15062AATA+T )]:[AS5600 ASOM]])</f>
        <v>1</v>
      </c>
      <c r="R9" s="1" t="str">
        <f>HYPERLINK("https://mou.sr/4qpAEMl","Mouser")</f>
        <v>Mouser</v>
      </c>
      <c r="S9" s="4">
        <v>1.59</v>
      </c>
      <c r="T9">
        <f>PRODUCT(Tabla2[[#This Row],[Cantidad]],Tabla2[[#This Row],[Precio unitario(USD)]])</f>
        <v>1.59</v>
      </c>
      <c r="U9">
        <f>PRODUCT(Tabla2[[#This Row],[CantX$(USD)]],941.85)</f>
        <v>1497.5415</v>
      </c>
    </row>
    <row r="10" spans="1:21" x14ac:dyDescent="0.3">
      <c r="A10" t="s">
        <v>8</v>
      </c>
      <c r="E10" t="s">
        <v>36</v>
      </c>
      <c r="F10">
        <v>1</v>
      </c>
      <c r="P10" t="s">
        <v>36</v>
      </c>
      <c r="Q10">
        <f>SUM(Tabla1[[#This Row],[Power Input(MAX15062AATA+T )]:[AS5600 ASOM]])</f>
        <v>1</v>
      </c>
      <c r="R10" s="1" t="str">
        <f>HYPERLINK("https://mou.sr/3Wle1em","Mouser")</f>
        <v>Mouser</v>
      </c>
      <c r="S10">
        <v>0.34</v>
      </c>
      <c r="T10">
        <f>PRODUCT(Tabla2[[#This Row],[Cantidad]],Tabla2[[#This Row],[Precio unitario(USD)]])</f>
        <v>0.34</v>
      </c>
      <c r="U10">
        <f>PRODUCT(Tabla2[[#This Row],[CantX$(USD)]],941.85)</f>
        <v>320.22900000000004</v>
      </c>
    </row>
    <row r="11" spans="1:21" x14ac:dyDescent="0.3">
      <c r="E11" t="s">
        <v>17</v>
      </c>
      <c r="G11">
        <v>1</v>
      </c>
      <c r="P11" t="s">
        <v>17</v>
      </c>
      <c r="Q11">
        <f>SUM(Tabla1[[#This Row],[Power Input(MAX15062AATA+T )]:[AS5600 ASOM]])</f>
        <v>1</v>
      </c>
      <c r="R11" s="1" t="str">
        <f>HYPERLINK("https://mou.sr/43ubkLk","Mouser")</f>
        <v>Mouser</v>
      </c>
      <c r="S11">
        <v>0.24</v>
      </c>
      <c r="T11">
        <f>PRODUCT(Tabla2[[#This Row],[Cantidad]],Tabla2[[#This Row],[Precio unitario(USD)]])</f>
        <v>0.24</v>
      </c>
      <c r="U11">
        <f>PRODUCT(Tabla2[[#This Row],[CantX$(USD)]],941.85)</f>
        <v>226.04400000000001</v>
      </c>
    </row>
    <row r="12" spans="1:21" x14ac:dyDescent="0.3">
      <c r="E12" t="s">
        <v>18</v>
      </c>
      <c r="G12">
        <v>1</v>
      </c>
      <c r="H12">
        <v>3</v>
      </c>
      <c r="P12" t="s">
        <v>18</v>
      </c>
      <c r="Q12">
        <f>SUM(Tabla1[[#This Row],[Power Input(MAX15062AATA+T )]:[AS5600 ASOM]])</f>
        <v>4</v>
      </c>
      <c r="R12" s="1" t="str">
        <f>HYPERLINK("https://mou.sr/47GKd25","Mouser")</f>
        <v>Mouser</v>
      </c>
      <c r="S12">
        <v>0.16</v>
      </c>
      <c r="T12">
        <f>PRODUCT(Tabla2[[#This Row],[Cantidad]],Tabla2[[#This Row],[Precio unitario(USD)]])</f>
        <v>0.64</v>
      </c>
      <c r="U12">
        <f>PRODUCT(Tabla2[[#This Row],[CantX$(USD)]],941.85)</f>
        <v>602.78399999999999</v>
      </c>
    </row>
    <row r="13" spans="1:21" x14ac:dyDescent="0.3">
      <c r="E13" t="s">
        <v>19</v>
      </c>
      <c r="G13">
        <v>1</v>
      </c>
      <c r="P13" t="s">
        <v>19</v>
      </c>
      <c r="Q13">
        <f>SUM(Tabla1[[#This Row],[Power Input(MAX15062AATA+T )]:[AS5600 ASOM]])</f>
        <v>1</v>
      </c>
      <c r="R13" s="1" t="str">
        <f>HYPERLINK("https://mou.sr/47aSprm","Mouser")</f>
        <v>Mouser</v>
      </c>
      <c r="S13">
        <v>0.44</v>
      </c>
      <c r="T13">
        <f>PRODUCT(Tabla2[[#This Row],[Cantidad]],Tabla2[[#This Row],[Precio unitario(USD)]])</f>
        <v>0.44</v>
      </c>
      <c r="U13">
        <f>PRODUCT(Tabla2[[#This Row],[CantX$(USD)]],941.85)</f>
        <v>414.41399999999999</v>
      </c>
    </row>
    <row r="14" spans="1:21" x14ac:dyDescent="0.3">
      <c r="E14" t="s">
        <v>22</v>
      </c>
      <c r="G14">
        <v>2</v>
      </c>
      <c r="P14" t="s">
        <v>22</v>
      </c>
      <c r="Q14">
        <f>SUM(Tabla1[[#This Row],[Power Input(MAX15062AATA+T )]:[AS5600 ASOM]])</f>
        <v>2</v>
      </c>
      <c r="R14" s="2" t="str">
        <f>HYPERLINK("https://mou.sr/4hvxUZL","Mouser")</f>
        <v>Mouser</v>
      </c>
      <c r="S14">
        <v>0.19</v>
      </c>
      <c r="T14">
        <f>PRODUCT(Tabla2[[#This Row],[Cantidad]],Tabla2[[#This Row],[Precio unitario(USD)]])</f>
        <v>0.38</v>
      </c>
      <c r="U14">
        <f>PRODUCT(Tabla2[[#This Row],[CantX$(USD)]],941.85)</f>
        <v>357.90300000000002</v>
      </c>
    </row>
    <row r="15" spans="1:21" x14ac:dyDescent="0.3">
      <c r="E15" t="s">
        <v>20</v>
      </c>
      <c r="H15">
        <v>6</v>
      </c>
      <c r="P15" t="s">
        <v>20</v>
      </c>
      <c r="Q15">
        <f>SUM(Tabla1[[#This Row],[Power Input(MAX15062AATA+T )]:[AS5600 ASOM]])</f>
        <v>6</v>
      </c>
      <c r="R15" s="1" t="str">
        <f>HYPERLINK("https://mou.sr/3Jxp5Cd","Mouser")</f>
        <v>Mouser</v>
      </c>
      <c r="S15">
        <v>1.1100000000000001</v>
      </c>
      <c r="T15">
        <f>PRODUCT(Tabla2[[#This Row],[Cantidad]],Tabla2[[#This Row],[Precio unitario(USD)]])</f>
        <v>6.66</v>
      </c>
      <c r="U15">
        <f>PRODUCT(Tabla2[[#This Row],[CantX$(USD)]],941.85)</f>
        <v>6272.7210000000005</v>
      </c>
    </row>
    <row r="16" spans="1:21" x14ac:dyDescent="0.3">
      <c r="E16" t="s">
        <v>21</v>
      </c>
      <c r="H16">
        <v>3</v>
      </c>
      <c r="P16" t="s">
        <v>21</v>
      </c>
      <c r="Q16">
        <f>SUM(Tabla1[[#This Row],[Power Input(MAX15062AATA+T )]:[AS5600 ASOM]])</f>
        <v>3</v>
      </c>
      <c r="R16" s="1" t="str">
        <f>HYPERLINK("https://mou.sr/47oFwIR","Mouser")</f>
        <v>Mouser</v>
      </c>
      <c r="S16">
        <v>0.6</v>
      </c>
      <c r="T16">
        <f>PRODUCT(Tabla2[[#This Row],[Cantidad]],Tabla2[[#This Row],[Precio unitario(USD)]])</f>
        <v>1.7999999999999998</v>
      </c>
      <c r="U16">
        <f>PRODUCT(Tabla2[[#This Row],[CantX$(USD)]],941.85)</f>
        <v>1695.33</v>
      </c>
    </row>
    <row r="17" spans="5:21" x14ac:dyDescent="0.3">
      <c r="E17" t="s">
        <v>23</v>
      </c>
      <c r="H17">
        <v>3</v>
      </c>
      <c r="P17" t="s">
        <v>23</v>
      </c>
      <c r="Q17">
        <f>SUM(Tabla1[[#This Row],[Power Input(MAX15062AATA+T )]:[AS5600 ASOM]])</f>
        <v>3</v>
      </c>
      <c r="R17" s="1" t="str">
        <f>HYPERLINK("https://mou.sr/42XoOiu","Mouser")</f>
        <v>Mouser</v>
      </c>
      <c r="S17">
        <v>0.34</v>
      </c>
      <c r="T17">
        <f>PRODUCT(Tabla2[[#This Row],[Cantidad]],Tabla2[[#This Row],[Precio unitario(USD)]])</f>
        <v>1.02</v>
      </c>
      <c r="U17">
        <f>PRODUCT(Tabla2[[#This Row],[CantX$(USD)]],941.85)</f>
        <v>960.68700000000001</v>
      </c>
    </row>
    <row r="18" spans="5:21" x14ac:dyDescent="0.3">
      <c r="E18" t="s">
        <v>24</v>
      </c>
      <c r="I18">
        <v>3</v>
      </c>
      <c r="P18" t="s">
        <v>24</v>
      </c>
      <c r="Q18">
        <f>SUM(Tabla1[[#This Row],[Power Input(MAX15062AATA+T )]:[AS5600 ASOM]])</f>
        <v>3</v>
      </c>
      <c r="R18" s="1" t="str">
        <f>HYPERLINK("https://mou.sr/4oL6EJf","Mouser")</f>
        <v>Mouser</v>
      </c>
      <c r="S18">
        <v>0.14000000000000001</v>
      </c>
      <c r="T18">
        <f>PRODUCT(Tabla2[[#This Row],[Cantidad]],Tabla2[[#This Row],[Precio unitario(USD)]])</f>
        <v>0.42000000000000004</v>
      </c>
      <c r="U18">
        <f>PRODUCT(Tabla2[[#This Row],[CantX$(USD)]],941.85)</f>
        <v>395.57700000000006</v>
      </c>
    </row>
    <row r="19" spans="5:21" x14ac:dyDescent="0.3">
      <c r="E19" t="s">
        <v>25</v>
      </c>
      <c r="I19">
        <v>3</v>
      </c>
      <c r="P19" t="s">
        <v>25</v>
      </c>
      <c r="Q19">
        <f>SUM(Tabla1[[#This Row],[Power Input(MAX15062AATA+T )]:[AS5600 ASOM]])</f>
        <v>3</v>
      </c>
      <c r="R19" s="1" t="str">
        <f>HYPERLINK("https://mou.sr/47cPcHL","Mouser")</f>
        <v>Mouser</v>
      </c>
      <c r="S19">
        <v>0.26</v>
      </c>
      <c r="T19">
        <f>PRODUCT(Tabla2[[#This Row],[Cantidad]],Tabla2[[#This Row],[Precio unitario(USD)]])</f>
        <v>0.78</v>
      </c>
      <c r="U19">
        <f>PRODUCT(Tabla2[[#This Row],[CantX$(USD)]],941.85)</f>
        <v>734.64300000000003</v>
      </c>
    </row>
    <row r="20" spans="5:21" x14ac:dyDescent="0.3">
      <c r="E20" t="s">
        <v>26</v>
      </c>
      <c r="J20">
        <v>2</v>
      </c>
      <c r="P20" t="s">
        <v>26</v>
      </c>
      <c r="Q20">
        <f>SUM(Tabla1[[#This Row],[Power Input(MAX15062AATA+T )]:[AS5600 ASOM]])</f>
        <v>2</v>
      </c>
      <c r="R20" s="1" t="str">
        <f>HYPERLINK("https://mou.sr/3J7orvd","Mouser")</f>
        <v>Mouser</v>
      </c>
      <c r="S20">
        <v>0.12</v>
      </c>
      <c r="T20">
        <f>PRODUCT(Tabla2[[#This Row],[Cantidad]],Tabla2[[#This Row],[Precio unitario(USD)]])</f>
        <v>0.24</v>
      </c>
      <c r="U20">
        <f>PRODUCT(Tabla2[[#This Row],[CantX$(USD)]],941.85)</f>
        <v>226.04400000000001</v>
      </c>
    </row>
    <row r="21" spans="5:21" x14ac:dyDescent="0.3">
      <c r="E21" t="s">
        <v>27</v>
      </c>
      <c r="J21">
        <v>2</v>
      </c>
      <c r="O21" t="s">
        <v>46</v>
      </c>
      <c r="P21" t="s">
        <v>40</v>
      </c>
      <c r="Q21">
        <f>SUM(Tabla1[[#This Row],[Power Input(MAX15062AATA+T )]:[AS5600 ASOM]])</f>
        <v>2</v>
      </c>
      <c r="R21" s="1" t="str">
        <f>HYPERLINK("https://mou.sr/47slRYu","Mouser")</f>
        <v>Mouser</v>
      </c>
      <c r="S21">
        <v>0.41</v>
      </c>
      <c r="T21">
        <f>PRODUCT(Tabla2[[#This Row],[Cantidad]],Tabla2[[#This Row],[Precio unitario(USD)]])</f>
        <v>0.82</v>
      </c>
      <c r="U21">
        <f>PRODUCT(Tabla2[[#This Row],[CantX$(USD)]],941.85)</f>
        <v>772.31700000000001</v>
      </c>
    </row>
    <row r="22" spans="5:21" x14ac:dyDescent="0.3">
      <c r="E22" t="s">
        <v>29</v>
      </c>
      <c r="K22">
        <v>12</v>
      </c>
      <c r="P22" t="s">
        <v>29</v>
      </c>
      <c r="Q22">
        <f>SUM(Tabla1[[#This Row],[Power Input(MAX15062AATA+T )]:[AS5600 ASOM]])</f>
        <v>12</v>
      </c>
      <c r="R22" s="1" t="str">
        <f>HYPERLINK("https://mou.sr/3WUpj9x","Mouser")</f>
        <v>Mouser</v>
      </c>
      <c r="S22">
        <v>0.8</v>
      </c>
      <c r="T22">
        <f>PRODUCT(Tabla2[[#This Row],[Cantidad]],Tabla2[[#This Row],[Precio unitario(USD)]])</f>
        <v>9.6000000000000014</v>
      </c>
      <c r="U22">
        <f>PRODUCT(Tabla2[[#This Row],[CantX$(USD)]],941.85)</f>
        <v>9041.760000000002</v>
      </c>
    </row>
    <row r="23" spans="5:21" x14ac:dyDescent="0.3">
      <c r="E23" t="s">
        <v>31</v>
      </c>
      <c r="L23">
        <v>1</v>
      </c>
      <c r="P23" t="s">
        <v>31</v>
      </c>
      <c r="Q23">
        <f>SUM(Tabla1[[#This Row],[Power Input(MAX15062AATA+T )]:[AS5600 ASOM]])</f>
        <v>1</v>
      </c>
      <c r="R23" s="2" t="str">
        <f>HYPERLINK("https://mou.sr/47NAas8","Mouser")</f>
        <v>Mouser</v>
      </c>
      <c r="S23">
        <v>0.1</v>
      </c>
      <c r="T23">
        <f>PRODUCT(Tabla2[[#This Row],[Cantidad]],Tabla2[[#This Row],[Precio unitario(USD)]])</f>
        <v>0.1</v>
      </c>
      <c r="U23">
        <f>PRODUCT(Tabla2[[#This Row],[CantX$(USD)]],941.85)</f>
        <v>94.185000000000002</v>
      </c>
    </row>
    <row r="24" spans="5:21" x14ac:dyDescent="0.3">
      <c r="E24" t="s">
        <v>32</v>
      </c>
      <c r="F24">
        <v>1</v>
      </c>
      <c r="L24">
        <v>1</v>
      </c>
      <c r="P24" t="s">
        <v>32</v>
      </c>
      <c r="Q24">
        <f>SUM(Tabla1[[#This Row],[Power Input(MAX15062AATA+T )]:[AS5600 ASOM]])</f>
        <v>2</v>
      </c>
      <c r="R24" s="2" t="str">
        <f>HYPERLINK("https://mou.sr/4oDjfht","Mouser")</f>
        <v>Mouser</v>
      </c>
      <c r="S24">
        <v>0.22</v>
      </c>
      <c r="T24">
        <f>PRODUCT(Tabla2[[#This Row],[Cantidad]],Tabla2[[#This Row],[Precio unitario(USD)]])</f>
        <v>0.44</v>
      </c>
      <c r="U24">
        <f>PRODUCT(Tabla2[[#This Row],[CantX$(USD)]],941.85)</f>
        <v>414.41399999999999</v>
      </c>
    </row>
    <row r="25" spans="5:21" x14ac:dyDescent="0.3">
      <c r="E25" t="s">
        <v>33</v>
      </c>
      <c r="L25">
        <v>2</v>
      </c>
      <c r="P25" t="s">
        <v>33</v>
      </c>
      <c r="Q25">
        <f>SUM(Tabla1[[#This Row],[Power Input(MAX15062AATA+T )]:[AS5600 ASOM]])</f>
        <v>2</v>
      </c>
      <c r="R25" s="1" t="str">
        <f>HYPERLINK("https://mou.sr/4ohcwKy","Mouser")</f>
        <v>Mouser</v>
      </c>
      <c r="S25">
        <v>0.1</v>
      </c>
      <c r="T25">
        <f>PRODUCT(Tabla2[[#This Row],[Cantidad]],Tabla2[[#This Row],[Precio unitario(USD)]])</f>
        <v>0.2</v>
      </c>
      <c r="U25">
        <f>PRODUCT(Tabla2[[#This Row],[CantX$(USD)]],941.85)</f>
        <v>188.37</v>
      </c>
    </row>
    <row r="26" spans="5:21" x14ac:dyDescent="0.3">
      <c r="U26" s="3"/>
    </row>
  </sheetData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Moya Urquieta (Alumno)</dc:creator>
  <cp:lastModifiedBy>gabriel arcaya</cp:lastModifiedBy>
  <dcterms:created xsi:type="dcterms:W3CDTF">2025-10-26T19:32:19Z</dcterms:created>
  <dcterms:modified xsi:type="dcterms:W3CDTF">2025-10-29T03:58:57Z</dcterms:modified>
</cp:coreProperties>
</file>