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mcl-my.sharepoint.com/personal/rodrigo_sierral_usm_cl/Documents/Documentos/Altium Designer/phoenix-c1/docs/"/>
    </mc:Choice>
  </mc:AlternateContent>
  <xr:revisionPtr revIDLastSave="306" documentId="13_ncr:1_{F7354992-1F78-49E8-A4B3-E60DEAC47D86}" xr6:coauthVersionLast="47" xr6:coauthVersionMax="47" xr10:uidLastSave="{6E641EB0-0220-4BB3-AD76-29541092022D}"/>
  <bookViews>
    <workbookView xWindow="-108" yWindow="-108" windowWidth="23256" windowHeight="12456" activeTab="1" xr2:uid="{8698A76B-EBE4-42D6-9BF9-8613B12501BD}"/>
  </bookViews>
  <sheets>
    <sheet name="Revision Componentes" sheetId="1" r:id="rId1"/>
    <sheet name="C.phoenix-c1 por modu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S12" i="1"/>
  <c r="S13" i="1"/>
  <c r="S14" i="1"/>
  <c r="S9" i="1"/>
  <c r="S24" i="1"/>
  <c r="S25" i="1"/>
  <c r="S23" i="1"/>
  <c r="S22" i="1"/>
  <c r="S18" i="1"/>
  <c r="S17" i="1"/>
  <c r="S11" i="1"/>
  <c r="S10" i="1"/>
  <c r="S6" i="1"/>
  <c r="S20" i="1"/>
  <c r="S7" i="1"/>
  <c r="S15" i="1"/>
  <c r="S19" i="1"/>
  <c r="S8" i="1"/>
  <c r="R8" i="1"/>
  <c r="U8" i="1" s="1"/>
  <c r="V8" i="1" s="1"/>
  <c r="R12" i="1"/>
  <c r="U12" i="1" s="1"/>
  <c r="V12" i="1" s="1"/>
  <c r="R14" i="1"/>
  <c r="U14" i="1" s="1"/>
  <c r="V14" i="1" s="1"/>
  <c r="R18" i="1"/>
  <c r="U18" i="1" s="1"/>
  <c r="V18" i="1" s="1"/>
  <c r="R19" i="1"/>
  <c r="U19" i="1" s="1"/>
  <c r="V19" i="1" s="1"/>
  <c r="R13" i="1"/>
  <c r="U13" i="1" s="1"/>
  <c r="V13" i="1" s="1"/>
  <c r="R15" i="1"/>
  <c r="U15" i="1" s="1"/>
  <c r="V15" i="1" s="1"/>
  <c r="R10" i="1"/>
  <c r="U10" i="1" s="1"/>
  <c r="V10" i="1" s="1"/>
  <c r="R21" i="1"/>
  <c r="U21" i="1" s="1"/>
  <c r="V21" i="1" s="1"/>
  <c r="R7" i="1"/>
  <c r="U7" i="1" s="1"/>
  <c r="V7" i="1" s="1"/>
  <c r="R20" i="1"/>
  <c r="U20" i="1" s="1"/>
  <c r="V20" i="1" s="1"/>
  <c r="R6" i="1"/>
  <c r="U6" i="1" s="1"/>
  <c r="V6" i="1" s="1"/>
  <c r="R22" i="1"/>
  <c r="U22" i="1" s="1"/>
  <c r="V22" i="1" s="1"/>
  <c r="U9" i="1"/>
  <c r="V9" i="1" s="1"/>
  <c r="R23" i="1"/>
  <c r="U23" i="1" s="1"/>
  <c r="V23" i="1" s="1"/>
  <c r="R24" i="1"/>
  <c r="U24" i="1" s="1"/>
  <c r="V24" i="1" s="1"/>
  <c r="U16" i="1"/>
  <c r="V16" i="1" s="1"/>
  <c r="R11" i="1"/>
  <c r="U11" i="1" s="1"/>
  <c r="V11" i="1" s="1"/>
  <c r="R17" i="1"/>
  <c r="U17" i="1" s="1"/>
  <c r="V17" i="1" s="1"/>
  <c r="R25" i="1"/>
  <c r="U25" i="1" s="1"/>
  <c r="V25" i="1" s="1"/>
  <c r="V3" i="1" l="1"/>
  <c r="U3" i="1"/>
</calcChain>
</file>

<file path=xl/sharedStrings.xml><?xml version="1.0" encoding="utf-8"?>
<sst xmlns="http://schemas.openxmlformats.org/spreadsheetml/2006/main" count="186" uniqueCount="91">
  <si>
    <t>power input</t>
  </si>
  <si>
    <t>gate driver</t>
  </si>
  <si>
    <t>h bridge A</t>
  </si>
  <si>
    <t>x3</t>
  </si>
  <si>
    <t>current sense</t>
  </si>
  <si>
    <t>aux 2</t>
  </si>
  <si>
    <t>aux 1</t>
  </si>
  <si>
    <t>LED SENSE</t>
  </si>
  <si>
    <t>BUCK capacitance</t>
  </si>
  <si>
    <t>Gate Driver</t>
  </si>
  <si>
    <t>H bridges</t>
  </si>
  <si>
    <t>Current Sense</t>
  </si>
  <si>
    <t>Led Sense</t>
  </si>
  <si>
    <t>COMPONENTES</t>
  </si>
  <si>
    <t>XT30PW-M</t>
  </si>
  <si>
    <t>1uf 100v</t>
  </si>
  <si>
    <t>1uf</t>
  </si>
  <si>
    <t>1uf 25v</t>
  </si>
  <si>
    <t>0.1uf 100v</t>
  </si>
  <si>
    <t>47nf 100v</t>
  </si>
  <si>
    <t>TPN19008QM_LQ</t>
  </si>
  <si>
    <t>2m Ohm</t>
  </si>
  <si>
    <t>2k Ohm</t>
  </si>
  <si>
    <t>BAT41KFILM</t>
  </si>
  <si>
    <t>22 Ohm</t>
  </si>
  <si>
    <t>1000pf</t>
  </si>
  <si>
    <t>560  Ohm</t>
  </si>
  <si>
    <t>LED</t>
  </si>
  <si>
    <t>Bulk capacitance</t>
  </si>
  <si>
    <t>4.7uf 100v</t>
  </si>
  <si>
    <t>AS5600 ASOM</t>
  </si>
  <si>
    <t>100nf 20%</t>
  </si>
  <si>
    <t>10uf</t>
  </si>
  <si>
    <t>4.7kOhm</t>
  </si>
  <si>
    <t>Power Input(MAX15062AATA+T )</t>
  </si>
  <si>
    <t>33 uh</t>
  </si>
  <si>
    <t>SMBJ48D-M3/1</t>
  </si>
  <si>
    <t>Cantidad</t>
  </si>
  <si>
    <t>Link</t>
  </si>
  <si>
    <t>TOTAL(USD)</t>
  </si>
  <si>
    <t>LED ROJO</t>
  </si>
  <si>
    <t>Precio unitario(USD)</t>
  </si>
  <si>
    <t>CantX$(USD)</t>
  </si>
  <si>
    <t>CantX$(CLP)</t>
  </si>
  <si>
    <t>TOTAL(CLP)~</t>
  </si>
  <si>
    <t>Schematics</t>
  </si>
  <si>
    <t>stm32g4.SchDoc</t>
  </si>
  <si>
    <t>hbridgeA.SchDoc</t>
  </si>
  <si>
    <t>power_input.SchDoc</t>
  </si>
  <si>
    <t>bulk_capacitance.SchDoc</t>
  </si>
  <si>
    <t>hbridgeB.SchDoc</t>
  </si>
  <si>
    <t>hbridgeC.SchDoc</t>
  </si>
  <si>
    <t>ports.SchDoc</t>
  </si>
  <si>
    <t>Components</t>
  </si>
  <si>
    <t>TPN19008QM,LQ</t>
  </si>
  <si>
    <t>CSSH0805FT2L00</t>
  </si>
  <si>
    <t>GCJ188R72A104KA01D</t>
  </si>
  <si>
    <t>Part number</t>
  </si>
  <si>
    <t>MOSFET</t>
  </si>
  <si>
    <t>R</t>
  </si>
  <si>
    <t>C</t>
  </si>
  <si>
    <t>D</t>
  </si>
  <si>
    <t>Value</t>
  </si>
  <si>
    <t>X</t>
  </si>
  <si>
    <t>gate_driver.SchDoc</t>
  </si>
  <si>
    <t>Driver</t>
  </si>
  <si>
    <t>DRV8323SRTAR</t>
  </si>
  <si>
    <t>0.1uF 100V</t>
  </si>
  <si>
    <r>
      <t xml:space="preserve">2m </t>
    </r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 xml:space="preserve"> 1W</t>
    </r>
  </si>
  <si>
    <t>1uF 25V</t>
  </si>
  <si>
    <t>Altium</t>
  </si>
  <si>
    <t>47nF 100V</t>
  </si>
  <si>
    <t>08056C105MAT2A</t>
  </si>
  <si>
    <t>1uF 6.3V</t>
  </si>
  <si>
    <t>1uf 6.3V</t>
  </si>
  <si>
    <t>GCM21BC72A105KE36L</t>
  </si>
  <si>
    <t>C1608X7R1E105K080AE</t>
  </si>
  <si>
    <t>Part Number</t>
  </si>
  <si>
    <t>GRJ31CC72A475KE01K</t>
  </si>
  <si>
    <r>
      <t xml:space="preserve">2k </t>
    </r>
    <r>
      <rPr>
        <sz val="11"/>
        <color theme="1"/>
        <rFont val="Aptos Narrow"/>
        <family val="2"/>
      </rPr>
      <t>Ω</t>
    </r>
  </si>
  <si>
    <t>AF0402JR-072KL</t>
  </si>
  <si>
    <t>https://www.mouser.cl/ProductDetail/YAGEO/AF0402JR-072KL?qs=sGAEpiMZZMtlubZbdhIBIIzXXd8RXMQ1A4VeykjrMVQ%3D</t>
  </si>
  <si>
    <t>C0603X473K1RACTU</t>
  </si>
  <si>
    <t>1000pf 6.3V</t>
  </si>
  <si>
    <t>08056C102JAT2A</t>
  </si>
  <si>
    <t>RC0603JR-0722RL</t>
  </si>
  <si>
    <t>1000pF</t>
  </si>
  <si>
    <t>22 Ω</t>
  </si>
  <si>
    <t>47uF 100V</t>
  </si>
  <si>
    <t>RT0603BRD07560RL</t>
  </si>
  <si>
    <t>APT1608SURC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</si>
</sst>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333333"/>
      <name val="Arial"/>
      <family val="2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5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D323B-07D8-41B3-BC6E-1481F5D5B22E}" name="Tabla1" displayName="Tabla1" ref="E5:L25" totalsRowShown="0">
  <autoFilter ref="E5:L25" xr:uid="{407D323B-07D8-41B3-BC6E-1481F5D5B22E}"/>
  <tableColumns count="8">
    <tableColumn id="1" xr3:uid="{6D099DED-64BC-4E96-8FE8-0204A61F077F}" name="COMPONENTES"/>
    <tableColumn id="2" xr3:uid="{B3378577-FBA9-4C1A-8433-96129B6DA66C}" name="Power Input(MAX15062AATA+T )"/>
    <tableColumn id="3" xr3:uid="{942FE652-5052-4FF0-A7B8-C8B5CDE8FA36}" name="Gate Driver"/>
    <tableColumn id="4" xr3:uid="{BB8B280A-0985-4753-88C9-B3B750E1D54E}" name="H bridges"/>
    <tableColumn id="5" xr3:uid="{F6643CF0-1E40-42E2-9146-9A535FE345DD}" name="Current Sense"/>
    <tableColumn id="6" xr3:uid="{A1C47A35-2241-4F9E-9844-D0A9F11DCDE7}" name="Led Sense"/>
    <tableColumn id="7" xr3:uid="{7D7C6486-DDEB-46FF-BCA9-42D302F60417}" name="Bulk capacitance"/>
    <tableColumn id="10" xr3:uid="{36C55E6D-903C-4B9A-A0B0-41B256C9B417}" name="AS5600 AS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482A5-D867-462B-9A42-5E02AF1BC0EA}" name="Tabla2" displayName="Tabla2" ref="N5:V26" totalsRowCount="1">
  <autoFilter ref="N5:V25" xr:uid="{B1B482A5-D867-462B-9A42-5E02AF1BC0EA}"/>
  <tableColumns count="9">
    <tableColumn id="1" xr3:uid="{2A8164C2-2FB7-4C23-97F1-2EB7091D5D63}" name="COMPONENTES"/>
    <tableColumn id="9" xr3:uid="{916D2FE0-85EB-46DA-9799-D85CA8D5156F}" name="Part Number"/>
    <tableColumn id="8" xr3:uid="{B1046C3A-A1F3-421E-9436-C5BB3C6B237A}" name="Altium"/>
    <tableColumn id="7" xr3:uid="{ADE89E6D-F7FC-45CE-A5CB-99276119FEF7}" name="D"/>
    <tableColumn id="2" xr3:uid="{E0C099EA-6525-4D7A-8A81-ABCE7DC1E501}" name="Cantidad" dataDxfId="4">
      <calculatedColumnFormula>SUM(Tabla1[[#This Row],[Power Input(MAX15062AATA+T )]:[AS5600 ASOM]])</calculatedColumnFormula>
    </tableColumn>
    <tableColumn id="3" xr3:uid="{F8E4DDA3-B94B-4AA6-A9F3-1C390E031E27}" name="Link" dataDxfId="3">
      <calculatedColumnFormula>HYPERLINK("https://github.com/tu_repo","Ver repo")</calculatedColumnFormula>
    </tableColumn>
    <tableColumn id="4" xr3:uid="{3EB6D48B-B456-4C54-9366-899F34DB475D}" name="Precio unitario(USD)"/>
    <tableColumn id="5" xr3:uid="{E2B14899-0F61-4692-90A3-AC74A17D725D}" name="CantX$(USD)" dataDxfId="2">
      <calculatedColumnFormula>PRODUCT(Tabla2[[#This Row],[Cantidad]],Tabla2[[#This Row],[Precio unitario(USD)]])</calculatedColumnFormula>
    </tableColumn>
    <tableColumn id="6" xr3:uid="{81E0CD81-31E1-4B12-A1CA-8459D81315C8}" name="CantX$(CLP)" dataDxfId="1" totalsRowDxfId="0">
      <calculatedColumnFormula>PRODUCT(Tabla2[[#This Row],[CantX$(USD)]],941.85)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8B6582-852F-4E91-9FAF-A50541E24129}" name="Tabla3" displayName="Tabla3" ref="U2:V3" totalsRowShown="0">
  <autoFilter ref="U2:V3" xr:uid="{E28B6582-852F-4E91-9FAF-A50541E24129}"/>
  <tableColumns count="2">
    <tableColumn id="1" xr3:uid="{6441C57D-BDB7-4FF4-9BC8-CECA7F77E429}" name="TOTAL(USD)">
      <calculatedColumnFormula>SUM(Tabla2[CantX$(USD)])</calculatedColumnFormula>
    </tableColumn>
    <tableColumn id="2" xr3:uid="{E67F2DD1-E8F8-43EA-B655-9EE6347BCA33}" name="TOTAL(CLP)~">
      <calculatedColumnFormula>ROUND(SUM(Tabla2[CantX$(CLP)]),0)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l/ProductDetail/YAGEO/AF0402JR-072KL?qs=sGAEpiMZZMtlubZbdhIBIIzXXd8RXMQ1A4VeykjrMVQ%3D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2604-DB61-4F0E-97E4-06141D15F6B9}">
  <dimension ref="A2:V27"/>
  <sheetViews>
    <sheetView topLeftCell="F4" zoomScale="85" zoomScaleNormal="85" workbookViewId="0">
      <selection activeCell="O23" sqref="O23"/>
    </sheetView>
  </sheetViews>
  <sheetFormatPr baseColWidth="10" defaultRowHeight="14.4" x14ac:dyDescent="0.3"/>
  <cols>
    <col min="4" max="4" width="6.5546875" customWidth="1"/>
    <col min="5" max="5" width="16.109375" customWidth="1"/>
    <col min="6" max="6" width="31.109375" customWidth="1"/>
    <col min="7" max="7" width="13.44140625" customWidth="1"/>
    <col min="8" max="8" width="11.6640625" customWidth="1"/>
    <col min="9" max="9" width="16.109375" customWidth="1"/>
    <col min="10" max="10" width="13.33203125" customWidth="1"/>
    <col min="11" max="11" width="16.109375" customWidth="1"/>
    <col min="12" max="12" width="16" customWidth="1"/>
    <col min="13" max="13" width="11.6640625" customWidth="1"/>
    <col min="14" max="14" width="17.44140625" customWidth="1"/>
    <col min="15" max="15" width="21" bestFit="1" customWidth="1"/>
    <col min="16" max="16" width="9.44140625" bestFit="1" customWidth="1"/>
    <col min="17" max="17" width="5.109375" bestFit="1" customWidth="1"/>
    <col min="18" max="18" width="13.88671875" customWidth="1"/>
    <col min="19" max="19" width="8.88671875" customWidth="1"/>
    <col min="20" max="20" width="20.109375" customWidth="1"/>
    <col min="21" max="21" width="13.5546875" customWidth="1"/>
    <col min="22" max="22" width="14.6640625" customWidth="1"/>
  </cols>
  <sheetData>
    <row r="2" spans="1:22" x14ac:dyDescent="0.3">
      <c r="U2" t="s">
        <v>39</v>
      </c>
      <c r="V2" t="s">
        <v>44</v>
      </c>
    </row>
    <row r="3" spans="1:22" x14ac:dyDescent="0.3">
      <c r="A3" t="s">
        <v>0</v>
      </c>
      <c r="U3">
        <f>SUM(Tabla2[CantX$(USD)])</f>
        <v>30.19</v>
      </c>
      <c r="V3">
        <f>ROUND(SUM(Tabla2[CantX$(CLP)]),0)</f>
        <v>28435</v>
      </c>
    </row>
    <row r="4" spans="1:22" x14ac:dyDescent="0.3">
      <c r="A4" t="s">
        <v>1</v>
      </c>
    </row>
    <row r="5" spans="1:22" x14ac:dyDescent="0.3">
      <c r="A5" t="s">
        <v>2</v>
      </c>
      <c r="B5" t="s">
        <v>3</v>
      </c>
      <c r="E5" t="s">
        <v>13</v>
      </c>
      <c r="F5" t="s">
        <v>34</v>
      </c>
      <c r="G5" t="s">
        <v>9</v>
      </c>
      <c r="H5" t="s">
        <v>10</v>
      </c>
      <c r="I5" t="s">
        <v>11</v>
      </c>
      <c r="J5" t="s">
        <v>12</v>
      </c>
      <c r="K5" t="s">
        <v>28</v>
      </c>
      <c r="L5" t="s">
        <v>30</v>
      </c>
      <c r="N5" t="s">
        <v>13</v>
      </c>
      <c r="O5" t="s">
        <v>77</v>
      </c>
      <c r="P5" t="s">
        <v>70</v>
      </c>
      <c r="Q5" t="s">
        <v>61</v>
      </c>
      <c r="R5" t="s">
        <v>37</v>
      </c>
      <c r="S5" t="s">
        <v>38</v>
      </c>
      <c r="T5" t="s">
        <v>41</v>
      </c>
      <c r="U5" t="s">
        <v>42</v>
      </c>
      <c r="V5" t="s">
        <v>43</v>
      </c>
    </row>
    <row r="6" spans="1:22" x14ac:dyDescent="0.3">
      <c r="A6" t="s">
        <v>4</v>
      </c>
      <c r="E6" t="s">
        <v>14</v>
      </c>
      <c r="F6">
        <v>1</v>
      </c>
      <c r="N6" t="s">
        <v>23</v>
      </c>
      <c r="O6" t="s">
        <v>23</v>
      </c>
      <c r="P6" t="s">
        <v>63</v>
      </c>
      <c r="R6">
        <f>SUM(Tabla1[[#This Row],[Power Input(MAX15062AATA+T )]:[AS5600 ASOM]])</f>
        <v>1</v>
      </c>
      <c r="S6" s="1" t="str">
        <f>HYPERLINK("https://mou.sr/42XoOiu","Mouser")</f>
        <v>Mouser</v>
      </c>
      <c r="T6">
        <v>0.34</v>
      </c>
      <c r="U6">
        <f>PRODUCT(Tabla2[[#This Row],[Cantidad]],Tabla2[[#This Row],[Precio unitario(USD)]])</f>
        <v>0.34</v>
      </c>
      <c r="V6">
        <f>PRODUCT(Tabla2[[#This Row],[CantX$(USD)]],941.85)</f>
        <v>320.22900000000004</v>
      </c>
    </row>
    <row r="7" spans="1:22" x14ac:dyDescent="0.3">
      <c r="A7" t="s">
        <v>5</v>
      </c>
      <c r="E7" t="s">
        <v>15</v>
      </c>
      <c r="F7">
        <v>1</v>
      </c>
      <c r="N7" t="s">
        <v>20</v>
      </c>
      <c r="O7" t="s">
        <v>20</v>
      </c>
      <c r="P7" t="s">
        <v>63</v>
      </c>
      <c r="R7">
        <f>SUM(Tabla1[[#This Row],[Power Input(MAX15062AATA+T )]:[AS5600 ASOM]])</f>
        <v>1</v>
      </c>
      <c r="S7" s="1" t="str">
        <f>HYPERLINK("https://mou.sr/3Jxp5Cd","Mouser")</f>
        <v>Mouser</v>
      </c>
      <c r="T7">
        <v>1.1100000000000001</v>
      </c>
      <c r="U7">
        <f>PRODUCT(Tabla2[[#This Row],[Cantidad]],Tabla2[[#This Row],[Precio unitario(USD)]])</f>
        <v>1.1100000000000001</v>
      </c>
      <c r="V7">
        <f>PRODUCT(Tabla2[[#This Row],[CantX$(USD)]],941.85)</f>
        <v>1045.4535000000001</v>
      </c>
    </row>
    <row r="8" spans="1:22" x14ac:dyDescent="0.3">
      <c r="A8" t="s">
        <v>6</v>
      </c>
      <c r="E8" t="s">
        <v>16</v>
      </c>
      <c r="F8">
        <v>2</v>
      </c>
      <c r="G8">
        <v>2</v>
      </c>
      <c r="N8" t="s">
        <v>14</v>
      </c>
      <c r="O8" t="s">
        <v>14</v>
      </c>
      <c r="P8" t="s">
        <v>63</v>
      </c>
      <c r="R8">
        <f>SUM(Tabla1[[#This Row],[Power Input(MAX15062AATA+T )]:[AS5600 ASOM]])</f>
        <v>4</v>
      </c>
      <c r="S8" s="1" t="str">
        <f>HYPERLINK("https://octopart.com/es/xt60pw-m-amass-118051292","Octopart")</f>
        <v>Octopart</v>
      </c>
      <c r="T8">
        <v>0.9</v>
      </c>
      <c r="U8">
        <f>PRODUCT(Tabla2[[#This Row],[Cantidad]],Tabla2[[#This Row],[Precio unitario(USD)]])</f>
        <v>3.6</v>
      </c>
      <c r="V8">
        <f>PRODUCT(Tabla2[[#This Row],[CantX$(USD)]],942)</f>
        <v>3391.2000000000003</v>
      </c>
    </row>
    <row r="9" spans="1:22" x14ac:dyDescent="0.3">
      <c r="A9" t="s">
        <v>7</v>
      </c>
      <c r="E9" t="s">
        <v>35</v>
      </c>
      <c r="F9">
        <v>1</v>
      </c>
      <c r="N9" t="s">
        <v>83</v>
      </c>
      <c r="O9" t="s">
        <v>84</v>
      </c>
      <c r="P9" t="s">
        <v>63</v>
      </c>
      <c r="R9">
        <v>3</v>
      </c>
      <c r="S9" s="1" t="str">
        <f>HYPERLINK("https://mou.sr/47cPcHL","Mouser")</f>
        <v>Mouser</v>
      </c>
      <c r="T9">
        <v>0.1</v>
      </c>
      <c r="U9">
        <f>PRODUCT(Tabla2[[#This Row],[Cantidad]],Tabla2[[#This Row],[Precio unitario(USD)]])</f>
        <v>0.30000000000000004</v>
      </c>
      <c r="V9">
        <f>PRODUCT(Tabla2[[#This Row],[CantX$(USD)]],941.85)</f>
        <v>282.55500000000006</v>
      </c>
    </row>
    <row r="10" spans="1:22" x14ac:dyDescent="0.3">
      <c r="A10" t="s">
        <v>8</v>
      </c>
      <c r="E10" t="s">
        <v>36</v>
      </c>
      <c r="F10">
        <v>1</v>
      </c>
      <c r="N10" t="s">
        <v>19</v>
      </c>
      <c r="O10" t="s">
        <v>82</v>
      </c>
      <c r="P10" t="s">
        <v>63</v>
      </c>
      <c r="R10">
        <f>SUM(Tabla1[[#This Row],[Power Input(MAX15062AATA+T )]:[AS5600 ASOM]])</f>
        <v>1</v>
      </c>
      <c r="S10" s="1" t="str">
        <f>HYPERLINK("https://mou.sr/47aSprm","Mouser")</f>
        <v>Mouser</v>
      </c>
      <c r="T10">
        <v>0.44</v>
      </c>
      <c r="U10">
        <f>PRODUCT(Tabla2[[#This Row],[Cantidad]],Tabla2[[#This Row],[Precio unitario(USD)]])</f>
        <v>0.44</v>
      </c>
      <c r="V10">
        <f>PRODUCT(Tabla2[[#This Row],[CantX$(USD)]],941.85)</f>
        <v>414.41399999999999</v>
      </c>
    </row>
    <row r="11" spans="1:22" x14ac:dyDescent="0.3">
      <c r="E11" t="s">
        <v>17</v>
      </c>
      <c r="G11">
        <v>1</v>
      </c>
      <c r="N11" t="s">
        <v>31</v>
      </c>
      <c r="Q11" t="s">
        <v>63</v>
      </c>
      <c r="R11">
        <f>SUM(Tabla1[[#This Row],[Power Input(MAX15062AATA+T )]:[AS5600 ASOM]])</f>
        <v>1</v>
      </c>
      <c r="S11" s="2" t="str">
        <f>HYPERLINK("https://mou.sr/4owREP0","Mouser")</f>
        <v>Mouser</v>
      </c>
      <c r="T11">
        <v>0.1</v>
      </c>
      <c r="U11">
        <f>PRODUCT(Tabla2[[#This Row],[Cantidad]],Tabla2[[#This Row],[Precio unitario(USD)]])</f>
        <v>0.1</v>
      </c>
      <c r="V11">
        <f>PRODUCT(Tabla2[[#This Row],[CantX$(USD)]],941.85)</f>
        <v>94.185000000000002</v>
      </c>
    </row>
    <row r="12" spans="1:22" x14ac:dyDescent="0.3">
      <c r="E12" t="s">
        <v>18</v>
      </c>
      <c r="G12">
        <v>1</v>
      </c>
      <c r="H12">
        <v>3</v>
      </c>
      <c r="N12" t="s">
        <v>15</v>
      </c>
      <c r="O12" t="s">
        <v>75</v>
      </c>
      <c r="P12" t="s">
        <v>63</v>
      </c>
      <c r="R12">
        <f>SUM(Tabla1[[#This Row],[Power Input(MAX15062AATA+T )]:[AS5600 ASOM]])</f>
        <v>4</v>
      </c>
      <c r="S12" s="1" t="str">
        <f>HYPERLINK("https://mou.sr/4oCNLrW","Mouser")</f>
        <v>Mouser</v>
      </c>
      <c r="T12">
        <v>0.42</v>
      </c>
      <c r="U12">
        <f>PRODUCT(Tabla2[[#This Row],[Cantidad]],Tabla2[[#This Row],[Precio unitario(USD)]])</f>
        <v>1.68</v>
      </c>
      <c r="V12">
        <f>PRODUCT(Tabla2[[#This Row],[CantX$(USD)]],941.85)</f>
        <v>1582.308</v>
      </c>
    </row>
    <row r="13" spans="1:22" x14ac:dyDescent="0.3">
      <c r="E13" t="s">
        <v>19</v>
      </c>
      <c r="G13">
        <v>1</v>
      </c>
      <c r="N13" t="s">
        <v>17</v>
      </c>
      <c r="O13" t="s">
        <v>76</v>
      </c>
      <c r="P13" t="s">
        <v>63</v>
      </c>
      <c r="R13">
        <f>SUM(Tabla1[[#This Row],[Power Input(MAX15062AATA+T )]:[AS5600 ASOM]])</f>
        <v>1</v>
      </c>
      <c r="S13" s="1" t="str">
        <f>HYPERLINK("https://mou.sr/43ubkLk","Mouser")</f>
        <v>Mouser</v>
      </c>
      <c r="T13">
        <v>0.24</v>
      </c>
      <c r="U13">
        <f>PRODUCT(Tabla2[[#This Row],[Cantidad]],Tabla2[[#This Row],[Precio unitario(USD)]])</f>
        <v>0.24</v>
      </c>
      <c r="V13">
        <f>PRODUCT(Tabla2[[#This Row],[CantX$(USD)]],941.85)</f>
        <v>226.04400000000001</v>
      </c>
    </row>
    <row r="14" spans="1:22" x14ac:dyDescent="0.3">
      <c r="E14" t="s">
        <v>22</v>
      </c>
      <c r="G14">
        <v>2</v>
      </c>
      <c r="N14" t="s">
        <v>74</v>
      </c>
      <c r="O14" t="s">
        <v>72</v>
      </c>
      <c r="P14" t="s">
        <v>63</v>
      </c>
      <c r="R14">
        <f>SUM(Tabla1[[#This Row],[Power Input(MAX15062AATA+T )]:[AS5600 ASOM]])</f>
        <v>2</v>
      </c>
      <c r="S14" s="1" t="str">
        <f>HYPERLINK("https://mou.sr/3JzqjNg","Mouser")</f>
        <v>Mouser</v>
      </c>
      <c r="T14">
        <v>0.34</v>
      </c>
      <c r="U14">
        <f>PRODUCT(Tabla2[[#This Row],[Cantidad]],Tabla2[[#This Row],[Precio unitario(USD)]])</f>
        <v>0.68</v>
      </c>
      <c r="V14">
        <f>PRODUCT(Tabla2[[#This Row],[CantX$(USD)]],941.85)</f>
        <v>640.45800000000008</v>
      </c>
    </row>
    <row r="15" spans="1:22" x14ac:dyDescent="0.3">
      <c r="E15" t="s">
        <v>20</v>
      </c>
      <c r="H15">
        <v>6</v>
      </c>
      <c r="N15" t="s">
        <v>18</v>
      </c>
      <c r="O15" t="s">
        <v>56</v>
      </c>
      <c r="P15" t="s">
        <v>63</v>
      </c>
      <c r="R15">
        <f>SUM(Tabla1[[#This Row],[Power Input(MAX15062AATA+T )]:[AS5600 ASOM]])</f>
        <v>6</v>
      </c>
      <c r="S15" s="1" t="str">
        <f>HYPERLINK("https://mou.sr/47GKd25","Mouser")</f>
        <v>Mouser</v>
      </c>
      <c r="T15">
        <v>0.16</v>
      </c>
      <c r="U15">
        <f>PRODUCT(Tabla2[[#This Row],[Cantidad]],Tabla2[[#This Row],[Precio unitario(USD)]])</f>
        <v>0.96</v>
      </c>
      <c r="V15">
        <f>PRODUCT(Tabla2[[#This Row],[CantX$(USD)]],941.85)</f>
        <v>904.17600000000004</v>
      </c>
    </row>
    <row r="16" spans="1:22" x14ac:dyDescent="0.3">
      <c r="E16" t="s">
        <v>21</v>
      </c>
      <c r="H16">
        <v>3</v>
      </c>
      <c r="N16" t="s">
        <v>29</v>
      </c>
      <c r="O16" t="s">
        <v>78</v>
      </c>
      <c r="P16" t="s">
        <v>63</v>
      </c>
      <c r="R16">
        <v>12</v>
      </c>
      <c r="S16" s="1" t="str">
        <f>HYPERLINK("https://mou.sr/3WUpj9x","Mouser")</f>
        <v>Mouser</v>
      </c>
      <c r="T16">
        <v>0.8</v>
      </c>
      <c r="U16">
        <f>PRODUCT(Tabla2[[#This Row],[Cantidad]],Tabla2[[#This Row],[Precio unitario(USD)]])</f>
        <v>9.6000000000000014</v>
      </c>
      <c r="V16">
        <f>PRODUCT(Tabla2[[#This Row],[CantX$(USD)]],941.85)</f>
        <v>9041.760000000002</v>
      </c>
    </row>
    <row r="17" spans="5:22" x14ac:dyDescent="0.3">
      <c r="E17" t="s">
        <v>23</v>
      </c>
      <c r="H17">
        <v>3</v>
      </c>
      <c r="N17" t="s">
        <v>32</v>
      </c>
      <c r="Q17" t="s">
        <v>63</v>
      </c>
      <c r="R17">
        <f>SUM(Tabla1[[#This Row],[Power Input(MAX15062AATA+T )]:[AS5600 ASOM]])</f>
        <v>3</v>
      </c>
      <c r="S17" s="2" t="str">
        <f>HYPERLINK("https://mou.sr/4qt9N1T","Mouser")</f>
        <v>Mouser</v>
      </c>
      <c r="T17">
        <v>0.1</v>
      </c>
      <c r="U17">
        <f>PRODUCT(Tabla2[[#This Row],[Cantidad]],Tabla2[[#This Row],[Precio unitario(USD)]])</f>
        <v>0.30000000000000004</v>
      </c>
      <c r="V17">
        <f>PRODUCT(Tabla2[[#This Row],[CantX$(USD)]],941.85)</f>
        <v>282.55500000000006</v>
      </c>
    </row>
    <row r="18" spans="5:22" x14ac:dyDescent="0.3">
      <c r="E18" t="s">
        <v>24</v>
      </c>
      <c r="I18">
        <v>3</v>
      </c>
      <c r="N18" t="s">
        <v>35</v>
      </c>
      <c r="R18">
        <f>SUM(Tabla1[[#This Row],[Power Input(MAX15062AATA+T )]:[AS5600 ASOM]])</f>
        <v>3</v>
      </c>
      <c r="S18" s="1" t="str">
        <f>HYPERLINK("https://mou.sr/4qpAEMl","Mouser")</f>
        <v>Mouser</v>
      </c>
      <c r="T18" s="4">
        <v>1.59</v>
      </c>
      <c r="U18">
        <f>PRODUCT(Tabla2[[#This Row],[Cantidad]],Tabla2[[#This Row],[Precio unitario(USD)]])</f>
        <v>4.7700000000000005</v>
      </c>
      <c r="V18">
        <f>PRODUCT(Tabla2[[#This Row],[CantX$(USD)]],941.85)</f>
        <v>4492.6245000000008</v>
      </c>
    </row>
    <row r="19" spans="5:22" x14ac:dyDescent="0.3">
      <c r="E19" t="s">
        <v>25</v>
      </c>
      <c r="I19">
        <v>3</v>
      </c>
      <c r="N19" t="s">
        <v>36</v>
      </c>
      <c r="R19">
        <f>SUM(Tabla1[[#This Row],[Power Input(MAX15062AATA+T )]:[AS5600 ASOM]])</f>
        <v>3</v>
      </c>
      <c r="S19" s="1" t="str">
        <f>HYPERLINK("https://mou.sr/3Wle1em","Mouser")</f>
        <v>Mouser</v>
      </c>
      <c r="T19">
        <v>0.34</v>
      </c>
      <c r="U19">
        <f>PRODUCT(Tabla2[[#This Row],[Cantidad]],Tabla2[[#This Row],[Precio unitario(USD)]])</f>
        <v>1.02</v>
      </c>
      <c r="V19">
        <f>PRODUCT(Tabla2[[#This Row],[CantX$(USD)]],941.85)</f>
        <v>960.68700000000001</v>
      </c>
    </row>
    <row r="20" spans="5:22" x14ac:dyDescent="0.3">
      <c r="E20" t="s">
        <v>26</v>
      </c>
      <c r="J20">
        <v>2</v>
      </c>
      <c r="N20" t="s">
        <v>21</v>
      </c>
      <c r="P20" t="s">
        <v>63</v>
      </c>
      <c r="R20">
        <f>SUM(Tabla1[[#This Row],[Power Input(MAX15062AATA+T )]:[AS5600 ASOM]])</f>
        <v>2</v>
      </c>
      <c r="S20" s="1" t="str">
        <f>HYPERLINK("https://mou.sr/47oFwIR","Mouser")</f>
        <v>Mouser</v>
      </c>
      <c r="T20">
        <v>0.6</v>
      </c>
      <c r="U20">
        <f>PRODUCT(Tabla2[[#This Row],[Cantidad]],Tabla2[[#This Row],[Precio unitario(USD)]])</f>
        <v>1.2</v>
      </c>
      <c r="V20">
        <f>PRODUCT(Tabla2[[#This Row],[CantX$(USD)]],941.85)</f>
        <v>1130.22</v>
      </c>
    </row>
    <row r="21" spans="5:22" x14ac:dyDescent="0.3">
      <c r="E21" t="s">
        <v>27</v>
      </c>
      <c r="J21">
        <v>2</v>
      </c>
      <c r="N21" t="s">
        <v>22</v>
      </c>
      <c r="O21" t="s">
        <v>80</v>
      </c>
      <c r="P21" t="s">
        <v>63</v>
      </c>
      <c r="R21">
        <f>SUM(Tabla1[[#This Row],[Power Input(MAX15062AATA+T )]:[AS5600 ASOM]])</f>
        <v>2</v>
      </c>
      <c r="S21" s="2" t="s">
        <v>81</v>
      </c>
      <c r="T21">
        <v>0.18</v>
      </c>
      <c r="U21">
        <f>PRODUCT(Tabla2[[#This Row],[Cantidad]],Tabla2[[#This Row],[Precio unitario(USD)]])</f>
        <v>0.36</v>
      </c>
      <c r="V21">
        <f>PRODUCT(Tabla2[[#This Row],[CantX$(USD)]],941.85)</f>
        <v>339.06599999999997</v>
      </c>
    </row>
    <row r="22" spans="5:22" x14ac:dyDescent="0.3">
      <c r="E22" t="s">
        <v>29</v>
      </c>
      <c r="K22">
        <v>12</v>
      </c>
      <c r="N22" t="s">
        <v>24</v>
      </c>
      <c r="O22" t="s">
        <v>85</v>
      </c>
      <c r="P22" t="s">
        <v>63</v>
      </c>
      <c r="R22">
        <f>SUM(Tabla1[[#This Row],[Power Input(MAX15062AATA+T )]:[AS5600 ASOM]])</f>
        <v>12</v>
      </c>
      <c r="S22" s="1" t="str">
        <f>HYPERLINK("https://mou.sr/47bBWDf","Mouser")</f>
        <v>Mouser</v>
      </c>
      <c r="T22">
        <v>0.15</v>
      </c>
      <c r="U22">
        <f>PRODUCT(Tabla2[[#This Row],[Cantidad]],Tabla2[[#This Row],[Precio unitario(USD)]])</f>
        <v>1.7999999999999998</v>
      </c>
      <c r="V22">
        <f>PRODUCT(Tabla2[[#This Row],[CantX$(USD)]],941.85)</f>
        <v>1695.33</v>
      </c>
    </row>
    <row r="23" spans="5:22" x14ac:dyDescent="0.3">
      <c r="E23" t="s">
        <v>31</v>
      </c>
      <c r="L23">
        <v>1</v>
      </c>
      <c r="N23" t="s">
        <v>26</v>
      </c>
      <c r="O23" t="s">
        <v>89</v>
      </c>
      <c r="P23" t="s">
        <v>63</v>
      </c>
      <c r="R23">
        <f>SUM(Tabla1[[#This Row],[Power Input(MAX15062AATA+T )]:[AS5600 ASOM]])</f>
        <v>1</v>
      </c>
      <c r="S23" s="1" t="str">
        <f>HYPERLINK("https://mou.sr/48K3Qr8","Mouser")</f>
        <v>Mouser</v>
      </c>
      <c r="T23">
        <v>0.23</v>
      </c>
      <c r="U23">
        <f>PRODUCT(Tabla2[[#This Row],[Cantidad]],Tabla2[[#This Row],[Precio unitario(USD)]])</f>
        <v>0.23</v>
      </c>
      <c r="V23">
        <f>PRODUCT(Tabla2[[#This Row],[CantX$(USD)]],941.85)</f>
        <v>216.62550000000002</v>
      </c>
    </row>
    <row r="24" spans="5:22" x14ac:dyDescent="0.3">
      <c r="E24" t="s">
        <v>32</v>
      </c>
      <c r="F24">
        <v>1</v>
      </c>
      <c r="L24">
        <v>1</v>
      </c>
      <c r="N24" t="s">
        <v>40</v>
      </c>
      <c r="O24" t="s">
        <v>90</v>
      </c>
      <c r="P24" t="s">
        <v>63</v>
      </c>
      <c r="R24">
        <f>SUM(Tabla1[[#This Row],[Power Input(MAX15062AATA+T )]:[AS5600 ASOM]])</f>
        <v>2</v>
      </c>
      <c r="S24" s="1" t="str">
        <f>HYPERLINK("https://mou.sr/47slRYu","Mouser")</f>
        <v>Mouser</v>
      </c>
      <c r="T24">
        <v>0.41</v>
      </c>
      <c r="U24">
        <f>PRODUCT(Tabla2[[#This Row],[Cantidad]],Tabla2[[#This Row],[Precio unitario(USD)]])</f>
        <v>0.82</v>
      </c>
      <c r="V24">
        <f>PRODUCT(Tabla2[[#This Row],[CantX$(USD)]],941.85)</f>
        <v>772.31700000000001</v>
      </c>
    </row>
    <row r="25" spans="5:22" x14ac:dyDescent="0.3">
      <c r="E25" t="s">
        <v>33</v>
      </c>
      <c r="L25">
        <v>2</v>
      </c>
      <c r="N25" t="s">
        <v>33</v>
      </c>
      <c r="Q25" t="s">
        <v>63</v>
      </c>
      <c r="R25">
        <f>SUM(Tabla1[[#This Row],[Power Input(MAX15062AATA+T )]:[AS5600 ASOM]])</f>
        <v>2</v>
      </c>
      <c r="S25" s="1" t="str">
        <f>HYPERLINK("https://mou.sr/47cQYJ1","Mouser")</f>
        <v>Mouser</v>
      </c>
      <c r="T25">
        <v>0.32</v>
      </c>
      <c r="U25">
        <f>PRODUCT(Tabla2[[#This Row],[Cantidad]],Tabla2[[#This Row],[Precio unitario(USD)]])</f>
        <v>0.64</v>
      </c>
      <c r="V25">
        <f>PRODUCT(Tabla2[[#This Row],[CantX$(USD)]],941.85)</f>
        <v>602.78399999999999</v>
      </c>
    </row>
    <row r="26" spans="5:22" x14ac:dyDescent="0.3">
      <c r="V26" s="3"/>
    </row>
    <row r="27" spans="5:22" x14ac:dyDescent="0.3">
      <c r="R27" s="6"/>
    </row>
  </sheetData>
  <hyperlinks>
    <hyperlink ref="S21" r:id="rId1" xr:uid="{155DAB3D-C7B6-4D36-AC1F-62B6A9BEF3AD}"/>
  </hyperlinks>
  <pageMargins left="0.7" right="0.7" top="0.75" bottom="0.75" header="0.3" footer="0.3"/>
  <pageSetup paperSize="9" orientation="portrait" verticalDpi="0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AD98-4A51-48B0-BAE4-039E551A8C8C}">
  <dimension ref="B2:I36"/>
  <sheetViews>
    <sheetView tabSelected="1" topLeftCell="A27" workbookViewId="0">
      <selection activeCell="B37" sqref="B37"/>
    </sheetView>
  </sheetViews>
  <sheetFormatPr baseColWidth="10" defaultRowHeight="14.4" x14ac:dyDescent="0.3"/>
  <cols>
    <col min="2" max="2" width="16.88671875" bestFit="1" customWidth="1"/>
    <col min="3" max="3" width="12.109375" customWidth="1"/>
    <col min="4" max="4" width="20.109375" bestFit="1" customWidth="1"/>
    <col min="5" max="5" width="11.5546875" bestFit="1" customWidth="1"/>
  </cols>
  <sheetData>
    <row r="2" spans="2:9" ht="25.8" x14ac:dyDescent="0.5">
      <c r="B2" s="7" t="s">
        <v>45</v>
      </c>
      <c r="C2" s="7"/>
      <c r="D2" s="8"/>
      <c r="E2" s="8"/>
      <c r="F2" s="8"/>
    </row>
    <row r="5" spans="2:9" x14ac:dyDescent="0.3">
      <c r="B5" s="5" t="s">
        <v>47</v>
      </c>
      <c r="I5" s="5" t="s">
        <v>48</v>
      </c>
    </row>
    <row r="6" spans="2:9" x14ac:dyDescent="0.3">
      <c r="B6" t="s">
        <v>53</v>
      </c>
      <c r="C6" t="s">
        <v>62</v>
      </c>
      <c r="D6" t="s">
        <v>57</v>
      </c>
      <c r="E6" t="s">
        <v>37</v>
      </c>
    </row>
    <row r="7" spans="2:9" x14ac:dyDescent="0.3">
      <c r="B7" t="s">
        <v>58</v>
      </c>
      <c r="D7" t="s">
        <v>54</v>
      </c>
      <c r="E7">
        <v>2</v>
      </c>
    </row>
    <row r="8" spans="2:9" x14ac:dyDescent="0.3">
      <c r="B8" t="s">
        <v>59</v>
      </c>
      <c r="C8" t="s">
        <v>68</v>
      </c>
      <c r="D8" t="s">
        <v>55</v>
      </c>
      <c r="E8">
        <v>1</v>
      </c>
    </row>
    <row r="9" spans="2:9" x14ac:dyDescent="0.3">
      <c r="B9" t="s">
        <v>60</v>
      </c>
      <c r="C9" t="s">
        <v>67</v>
      </c>
      <c r="D9" t="s">
        <v>56</v>
      </c>
      <c r="E9">
        <v>1</v>
      </c>
    </row>
    <row r="10" spans="2:9" x14ac:dyDescent="0.3">
      <c r="B10" t="s">
        <v>61</v>
      </c>
      <c r="D10" t="s">
        <v>23</v>
      </c>
      <c r="E10">
        <v>1</v>
      </c>
      <c r="I10" s="5" t="s">
        <v>52</v>
      </c>
    </row>
    <row r="11" spans="2:9" x14ac:dyDescent="0.3">
      <c r="B11" s="5" t="s">
        <v>50</v>
      </c>
    </row>
    <row r="12" spans="2:9" x14ac:dyDescent="0.3">
      <c r="B12" t="s">
        <v>53</v>
      </c>
      <c r="C12" t="s">
        <v>62</v>
      </c>
      <c r="D12" t="s">
        <v>57</v>
      </c>
      <c r="E12" t="s">
        <v>37</v>
      </c>
    </row>
    <row r="13" spans="2:9" x14ac:dyDescent="0.3">
      <c r="B13" t="s">
        <v>58</v>
      </c>
      <c r="D13" t="s">
        <v>54</v>
      </c>
      <c r="E13">
        <v>2</v>
      </c>
    </row>
    <row r="14" spans="2:9" x14ac:dyDescent="0.3">
      <c r="B14" t="s">
        <v>59</v>
      </c>
      <c r="C14" t="s">
        <v>68</v>
      </c>
      <c r="D14" t="s">
        <v>55</v>
      </c>
      <c r="E14">
        <v>1</v>
      </c>
    </row>
    <row r="15" spans="2:9" x14ac:dyDescent="0.3">
      <c r="B15" t="s">
        <v>60</v>
      </c>
      <c r="C15" t="s">
        <v>67</v>
      </c>
      <c r="D15" t="s">
        <v>56</v>
      </c>
      <c r="E15">
        <v>1</v>
      </c>
    </row>
    <row r="16" spans="2:9" x14ac:dyDescent="0.3">
      <c r="B16" t="s">
        <v>61</v>
      </c>
      <c r="D16" t="s">
        <v>23</v>
      </c>
      <c r="E16">
        <v>1</v>
      </c>
    </row>
    <row r="17" spans="2:5" x14ac:dyDescent="0.3">
      <c r="B17" s="5" t="s">
        <v>51</v>
      </c>
    </row>
    <row r="18" spans="2:5" x14ac:dyDescent="0.3">
      <c r="B18" t="s">
        <v>53</v>
      </c>
      <c r="C18" t="s">
        <v>62</v>
      </c>
      <c r="D18" t="s">
        <v>57</v>
      </c>
      <c r="E18" t="s">
        <v>37</v>
      </c>
    </row>
    <row r="19" spans="2:5" x14ac:dyDescent="0.3">
      <c r="B19" t="s">
        <v>58</v>
      </c>
      <c r="D19" t="s">
        <v>54</v>
      </c>
      <c r="E19">
        <v>2</v>
      </c>
    </row>
    <row r="20" spans="2:5" x14ac:dyDescent="0.3">
      <c r="B20" t="s">
        <v>59</v>
      </c>
      <c r="C20" t="s">
        <v>68</v>
      </c>
      <c r="D20" t="s">
        <v>55</v>
      </c>
      <c r="E20">
        <v>1</v>
      </c>
    </row>
    <row r="21" spans="2:5" x14ac:dyDescent="0.3">
      <c r="B21" t="s">
        <v>60</v>
      </c>
      <c r="C21" t="s">
        <v>67</v>
      </c>
      <c r="D21" t="s">
        <v>56</v>
      </c>
      <c r="E21">
        <v>1</v>
      </c>
    </row>
    <row r="22" spans="2:5" x14ac:dyDescent="0.3">
      <c r="B22" t="s">
        <v>61</v>
      </c>
      <c r="D22" t="s">
        <v>23</v>
      </c>
      <c r="E22">
        <v>1</v>
      </c>
    </row>
    <row r="23" spans="2:5" x14ac:dyDescent="0.3">
      <c r="B23" s="5" t="s">
        <v>64</v>
      </c>
    </row>
    <row r="24" spans="2:5" x14ac:dyDescent="0.3">
      <c r="B24" t="s">
        <v>53</v>
      </c>
      <c r="C24" t="s">
        <v>62</v>
      </c>
      <c r="D24" t="s">
        <v>57</v>
      </c>
      <c r="E24" t="s">
        <v>37</v>
      </c>
    </row>
    <row r="25" spans="2:5" x14ac:dyDescent="0.3">
      <c r="B25" t="s">
        <v>65</v>
      </c>
      <c r="D25" t="s">
        <v>66</v>
      </c>
      <c r="E25">
        <v>1</v>
      </c>
    </row>
    <row r="26" spans="2:5" x14ac:dyDescent="0.3">
      <c r="B26" t="s">
        <v>60</v>
      </c>
      <c r="C26" t="s">
        <v>71</v>
      </c>
      <c r="D26" t="s">
        <v>82</v>
      </c>
      <c r="E26">
        <v>1</v>
      </c>
    </row>
    <row r="27" spans="2:5" x14ac:dyDescent="0.3">
      <c r="B27" t="s">
        <v>60</v>
      </c>
      <c r="C27" t="s">
        <v>69</v>
      </c>
      <c r="D27" t="s">
        <v>76</v>
      </c>
      <c r="E27">
        <v>1</v>
      </c>
    </row>
    <row r="28" spans="2:5" x14ac:dyDescent="0.3">
      <c r="B28" t="s">
        <v>60</v>
      </c>
      <c r="C28" t="s">
        <v>67</v>
      </c>
      <c r="D28" t="s">
        <v>56</v>
      </c>
      <c r="E28">
        <v>1</v>
      </c>
    </row>
    <row r="29" spans="2:5" x14ac:dyDescent="0.3">
      <c r="B29" t="s">
        <v>60</v>
      </c>
      <c r="C29" t="s">
        <v>73</v>
      </c>
      <c r="D29" t="s">
        <v>72</v>
      </c>
      <c r="E29">
        <v>2</v>
      </c>
    </row>
    <row r="30" spans="2:5" x14ac:dyDescent="0.3">
      <c r="B30" t="s">
        <v>59</v>
      </c>
      <c r="C30" t="s">
        <v>79</v>
      </c>
      <c r="D30" t="s">
        <v>80</v>
      </c>
      <c r="E30">
        <v>2</v>
      </c>
    </row>
    <row r="31" spans="2:5" x14ac:dyDescent="0.3">
      <c r="B31" t="s">
        <v>59</v>
      </c>
      <c r="C31" t="s">
        <v>87</v>
      </c>
      <c r="D31" t="s">
        <v>85</v>
      </c>
      <c r="E31">
        <v>3</v>
      </c>
    </row>
    <row r="32" spans="2:5" x14ac:dyDescent="0.3">
      <c r="B32" t="s">
        <v>60</v>
      </c>
      <c r="C32" t="s">
        <v>86</v>
      </c>
      <c r="D32" t="s">
        <v>84</v>
      </c>
      <c r="E32">
        <v>3</v>
      </c>
    </row>
    <row r="33" spans="2:5" x14ac:dyDescent="0.3">
      <c r="B33" s="5" t="s">
        <v>49</v>
      </c>
    </row>
    <row r="34" spans="2:5" x14ac:dyDescent="0.3">
      <c r="B34" t="s">
        <v>53</v>
      </c>
      <c r="C34" t="s">
        <v>62</v>
      </c>
      <c r="D34" t="s">
        <v>57</v>
      </c>
      <c r="E34" t="s">
        <v>37</v>
      </c>
    </row>
    <row r="35" spans="2:5" x14ac:dyDescent="0.3">
      <c r="B35" t="s">
        <v>60</v>
      </c>
      <c r="C35" t="s">
        <v>88</v>
      </c>
      <c r="D35" t="s">
        <v>78</v>
      </c>
      <c r="E35">
        <v>12</v>
      </c>
    </row>
    <row r="36" spans="2:5" x14ac:dyDescent="0.3">
      <c r="B36" s="5" t="s">
        <v>46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Revision Componentes</vt:lpstr>
      <vt:lpstr>C.phoenix-c1 por modulo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Moya Urquieta (Alumno)</dc:creator>
  <cp:lastModifiedBy>Rodrigo Sierra Loncochino (Alumno)</cp:lastModifiedBy>
  <dcterms:created xsi:type="dcterms:W3CDTF">2025-10-26T19:32:19Z</dcterms:created>
  <dcterms:modified xsi:type="dcterms:W3CDTF">2025-10-30T14:06:47Z</dcterms:modified>
</cp:coreProperties>
</file>