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Proposals\2020\UDWR-CompareUse\DataAnalysis\"/>
    </mc:Choice>
  </mc:AlternateContent>
  <xr:revisionPtr revIDLastSave="0" documentId="13_ncr:1_{95FAB26C-7FBB-4A22-8F2F-96D173CAC1D7}" xr6:coauthVersionLast="36" xr6:coauthVersionMax="45" xr10:uidLastSave="{00000000-0000-0000-0000-000000000000}"/>
  <bookViews>
    <workbookView xWindow="-110" yWindow="-110" windowWidth="19420" windowHeight="10420" activeTab="2" xr2:uid="{BFACC9B3-8EB9-482D-8FED-9A167256D50A}"/>
  </bookViews>
  <sheets>
    <sheet name="Sheet1" sheetId="1" r:id="rId1"/>
    <sheet name="Budget" sheetId="3" r:id="rId2"/>
    <sheet name="PercapitaWaterUse" sheetId="4" r:id="rId3"/>
    <sheet name="Goals" sheetId="2" r:id="rId4"/>
    <sheet name="SeasonalBar" sheetId="7" r:id="rId5"/>
    <sheet name="PercapitaWaterUse (2)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3" i="4" l="1"/>
  <c r="N4" i="6" l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3" i="6"/>
  <c r="M7" i="6"/>
  <c r="M8" i="6"/>
  <c r="M21" i="6"/>
  <c r="M10" i="6"/>
  <c r="M14" i="6"/>
  <c r="M16" i="6"/>
  <c r="M12" i="6"/>
  <c r="M13" i="6"/>
  <c r="M11" i="6"/>
  <c r="M4" i="6"/>
  <c r="M15" i="6"/>
  <c r="M20" i="6"/>
  <c r="M23" i="6"/>
  <c r="M3" i="6"/>
  <c r="M24" i="6"/>
  <c r="M9" i="6"/>
  <c r="M6" i="6"/>
  <c r="M25" i="6"/>
  <c r="M18" i="6"/>
  <c r="M19" i="6"/>
  <c r="M5" i="6"/>
  <c r="M17" i="6"/>
  <c r="M22" i="6"/>
  <c r="L7" i="6"/>
  <c r="L8" i="6"/>
  <c r="L21" i="6"/>
  <c r="L10" i="6"/>
  <c r="L14" i="6"/>
  <c r="L16" i="6"/>
  <c r="L12" i="6"/>
  <c r="L13" i="6"/>
  <c r="L11" i="6"/>
  <c r="L4" i="6"/>
  <c r="L15" i="6"/>
  <c r="L20" i="6"/>
  <c r="L23" i="6"/>
  <c r="L3" i="6"/>
  <c r="L24" i="6"/>
  <c r="L9" i="6"/>
  <c r="L6" i="6"/>
  <c r="L25" i="6"/>
  <c r="L18" i="6"/>
  <c r="L19" i="6"/>
  <c r="L5" i="6"/>
  <c r="L17" i="6"/>
  <c r="L22" i="6"/>
  <c r="F3" i="6"/>
  <c r="E4" i="6"/>
  <c r="E26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3" i="6"/>
  <c r="E27" i="6"/>
  <c r="D26" i="6"/>
  <c r="D27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3" i="6"/>
  <c r="A29" i="6"/>
  <c r="C26" i="6"/>
  <c r="C27" i="6" s="1"/>
  <c r="B26" i="6"/>
  <c r="B27" i="6" s="1"/>
  <c r="F3" i="4"/>
  <c r="S6" i="4" l="1"/>
  <c r="S5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3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A29" i="4"/>
  <c r="C26" i="4"/>
  <c r="C27" i="4" s="1"/>
  <c r="B26" i="4"/>
  <c r="B27" i="4" s="1"/>
  <c r="D7" i="4"/>
  <c r="D20" i="4"/>
  <c r="D8" i="4"/>
  <c r="D26" i="4"/>
  <c r="D27" i="4" s="1"/>
  <c r="D16" i="4"/>
  <c r="D12" i="4"/>
  <c r="D23" i="4"/>
  <c r="D10" i="4"/>
  <c r="D11" i="4"/>
  <c r="D18" i="4"/>
  <c r="D15" i="4"/>
  <c r="D24" i="4"/>
  <c r="D4" i="4"/>
  <c r="D14" i="4"/>
  <c r="D13" i="4"/>
  <c r="D6" i="4"/>
  <c r="D19" i="4"/>
  <c r="D25" i="4"/>
  <c r="D17" i="4"/>
  <c r="D9" i="4"/>
  <c r="D22" i="4"/>
  <c r="D21" i="4"/>
  <c r="N15" i="3"/>
  <c r="N14" i="3"/>
  <c r="M7" i="3"/>
  <c r="F13" i="3"/>
  <c r="E13" i="3"/>
  <c r="D13" i="3"/>
  <c r="C13" i="3"/>
  <c r="B13" i="3"/>
  <c r="G4" i="3"/>
  <c r="G11" i="3"/>
  <c r="G8" i="3"/>
  <c r="G12" i="3"/>
  <c r="G7" i="3"/>
  <c r="G9" i="3"/>
  <c r="G5" i="3"/>
  <c r="G6" i="3"/>
  <c r="G10" i="3"/>
  <c r="A14" i="2"/>
  <c r="B26" i="1"/>
  <c r="C26" i="1"/>
  <c r="D26" i="1"/>
  <c r="E26" i="1"/>
  <c r="B25" i="1"/>
  <c r="C25" i="1"/>
  <c r="D25" i="1"/>
  <c r="E25" i="1"/>
  <c r="C24" i="1"/>
  <c r="D24" i="1"/>
  <c r="E24" i="1"/>
  <c r="B24" i="1"/>
  <c r="G13" i="3" l="1"/>
  <c r="G6" i="1"/>
  <c r="G7" i="1"/>
  <c r="G8" i="1"/>
  <c r="G9" i="1"/>
  <c r="G10" i="1"/>
  <c r="G11" i="1"/>
  <c r="G12" i="1"/>
  <c r="G13" i="1"/>
  <c r="G5" i="1"/>
  <c r="C14" i="1"/>
  <c r="G14" i="1" s="1"/>
  <c r="D14" i="1"/>
  <c r="E14" i="1"/>
  <c r="F14" i="1"/>
  <c r="B14" i="1"/>
</calcChain>
</file>

<file path=xl/sharedStrings.xml><?xml version="1.0" encoding="utf-8"?>
<sst xmlns="http://schemas.openxmlformats.org/spreadsheetml/2006/main" count="135" uniqueCount="67">
  <si>
    <t>Water Banking</t>
  </si>
  <si>
    <t>Bear River Development</t>
  </si>
  <si>
    <t>Irrigation Delivery</t>
  </si>
  <si>
    <t>State Committees</t>
  </si>
  <si>
    <t>Conservation</t>
  </si>
  <si>
    <t>Local Outreach</t>
  </si>
  <si>
    <t>Other</t>
  </si>
  <si>
    <t>Total</t>
  </si>
  <si>
    <t>Aquifer Storage and Recovery</t>
  </si>
  <si>
    <t>Table 6.2</t>
  </si>
  <si>
    <t>Multi-jurisdictional Secondary Water</t>
  </si>
  <si>
    <t>Bear River</t>
  </si>
  <si>
    <t>Bear River - aggressive</t>
  </si>
  <si>
    <t>Bear River - follow current trend</t>
  </si>
  <si>
    <t>Utah Division of Water Resources - Regional Conservation Plan (Adapted from Tables 4-10 and 4-11)</t>
  </si>
  <si>
    <t>Bear River - Table 5-4</t>
  </si>
  <si>
    <t>Green River</t>
  </si>
  <si>
    <t>Lower Colorado North</t>
  </si>
  <si>
    <t>Lower Colorado South</t>
  </si>
  <si>
    <t>Provo River</t>
  </si>
  <si>
    <t>Salt Lake</t>
  </si>
  <si>
    <t>Sevier River</t>
  </si>
  <si>
    <t>Upper Colorado</t>
  </si>
  <si>
    <t>Weber River</t>
  </si>
  <si>
    <t>Statewide</t>
  </si>
  <si>
    <t>Region</t>
  </si>
  <si>
    <t>2015 Baseline (gpcd)</t>
  </si>
  <si>
    <t>Strategy</t>
  </si>
  <si>
    <t>(2020 to 2024)</t>
  </si>
  <si>
    <t>Agency</t>
  </si>
  <si>
    <t>Fort Collins, CO</t>
  </si>
  <si>
    <t>Denver, CO</t>
  </si>
  <si>
    <t>San Antonio, TX</t>
  </si>
  <si>
    <t>Scottsdale, AZ</t>
  </si>
  <si>
    <t>Tacoma, WA</t>
  </si>
  <si>
    <t>Aurora, CO</t>
  </si>
  <si>
    <t>Austin, TX</t>
  </si>
  <si>
    <t>Chicago, IL</t>
  </si>
  <si>
    <t>Henderson, NV</t>
  </si>
  <si>
    <t>Miami-Dade, FL</t>
  </si>
  <si>
    <t>Philadelphia, PA</t>
  </si>
  <si>
    <t>Portland, OR</t>
  </si>
  <si>
    <t>Santa Barbara, CA</t>
  </si>
  <si>
    <t>Minimum</t>
  </si>
  <si>
    <t>Maximum</t>
  </si>
  <si>
    <t>Clayton County, GA</t>
  </si>
  <si>
    <t>Peel, Ontario, CAN</t>
  </si>
  <si>
    <t>Toho, FL</t>
  </si>
  <si>
    <t>Waterloo, Ontario, CAN</t>
  </si>
  <si>
    <t>Cary, NC</t>
  </si>
  <si>
    <t>Mountain, CA</t>
  </si>
  <si>
    <t>Otay, CA</t>
  </si>
  <si>
    <t>Santa Fe, NM</t>
  </si>
  <si>
    <t>Total Annual Average (gallons per capita per day)</t>
  </si>
  <si>
    <t>% Reduction from 304 gallons per capita per day</t>
  </si>
  <si>
    <t>Non-Seasonal Annual Average (gallons per capita per day)</t>
  </si>
  <si>
    <t>Edmonton, AB, CAN</t>
  </si>
  <si>
    <t>Connecticut Regional</t>
  </si>
  <si>
    <t>Season (Outdoor) Annual Average (gallons per capita per day)</t>
  </si>
  <si>
    <t>Seasonal fraction (% of total)</t>
  </si>
  <si>
    <t>Seasonal (kgal)</t>
  </si>
  <si>
    <t>Non-Seasonal (kgal)</t>
  </si>
  <si>
    <t>Seasonal (% of total)</t>
  </si>
  <si>
    <t>Total (kgal)</t>
  </si>
  <si>
    <t>Agency (% Seasonal)</t>
  </si>
  <si>
    <t>UseCity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</si>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</sst>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3" applyFont="1"/>
    <xf numFmtId="9" fontId="0" fillId="0" borderId="0" xfId="3" applyNumberFormat="1" applyFont="1"/>
    <xf numFmtId="9" fontId="0" fillId="0" borderId="0" xfId="0" applyNumberFormat="1"/>
    <xf numFmtId="0" fontId="2" fillId="0" borderId="0" xfId="0" applyFont="1"/>
    <xf numFmtId="0" fontId="0" fillId="0" borderId="1" xfId="0" applyBorder="1"/>
    <xf numFmtId="165" fontId="0" fillId="0" borderId="1" xfId="2" applyNumberFormat="1" applyFont="1" applyBorder="1"/>
    <xf numFmtId="0" fontId="2" fillId="0" borderId="1" xfId="0" applyFont="1" applyBorder="1"/>
    <xf numFmtId="165" fontId="2" fillId="0" borderId="1" xfId="2" applyNumberFormat="1" applyFont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2" borderId="4" xfId="0" applyFont="1" applyFill="1" applyBorder="1" applyAlignment="1">
      <alignment wrapText="1"/>
    </xf>
    <xf numFmtId="165" fontId="0" fillId="0" borderId="3" xfId="2" applyNumberFormat="1" applyFont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3" applyFont="1" applyBorder="1" applyAlignment="1">
      <alignment horizontal="center"/>
    </xf>
    <xf numFmtId="0" fontId="0" fillId="3" borderId="1" xfId="0" applyFill="1" applyBorder="1"/>
    <xf numFmtId="1" fontId="0" fillId="3" borderId="1" xfId="3" applyNumberFormat="1" applyFont="1" applyFill="1" applyBorder="1" applyAlignment="1">
      <alignment horizontal="center"/>
    </xf>
    <xf numFmtId="9" fontId="0" fillId="3" borderId="1" xfId="3" applyFont="1" applyFill="1" applyBorder="1" applyAlignment="1">
      <alignment horizontal="center"/>
    </xf>
    <xf numFmtId="14" fontId="0" fillId="0" borderId="0" xfId="0" applyNumberFormat="1"/>
    <xf numFmtId="1" fontId="0" fillId="0" borderId="1" xfId="3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823073945025163"/>
          <c:y val="1.4821053024677743E-2"/>
          <c:w val="0.66533735005757966"/>
          <c:h val="0.886394347587748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'PercapitaWaterUse (2)'!$J$2</c:f>
              <c:strCache>
                <c:ptCount val="1"/>
                <c:pt idx="0">
                  <c:v>Seasonal (kgal)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'PercapitaWaterUse (2)'!$N$3:$N$25</c:f>
              <c:strCache>
                <c:ptCount val="23"/>
                <c:pt idx="0">
                  <c:v>Henderson, NV (58%)</c:v>
                </c:pt>
                <c:pt idx="1">
                  <c:v>Austin, TX (55%)</c:v>
                </c:pt>
                <c:pt idx="2">
                  <c:v>Santa Barbara, CA (54%)</c:v>
                </c:pt>
                <c:pt idx="3">
                  <c:v>Otay, CA (54%)</c:v>
                </c:pt>
                <c:pt idx="4">
                  <c:v>Denver, CO (53%)</c:v>
                </c:pt>
                <c:pt idx="5">
                  <c:v>Fort Collins, CO (50%)</c:v>
                </c:pt>
                <c:pt idx="6">
                  <c:v>Mountain, CA (45%)</c:v>
                </c:pt>
                <c:pt idx="7">
                  <c:v>San Antonio, TX (41%)</c:v>
                </c:pt>
                <c:pt idx="8">
                  <c:v>Aurora, CO (40%)</c:v>
                </c:pt>
                <c:pt idx="9">
                  <c:v>Toho, FL (35%)</c:v>
                </c:pt>
                <c:pt idx="10">
                  <c:v>Waterloo, Ontario, CAN (29%)</c:v>
                </c:pt>
                <c:pt idx="11">
                  <c:v>Scottsdale, AZ (26%)</c:v>
                </c:pt>
                <c:pt idx="12">
                  <c:v>Cary, NC (26%)</c:v>
                </c:pt>
                <c:pt idx="13">
                  <c:v>Tacoma, WA (25%)</c:v>
                </c:pt>
                <c:pt idx="14">
                  <c:v>Santa Fe, NM (23%)</c:v>
                </c:pt>
                <c:pt idx="15">
                  <c:v>Portland, OR (19%)</c:v>
                </c:pt>
                <c:pt idx="16">
                  <c:v>Edmonton, AB, CAN (15%)</c:v>
                </c:pt>
                <c:pt idx="17">
                  <c:v>Chicago, IL (13%)</c:v>
                </c:pt>
                <c:pt idx="18">
                  <c:v>Peel, Ontario, CAN (13%)</c:v>
                </c:pt>
                <c:pt idx="19">
                  <c:v>Clayton County, GA (10%)</c:v>
                </c:pt>
                <c:pt idx="20">
                  <c:v>Connecticut Regional (9%)</c:v>
                </c:pt>
                <c:pt idx="21">
                  <c:v>Miami-Dade, FL (8%)</c:v>
                </c:pt>
                <c:pt idx="22">
                  <c:v>Philadelphia, PA (7%)</c:v>
                </c:pt>
              </c:strCache>
            </c:strRef>
          </c:cat>
          <c:val>
            <c:numRef>
              <c:f>'PercapitaWaterUse (2)'!$J$3:$J$25</c:f>
              <c:numCache>
                <c:formatCode>General</c:formatCode>
                <c:ptCount val="23"/>
                <c:pt idx="0">
                  <c:v>83</c:v>
                </c:pt>
                <c:pt idx="1">
                  <c:v>51</c:v>
                </c:pt>
                <c:pt idx="2">
                  <c:v>51</c:v>
                </c:pt>
                <c:pt idx="3">
                  <c:v>68</c:v>
                </c:pt>
                <c:pt idx="4">
                  <c:v>63</c:v>
                </c:pt>
                <c:pt idx="5">
                  <c:v>52</c:v>
                </c:pt>
                <c:pt idx="6">
                  <c:v>37</c:v>
                </c:pt>
                <c:pt idx="7">
                  <c:v>43</c:v>
                </c:pt>
                <c:pt idx="8">
                  <c:v>39</c:v>
                </c:pt>
                <c:pt idx="9">
                  <c:v>31</c:v>
                </c:pt>
                <c:pt idx="10">
                  <c:v>19</c:v>
                </c:pt>
                <c:pt idx="11">
                  <c:v>46</c:v>
                </c:pt>
                <c:pt idx="12">
                  <c:v>18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11</c:v>
                </c:pt>
                <c:pt idx="19">
                  <c:v>6</c:v>
                </c:pt>
                <c:pt idx="20">
                  <c:v>5</c:v>
                </c:pt>
                <c:pt idx="21">
                  <c:v>7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F-4DF3-A9B4-04F45A44E328}"/>
            </c:ext>
          </c:extLst>
        </c:ser>
        <c:ser>
          <c:idx val="1"/>
          <c:order val="1"/>
          <c:tx>
            <c:strRef>
              <c:f>'PercapitaWaterUse (2)'!$K$2</c:f>
              <c:strCache>
                <c:ptCount val="1"/>
                <c:pt idx="0">
                  <c:v>Non-Seasonal (kgal)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'PercapitaWaterUse (2)'!$N$3:$N$25</c:f>
              <c:strCache>
                <c:ptCount val="23"/>
                <c:pt idx="0">
                  <c:v>Henderson, NV (58%)</c:v>
                </c:pt>
                <c:pt idx="1">
                  <c:v>Austin, TX (55%)</c:v>
                </c:pt>
                <c:pt idx="2">
                  <c:v>Santa Barbara, CA (54%)</c:v>
                </c:pt>
                <c:pt idx="3">
                  <c:v>Otay, CA (54%)</c:v>
                </c:pt>
                <c:pt idx="4">
                  <c:v>Denver, CO (53%)</c:v>
                </c:pt>
                <c:pt idx="5">
                  <c:v>Fort Collins, CO (50%)</c:v>
                </c:pt>
                <c:pt idx="6">
                  <c:v>Mountain, CA (45%)</c:v>
                </c:pt>
                <c:pt idx="7">
                  <c:v>San Antonio, TX (41%)</c:v>
                </c:pt>
                <c:pt idx="8">
                  <c:v>Aurora, CO (40%)</c:v>
                </c:pt>
                <c:pt idx="9">
                  <c:v>Toho, FL (35%)</c:v>
                </c:pt>
                <c:pt idx="10">
                  <c:v>Waterloo, Ontario, CAN (29%)</c:v>
                </c:pt>
                <c:pt idx="11">
                  <c:v>Scottsdale, AZ (26%)</c:v>
                </c:pt>
                <c:pt idx="12">
                  <c:v>Cary, NC (26%)</c:v>
                </c:pt>
                <c:pt idx="13">
                  <c:v>Tacoma, WA (25%)</c:v>
                </c:pt>
                <c:pt idx="14">
                  <c:v>Santa Fe, NM (23%)</c:v>
                </c:pt>
                <c:pt idx="15">
                  <c:v>Portland, OR (19%)</c:v>
                </c:pt>
                <c:pt idx="16">
                  <c:v>Edmonton, AB, CAN (15%)</c:v>
                </c:pt>
                <c:pt idx="17">
                  <c:v>Chicago, IL (13%)</c:v>
                </c:pt>
                <c:pt idx="18">
                  <c:v>Peel, Ontario, CAN (13%)</c:v>
                </c:pt>
                <c:pt idx="19">
                  <c:v>Clayton County, GA (10%)</c:v>
                </c:pt>
                <c:pt idx="20">
                  <c:v>Connecticut Regional (9%)</c:v>
                </c:pt>
                <c:pt idx="21">
                  <c:v>Miami-Dade, FL (8%)</c:v>
                </c:pt>
                <c:pt idx="22">
                  <c:v>Philadelphia, PA (7%)</c:v>
                </c:pt>
              </c:strCache>
            </c:strRef>
          </c:cat>
          <c:val>
            <c:numRef>
              <c:f>'PercapitaWaterUse (2)'!$K$3:$K$25</c:f>
              <c:numCache>
                <c:formatCode>General</c:formatCode>
                <c:ptCount val="23"/>
                <c:pt idx="0">
                  <c:v>59</c:v>
                </c:pt>
                <c:pt idx="1">
                  <c:v>42</c:v>
                </c:pt>
                <c:pt idx="2">
                  <c:v>44</c:v>
                </c:pt>
                <c:pt idx="3">
                  <c:v>59</c:v>
                </c:pt>
                <c:pt idx="4">
                  <c:v>56</c:v>
                </c:pt>
                <c:pt idx="5">
                  <c:v>53</c:v>
                </c:pt>
                <c:pt idx="6">
                  <c:v>46</c:v>
                </c:pt>
                <c:pt idx="7">
                  <c:v>63</c:v>
                </c:pt>
                <c:pt idx="8">
                  <c:v>59</c:v>
                </c:pt>
                <c:pt idx="9">
                  <c:v>57</c:v>
                </c:pt>
                <c:pt idx="10">
                  <c:v>47</c:v>
                </c:pt>
                <c:pt idx="11">
                  <c:v>129</c:v>
                </c:pt>
                <c:pt idx="12">
                  <c:v>52</c:v>
                </c:pt>
                <c:pt idx="13">
                  <c:v>52</c:v>
                </c:pt>
                <c:pt idx="14">
                  <c:v>34</c:v>
                </c:pt>
                <c:pt idx="15">
                  <c:v>43</c:v>
                </c:pt>
                <c:pt idx="16">
                  <c:v>58</c:v>
                </c:pt>
                <c:pt idx="17">
                  <c:v>78</c:v>
                </c:pt>
                <c:pt idx="18">
                  <c:v>72</c:v>
                </c:pt>
                <c:pt idx="19">
                  <c:v>52</c:v>
                </c:pt>
                <c:pt idx="20">
                  <c:v>49</c:v>
                </c:pt>
                <c:pt idx="21">
                  <c:v>76</c:v>
                </c:pt>
                <c:pt idx="2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F-4DF3-A9B4-04F45A44E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100"/>
        <c:axId val="771754415"/>
        <c:axId val="771826751"/>
      </c:barChart>
      <c:catAx>
        <c:axId val="771754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Provider (% Seasonal of Total)</a:t>
                </a:r>
              </a:p>
            </c:rich>
          </c:tx>
          <c:layout>
            <c:manualLayout>
              <c:xMode val="edge"/>
              <c:yMode val="edge"/>
              <c:x val="1.5345305338131736E-2"/>
              <c:y val="0.25951037903384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26751"/>
        <c:crosses val="autoZero"/>
        <c:auto val="1"/>
        <c:lblAlgn val="ctr"/>
        <c:lblOffset val="100"/>
        <c:noMultiLvlLbl val="0"/>
      </c:catAx>
      <c:valAx>
        <c:axId val="77182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Water Use (kgal per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5441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5979707418014453"/>
          <c:y val="0.1001613553296008"/>
          <c:w val="0.18482194020214107"/>
          <c:h val="8.1302334522730793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182887-912C-4958-8FD5-FBD98835D35C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988636" cy="94275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C5177-4934-4064-A0C3-40D0979450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251E-3F73-431F-9F94-6950B3939094}">
  <dimension ref="A3:K26"/>
  <sheetViews>
    <sheetView topLeftCell="A2" workbookViewId="0">
      <selection activeCell="A4" sqref="A4:G14"/>
    </sheetView>
  </sheetViews>
  <sheetFormatPr defaultRowHeight="14.5" x14ac:dyDescent="0.35"/>
  <cols>
    <col min="1" max="1" width="25.54296875" customWidth="1"/>
    <col min="2" max="3" width="10.08984375" bestFit="1" customWidth="1"/>
    <col min="4" max="6" width="11.08984375" bestFit="1" customWidth="1"/>
    <col min="7" max="7" width="10.36328125" customWidth="1"/>
  </cols>
  <sheetData>
    <row r="3" spans="1:11" x14ac:dyDescent="0.35">
      <c r="A3" t="s">
        <v>9</v>
      </c>
    </row>
    <row r="4" spans="1:11" x14ac:dyDescent="0.35">
      <c r="A4" s="6" t="s">
        <v>27</v>
      </c>
      <c r="B4" s="6">
        <v>2020</v>
      </c>
      <c r="C4" s="6">
        <v>2021</v>
      </c>
      <c r="D4" s="6">
        <v>2022</v>
      </c>
      <c r="E4" s="6">
        <v>2023</v>
      </c>
      <c r="F4" s="6">
        <v>2024</v>
      </c>
      <c r="G4" s="6" t="s">
        <v>7</v>
      </c>
    </row>
    <row r="5" spans="1:11" x14ac:dyDescent="0.35">
      <c r="A5" t="s">
        <v>0</v>
      </c>
      <c r="B5" s="1">
        <v>10000</v>
      </c>
      <c r="C5" s="1">
        <v>10000</v>
      </c>
      <c r="D5" s="1">
        <v>10000</v>
      </c>
      <c r="E5" s="1">
        <v>50000</v>
      </c>
      <c r="F5" s="1">
        <v>50000</v>
      </c>
      <c r="G5" s="2">
        <f>SUM(B5:F5)</f>
        <v>130000</v>
      </c>
    </row>
    <row r="6" spans="1:11" x14ac:dyDescent="0.35">
      <c r="A6" t="s">
        <v>10</v>
      </c>
      <c r="B6" s="1">
        <v>25000</v>
      </c>
      <c r="C6" s="1">
        <v>75000</v>
      </c>
      <c r="D6" s="1">
        <v>75000</v>
      </c>
      <c r="E6" s="1">
        <v>50000</v>
      </c>
      <c r="F6" s="1">
        <v>100000</v>
      </c>
      <c r="G6" s="2">
        <f t="shared" ref="G6:G14" si="0">SUM(B6:F6)</f>
        <v>325000</v>
      </c>
    </row>
    <row r="7" spans="1:11" x14ac:dyDescent="0.35">
      <c r="A7" t="s">
        <v>1</v>
      </c>
      <c r="B7" s="1">
        <v>5000</v>
      </c>
      <c r="C7" s="1">
        <v>25000</v>
      </c>
      <c r="D7" s="1">
        <v>100000</v>
      </c>
      <c r="E7" s="1">
        <v>100000</v>
      </c>
      <c r="F7" s="1">
        <v>100000</v>
      </c>
      <c r="G7" s="2">
        <f t="shared" si="0"/>
        <v>330000</v>
      </c>
    </row>
    <row r="8" spans="1:11" x14ac:dyDescent="0.35">
      <c r="A8" t="s">
        <v>8</v>
      </c>
      <c r="B8" s="1">
        <v>25000</v>
      </c>
      <c r="C8" s="1">
        <v>25000</v>
      </c>
      <c r="D8" s="1">
        <v>25000</v>
      </c>
      <c r="E8" s="1">
        <v>50000</v>
      </c>
      <c r="F8" s="1">
        <v>50000</v>
      </c>
      <c r="G8" s="2">
        <f t="shared" si="0"/>
        <v>175000</v>
      </c>
    </row>
    <row r="9" spans="1:11" x14ac:dyDescent="0.35">
      <c r="A9" t="s">
        <v>2</v>
      </c>
      <c r="B9" s="1">
        <v>30000</v>
      </c>
      <c r="C9" s="1">
        <v>50000</v>
      </c>
      <c r="D9" s="1">
        <v>50000</v>
      </c>
      <c r="E9" s="1">
        <v>50000</v>
      </c>
      <c r="F9" s="1">
        <v>50000</v>
      </c>
      <c r="G9" s="2">
        <f t="shared" si="0"/>
        <v>230000</v>
      </c>
    </row>
    <row r="10" spans="1:11" x14ac:dyDescent="0.35">
      <c r="A10" t="s">
        <v>3</v>
      </c>
      <c r="B10" s="1"/>
      <c r="C10" s="1"/>
      <c r="D10" s="1"/>
      <c r="E10" s="1"/>
      <c r="F10" s="1"/>
      <c r="G10" s="2">
        <f t="shared" si="0"/>
        <v>0</v>
      </c>
      <c r="K10">
        <v>2</v>
      </c>
    </row>
    <row r="11" spans="1:11" x14ac:dyDescent="0.35">
      <c r="A11" t="s">
        <v>4</v>
      </c>
      <c r="B11" s="1">
        <v>20000</v>
      </c>
      <c r="C11" s="1">
        <v>25000</v>
      </c>
      <c r="D11" s="1">
        <v>30000</v>
      </c>
      <c r="E11" s="1">
        <v>65000</v>
      </c>
      <c r="F11" s="1">
        <v>75000</v>
      </c>
      <c r="G11" s="2">
        <f t="shared" si="0"/>
        <v>215000</v>
      </c>
      <c r="K11">
        <v>3</v>
      </c>
    </row>
    <row r="12" spans="1:11" x14ac:dyDescent="0.35">
      <c r="A12" t="s">
        <v>5</v>
      </c>
      <c r="B12" s="1">
        <v>10000</v>
      </c>
      <c r="C12" s="1">
        <v>10000</v>
      </c>
      <c r="D12" s="1">
        <v>20000</v>
      </c>
      <c r="E12" s="1">
        <v>20000</v>
      </c>
      <c r="F12" s="1">
        <v>20000</v>
      </c>
      <c r="G12" s="2">
        <f t="shared" si="0"/>
        <v>80000</v>
      </c>
      <c r="K12">
        <v>4</v>
      </c>
    </row>
    <row r="13" spans="1:11" x14ac:dyDescent="0.35">
      <c r="A13" t="s">
        <v>6</v>
      </c>
      <c r="B13" s="1">
        <v>50000</v>
      </c>
      <c r="C13" s="1">
        <v>100000</v>
      </c>
      <c r="D13" s="1">
        <v>100000</v>
      </c>
      <c r="E13" s="1">
        <v>100000</v>
      </c>
      <c r="F13" s="1">
        <v>100000</v>
      </c>
      <c r="G13" s="2">
        <f t="shared" si="0"/>
        <v>450000</v>
      </c>
      <c r="K13">
        <v>5</v>
      </c>
    </row>
    <row r="14" spans="1:11" x14ac:dyDescent="0.35">
      <c r="A14" t="s">
        <v>7</v>
      </c>
      <c r="B14" s="1">
        <f>SUM(B5:B13)</f>
        <v>175000</v>
      </c>
      <c r="C14" s="1">
        <f t="shared" ref="C14:F14" si="1">SUM(C5:C13)</f>
        <v>320000</v>
      </c>
      <c r="D14" s="1">
        <f t="shared" si="1"/>
        <v>410000</v>
      </c>
      <c r="E14" s="1">
        <f t="shared" si="1"/>
        <v>485000</v>
      </c>
      <c r="F14" s="1">
        <f t="shared" si="1"/>
        <v>545000</v>
      </c>
      <c r="G14" s="2">
        <f t="shared" si="0"/>
        <v>1935000</v>
      </c>
    </row>
    <row r="15" spans="1:11" x14ac:dyDescent="0.35">
      <c r="B15" s="1"/>
      <c r="C15" s="1"/>
      <c r="D15" s="1"/>
      <c r="E15" s="1"/>
      <c r="F15" s="1"/>
    </row>
    <row r="18" spans="1:5" x14ac:dyDescent="0.35">
      <c r="A18" t="s">
        <v>14</v>
      </c>
    </row>
    <row r="19" spans="1:5" x14ac:dyDescent="0.35">
      <c r="B19">
        <v>2015</v>
      </c>
      <c r="C19">
        <v>2030</v>
      </c>
      <c r="D19">
        <v>2040</v>
      </c>
      <c r="E19">
        <v>2065</v>
      </c>
    </row>
    <row r="20" spans="1:5" x14ac:dyDescent="0.35">
      <c r="A20" t="s">
        <v>13</v>
      </c>
      <c r="B20">
        <v>304</v>
      </c>
      <c r="C20">
        <v>274</v>
      </c>
      <c r="D20">
        <v>261</v>
      </c>
      <c r="E20">
        <v>250</v>
      </c>
    </row>
    <row r="21" spans="1:5" x14ac:dyDescent="0.35">
      <c r="A21" t="s">
        <v>12</v>
      </c>
      <c r="B21">
        <v>304</v>
      </c>
      <c r="C21">
        <v>236</v>
      </c>
      <c r="D21">
        <v>221</v>
      </c>
      <c r="E21">
        <v>212</v>
      </c>
    </row>
    <row r="22" spans="1:5" x14ac:dyDescent="0.35">
      <c r="A22" t="s">
        <v>15</v>
      </c>
      <c r="B22">
        <v>304</v>
      </c>
      <c r="C22">
        <v>249</v>
      </c>
      <c r="D22">
        <v>232</v>
      </c>
      <c r="E22">
        <v>219</v>
      </c>
    </row>
    <row r="24" spans="1:5" x14ac:dyDescent="0.35">
      <c r="B24" s="4">
        <f>($B20-B20)/$B20</f>
        <v>0</v>
      </c>
      <c r="C24" s="4">
        <f t="shared" ref="C24:E26" si="2">($B20-C20)/$B20</f>
        <v>9.8684210526315791E-2</v>
      </c>
      <c r="D24" s="4">
        <f t="shared" si="2"/>
        <v>0.14144736842105263</v>
      </c>
      <c r="E24" s="4">
        <f t="shared" si="2"/>
        <v>0.17763157894736842</v>
      </c>
    </row>
    <row r="25" spans="1:5" x14ac:dyDescent="0.35">
      <c r="B25" s="4">
        <f>($B21-B21)/$B21</f>
        <v>0</v>
      </c>
      <c r="C25" s="4">
        <f t="shared" si="2"/>
        <v>0.22368421052631579</v>
      </c>
      <c r="D25" s="4">
        <f t="shared" si="2"/>
        <v>0.27302631578947367</v>
      </c>
      <c r="E25" s="4">
        <f t="shared" si="2"/>
        <v>0.30263157894736842</v>
      </c>
    </row>
    <row r="26" spans="1:5" x14ac:dyDescent="0.35">
      <c r="B26" s="4">
        <f>($B22-B22)/$B22</f>
        <v>0</v>
      </c>
      <c r="C26" s="4">
        <f t="shared" si="2"/>
        <v>0.18092105263157895</v>
      </c>
      <c r="D26" s="4">
        <f t="shared" si="2"/>
        <v>0.23684210526315788</v>
      </c>
      <c r="E26" s="4">
        <f t="shared" si="2"/>
        <v>0.27960526315789475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9545-32DF-4922-BEBD-ADE92D164C0D}">
  <dimension ref="A2:N15"/>
  <sheetViews>
    <sheetView workbookViewId="0">
      <selection activeCell="N14" sqref="N14:N15"/>
    </sheetView>
  </sheetViews>
  <sheetFormatPr defaultRowHeight="14.5" x14ac:dyDescent="0.35"/>
  <cols>
    <col min="1" max="1" width="31.26953125" customWidth="1"/>
    <col min="2" max="6" width="12.08984375" hidden="1" customWidth="1"/>
    <col min="7" max="7" width="14" customWidth="1"/>
  </cols>
  <sheetData>
    <row r="2" spans="1:14" s="13" customFormat="1" x14ac:dyDescent="0.35">
      <c r="A2" s="27" t="s">
        <v>27</v>
      </c>
      <c r="B2" s="11">
        <v>2020</v>
      </c>
      <c r="C2" s="11">
        <v>2021</v>
      </c>
      <c r="D2" s="11">
        <v>2022</v>
      </c>
      <c r="E2" s="11">
        <v>2023</v>
      </c>
      <c r="F2" s="14">
        <v>2024</v>
      </c>
      <c r="G2" s="16" t="s">
        <v>7</v>
      </c>
    </row>
    <row r="3" spans="1:14" s="13" customFormat="1" x14ac:dyDescent="0.35">
      <c r="A3" s="28"/>
      <c r="B3" s="11"/>
      <c r="C3" s="11"/>
      <c r="D3" s="11"/>
      <c r="E3" s="11"/>
      <c r="F3" s="14"/>
      <c r="G3" s="17" t="s">
        <v>28</v>
      </c>
    </row>
    <row r="4" spans="1:14" x14ac:dyDescent="0.35">
      <c r="A4" s="7" t="s">
        <v>6</v>
      </c>
      <c r="B4" s="8">
        <v>50000</v>
      </c>
      <c r="C4" s="8">
        <v>100000</v>
      </c>
      <c r="D4" s="8">
        <v>100000</v>
      </c>
      <c r="E4" s="8">
        <v>100000</v>
      </c>
      <c r="F4" s="8">
        <v>100000</v>
      </c>
      <c r="G4" s="15">
        <f t="shared" ref="G4:G13" si="0">SUM(B4:F4)</f>
        <v>450000</v>
      </c>
    </row>
    <row r="5" spans="1:14" x14ac:dyDescent="0.35">
      <c r="A5" s="7" t="s">
        <v>1</v>
      </c>
      <c r="B5" s="8">
        <v>5000</v>
      </c>
      <c r="C5" s="8">
        <v>25000</v>
      </c>
      <c r="D5" s="8">
        <v>100000</v>
      </c>
      <c r="E5" s="8">
        <v>100000</v>
      </c>
      <c r="F5" s="8">
        <v>100000</v>
      </c>
      <c r="G5" s="8">
        <f t="shared" si="0"/>
        <v>330000</v>
      </c>
    </row>
    <row r="6" spans="1:14" x14ac:dyDescent="0.35">
      <c r="A6" s="7" t="s">
        <v>10</v>
      </c>
      <c r="B6" s="8">
        <v>25000</v>
      </c>
      <c r="C6" s="8">
        <v>75000</v>
      </c>
      <c r="D6" s="8">
        <v>75000</v>
      </c>
      <c r="E6" s="8">
        <v>50000</v>
      </c>
      <c r="F6" s="8">
        <v>100000</v>
      </c>
      <c r="G6" s="8">
        <f t="shared" si="0"/>
        <v>325000</v>
      </c>
      <c r="M6">
        <v>10000</v>
      </c>
    </row>
    <row r="7" spans="1:14" x14ac:dyDescent="0.35">
      <c r="A7" s="7" t="s">
        <v>2</v>
      </c>
      <c r="B7" s="8">
        <v>30000</v>
      </c>
      <c r="C7" s="8">
        <v>50000</v>
      </c>
      <c r="D7" s="8">
        <v>50000</v>
      </c>
      <c r="E7" s="8">
        <v>50000</v>
      </c>
      <c r="F7" s="8">
        <v>50000</v>
      </c>
      <c r="G7" s="8">
        <f t="shared" si="0"/>
        <v>230000</v>
      </c>
      <c r="M7">
        <f>M6*0.9/12</f>
        <v>750</v>
      </c>
    </row>
    <row r="8" spans="1:14" x14ac:dyDescent="0.35">
      <c r="A8" s="7" t="s">
        <v>4</v>
      </c>
      <c r="B8" s="8">
        <v>20000</v>
      </c>
      <c r="C8" s="8">
        <v>25000</v>
      </c>
      <c r="D8" s="8">
        <v>30000</v>
      </c>
      <c r="E8" s="8">
        <v>65000</v>
      </c>
      <c r="F8" s="8">
        <v>75000</v>
      </c>
      <c r="G8" s="8">
        <f t="shared" si="0"/>
        <v>215000</v>
      </c>
    </row>
    <row r="9" spans="1:14" x14ac:dyDescent="0.35">
      <c r="A9" s="7" t="s">
        <v>8</v>
      </c>
      <c r="B9" s="8">
        <v>25000</v>
      </c>
      <c r="C9" s="8">
        <v>25000</v>
      </c>
      <c r="D9" s="8">
        <v>25000</v>
      </c>
      <c r="E9" s="8">
        <v>50000</v>
      </c>
      <c r="F9" s="8">
        <v>50000</v>
      </c>
      <c r="G9" s="8">
        <f t="shared" si="0"/>
        <v>175000</v>
      </c>
    </row>
    <row r="10" spans="1:14" x14ac:dyDescent="0.35">
      <c r="A10" s="7" t="s">
        <v>0</v>
      </c>
      <c r="B10" s="8">
        <v>10000</v>
      </c>
      <c r="C10" s="8">
        <v>10000</v>
      </c>
      <c r="D10" s="8">
        <v>10000</v>
      </c>
      <c r="E10" s="8">
        <v>50000</v>
      </c>
      <c r="F10" s="8">
        <v>50000</v>
      </c>
      <c r="G10" s="8">
        <f t="shared" si="0"/>
        <v>130000</v>
      </c>
    </row>
    <row r="11" spans="1:14" x14ac:dyDescent="0.35">
      <c r="A11" s="7" t="s">
        <v>5</v>
      </c>
      <c r="B11" s="8">
        <v>10000</v>
      </c>
      <c r="C11" s="8">
        <v>10000</v>
      </c>
      <c r="D11" s="8">
        <v>20000</v>
      </c>
      <c r="E11" s="8">
        <v>20000</v>
      </c>
      <c r="F11" s="8">
        <v>20000</v>
      </c>
      <c r="G11" s="8">
        <f t="shared" si="0"/>
        <v>80000</v>
      </c>
    </row>
    <row r="12" spans="1:14" x14ac:dyDescent="0.35">
      <c r="A12" s="7" t="s">
        <v>3</v>
      </c>
      <c r="B12" s="8"/>
      <c r="C12" s="8"/>
      <c r="D12" s="8"/>
      <c r="E12" s="8"/>
      <c r="F12" s="8"/>
      <c r="G12" s="8">
        <f t="shared" si="0"/>
        <v>0</v>
      </c>
    </row>
    <row r="13" spans="1:14" x14ac:dyDescent="0.35">
      <c r="A13" s="9" t="s">
        <v>7</v>
      </c>
      <c r="B13" s="10">
        <f>SUM(B4:B12)</f>
        <v>175000</v>
      </c>
      <c r="C13" s="10">
        <f>SUM(C4:C12)</f>
        <v>320000</v>
      </c>
      <c r="D13" s="10">
        <f>SUM(D4:D12)</f>
        <v>410000</v>
      </c>
      <c r="E13" s="10">
        <f>SUM(E4:E12)</f>
        <v>485000</v>
      </c>
      <c r="F13" s="10">
        <f>SUM(F4:F12)</f>
        <v>545000</v>
      </c>
      <c r="G13" s="10">
        <f t="shared" si="0"/>
        <v>1935000</v>
      </c>
      <c r="M13">
        <v>69.3</v>
      </c>
    </row>
    <row r="14" spans="1:14" x14ac:dyDescent="0.35">
      <c r="M14">
        <v>58.6</v>
      </c>
      <c r="N14" s="3">
        <f>(M13-M14)/M13</f>
        <v>0.15440115440115434</v>
      </c>
    </row>
    <row r="15" spans="1:14" x14ac:dyDescent="0.35">
      <c r="M15">
        <v>36.700000000000003</v>
      </c>
      <c r="N15" s="3">
        <f>(M14-M15)/M14</f>
        <v>0.37372013651877128</v>
      </c>
    </row>
  </sheetData>
  <sortState ref="A4:G12">
    <sortCondition descending="1" ref="G4:G12"/>
  </sortState>
  <mergeCells count="1"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8400-1888-47A8-8B33-77FE3EE6B3AC}">
  <dimension ref="A1:S29"/>
  <sheetViews>
    <sheetView tabSelected="1" zoomScale="110" zoomScaleNormal="110" workbookViewId="0">
      <selection activeCell="D6" sqref="D6"/>
    </sheetView>
  </sheetViews>
  <sheetFormatPr defaultRowHeight="14.5" x14ac:dyDescent="0.35"/>
  <cols>
    <col min="1" max="1" width="20.90625" customWidth="1"/>
    <col min="2" max="2" width="14.08984375" style="19" customWidth="1"/>
    <col min="3" max="3" width="14.1796875" style="19" customWidth="1"/>
    <col min="4" max="4" width="13.90625" style="19" customWidth="1"/>
  </cols>
  <sheetData>
    <row r="1" spans="1:19" x14ac:dyDescent="0.35">
      <c r="D1" s="19">
        <v>191</v>
      </c>
      <c r="F1">
        <f>D$1</f>
        <v>191</v>
      </c>
      <c r="G1">
        <v>249</v>
      </c>
    </row>
    <row r="2" spans="1:19" s="18" customFormat="1" ht="58" x14ac:dyDescent="0.35">
      <c r="A2" s="11" t="s">
        <v>29</v>
      </c>
      <c r="B2" s="12" t="s">
        <v>53</v>
      </c>
      <c r="C2" s="12" t="s">
        <v>55</v>
      </c>
      <c r="D2" s="12" t="s">
        <v>54</v>
      </c>
      <c r="E2" s="12" t="s">
        <v>65</v>
      </c>
    </row>
    <row r="3" spans="1:19" x14ac:dyDescent="0.35">
      <c r="A3" s="7" t="s">
        <v>33</v>
      </c>
      <c r="B3" s="20">
        <v>217</v>
      </c>
      <c r="C3" s="20">
        <v>164</v>
      </c>
      <c r="D3" s="21">
        <f>($D$1-B3)/$D$1</f>
        <v>-0.13612565445026178</v>
      </c>
      <c r="E3" s="26"/>
      <c r="F3">
        <f>D$1-$B3</f>
        <v>-26</v>
      </c>
      <c r="G3">
        <f>G$1-$B3</f>
        <v>32</v>
      </c>
    </row>
    <row r="4" spans="1:19" x14ac:dyDescent="0.35">
      <c r="A4" s="7" t="s">
        <v>38</v>
      </c>
      <c r="B4" s="20">
        <v>179</v>
      </c>
      <c r="C4" s="20">
        <v>76</v>
      </c>
      <c r="D4" s="21">
        <f t="shared" ref="D4:D25" si="0">($D$1-B4)/$D$1</f>
        <v>6.2827225130890049E-2</v>
      </c>
      <c r="E4" s="26"/>
      <c r="F4">
        <f t="shared" ref="F4:F25" si="1">$D$1-B4</f>
        <v>12</v>
      </c>
      <c r="G4">
        <f t="shared" ref="G4:G25" si="2">G$1-$B4</f>
        <v>70</v>
      </c>
    </row>
    <row r="5" spans="1:19" x14ac:dyDescent="0.35">
      <c r="A5" s="7" t="s">
        <v>31</v>
      </c>
      <c r="B5" s="20">
        <v>132</v>
      </c>
      <c r="C5" s="20">
        <v>64</v>
      </c>
      <c r="D5" s="21">
        <f>($D$1-B5)/$D$1</f>
        <v>0.30890052356020942</v>
      </c>
      <c r="E5" s="26" t="s">
        <v>66</v>
      </c>
      <c r="F5">
        <f t="shared" si="1"/>
        <v>59</v>
      </c>
      <c r="G5">
        <f t="shared" si="2"/>
        <v>117</v>
      </c>
      <c r="S5">
        <f>12+3/8</f>
        <v>12.375</v>
      </c>
    </row>
    <row r="6" spans="1:19" x14ac:dyDescent="0.35">
      <c r="A6" s="7" t="s">
        <v>51</v>
      </c>
      <c r="B6" s="20">
        <v>124</v>
      </c>
      <c r="C6" s="20">
        <v>59</v>
      </c>
      <c r="D6" s="21">
        <f t="shared" si="0"/>
        <v>0.35078534031413611</v>
      </c>
      <c r="E6" s="21"/>
      <c r="F6">
        <f t="shared" si="1"/>
        <v>67</v>
      </c>
      <c r="G6">
        <f t="shared" si="2"/>
        <v>125</v>
      </c>
      <c r="S6">
        <f>S5*2.54</f>
        <v>31.432500000000001</v>
      </c>
    </row>
    <row r="7" spans="1:19" x14ac:dyDescent="0.35">
      <c r="A7" s="7" t="s">
        <v>30</v>
      </c>
      <c r="B7" s="20">
        <v>114</v>
      </c>
      <c r="C7" s="20">
        <v>59</v>
      </c>
      <c r="D7" s="21">
        <f t="shared" si="0"/>
        <v>0.40314136125654448</v>
      </c>
      <c r="E7" s="21"/>
      <c r="F7">
        <f t="shared" si="1"/>
        <v>77</v>
      </c>
      <c r="G7">
        <f t="shared" si="2"/>
        <v>135</v>
      </c>
      <c r="M7" s="25">
        <v>43831</v>
      </c>
    </row>
    <row r="8" spans="1:19" x14ac:dyDescent="0.35">
      <c r="A8" s="7" t="s">
        <v>32</v>
      </c>
      <c r="B8" s="20">
        <v>113</v>
      </c>
      <c r="C8" s="20">
        <v>69</v>
      </c>
      <c r="D8" s="21">
        <f t="shared" si="0"/>
        <v>0.40837696335078533</v>
      </c>
      <c r="E8" s="26" t="s">
        <v>66</v>
      </c>
      <c r="F8">
        <f t="shared" si="1"/>
        <v>78</v>
      </c>
      <c r="G8">
        <f t="shared" si="2"/>
        <v>136</v>
      </c>
    </row>
    <row r="9" spans="1:19" x14ac:dyDescent="0.35">
      <c r="A9" s="7" t="s">
        <v>42</v>
      </c>
      <c r="B9" s="20">
        <v>112</v>
      </c>
      <c r="C9" s="20">
        <v>53</v>
      </c>
      <c r="D9" s="21">
        <f t="shared" si="0"/>
        <v>0.41361256544502617</v>
      </c>
      <c r="E9" s="26" t="s">
        <v>66</v>
      </c>
      <c r="F9">
        <f t="shared" si="1"/>
        <v>79</v>
      </c>
      <c r="G9">
        <f t="shared" si="2"/>
        <v>137</v>
      </c>
    </row>
    <row r="10" spans="1:19" x14ac:dyDescent="0.35">
      <c r="A10" s="7" t="s">
        <v>35</v>
      </c>
      <c r="B10" s="20">
        <v>110</v>
      </c>
      <c r="C10" s="20">
        <v>68</v>
      </c>
      <c r="D10" s="21">
        <f t="shared" si="0"/>
        <v>0.42408376963350786</v>
      </c>
      <c r="E10" s="21"/>
      <c r="F10">
        <f t="shared" si="1"/>
        <v>81</v>
      </c>
      <c r="G10">
        <f t="shared" si="2"/>
        <v>139</v>
      </c>
    </row>
    <row r="11" spans="1:19" x14ac:dyDescent="0.35">
      <c r="A11" s="7" t="s">
        <v>36</v>
      </c>
      <c r="B11" s="20">
        <v>99</v>
      </c>
      <c r="C11" s="20">
        <v>45</v>
      </c>
      <c r="D11" s="21">
        <f t="shared" si="0"/>
        <v>0.48167539267015708</v>
      </c>
      <c r="E11" s="26"/>
      <c r="F11">
        <f t="shared" si="1"/>
        <v>92</v>
      </c>
      <c r="G11">
        <f t="shared" si="2"/>
        <v>150</v>
      </c>
    </row>
    <row r="12" spans="1:19" x14ac:dyDescent="0.35">
      <c r="A12" s="7" t="s">
        <v>47</v>
      </c>
      <c r="B12" s="20">
        <v>90</v>
      </c>
      <c r="C12" s="20">
        <v>60</v>
      </c>
      <c r="D12" s="21">
        <f t="shared" si="0"/>
        <v>0.52879581151832455</v>
      </c>
      <c r="E12" s="21"/>
      <c r="F12">
        <f t="shared" si="1"/>
        <v>101</v>
      </c>
      <c r="G12">
        <f t="shared" si="2"/>
        <v>159</v>
      </c>
    </row>
    <row r="13" spans="1:19" x14ac:dyDescent="0.35">
      <c r="A13" s="7" t="s">
        <v>50</v>
      </c>
      <c r="B13" s="20">
        <v>87</v>
      </c>
      <c r="C13" s="20">
        <v>50</v>
      </c>
      <c r="D13" s="21">
        <f t="shared" si="0"/>
        <v>0.54450261780104714</v>
      </c>
      <c r="E13" s="21"/>
      <c r="F13">
        <f t="shared" si="1"/>
        <v>104</v>
      </c>
      <c r="G13">
        <f t="shared" si="2"/>
        <v>162</v>
      </c>
    </row>
    <row r="14" spans="1:19" x14ac:dyDescent="0.35">
      <c r="A14" s="7" t="s">
        <v>39</v>
      </c>
      <c r="B14" s="20">
        <v>86</v>
      </c>
      <c r="C14" s="20">
        <v>80</v>
      </c>
      <c r="D14" s="21">
        <f t="shared" si="0"/>
        <v>0.54973821989528793</v>
      </c>
      <c r="E14" s="21"/>
      <c r="F14">
        <f t="shared" si="1"/>
        <v>105</v>
      </c>
      <c r="G14">
        <f t="shared" si="2"/>
        <v>163</v>
      </c>
    </row>
    <row r="15" spans="1:19" x14ac:dyDescent="0.35">
      <c r="A15" s="7" t="s">
        <v>37</v>
      </c>
      <c r="B15" s="20">
        <v>81</v>
      </c>
      <c r="C15" s="20">
        <v>71</v>
      </c>
      <c r="D15" s="21">
        <f t="shared" si="0"/>
        <v>0.5759162303664922</v>
      </c>
      <c r="E15" s="21"/>
      <c r="F15">
        <f t="shared" si="1"/>
        <v>110</v>
      </c>
      <c r="G15">
        <f t="shared" si="2"/>
        <v>168</v>
      </c>
    </row>
    <row r="16" spans="1:19" x14ac:dyDescent="0.35">
      <c r="A16" s="7" t="s">
        <v>34</v>
      </c>
      <c r="B16" s="20">
        <v>77</v>
      </c>
      <c r="C16" s="20">
        <v>59</v>
      </c>
      <c r="D16" s="21">
        <f t="shared" si="0"/>
        <v>0.59685863874345546</v>
      </c>
      <c r="E16" s="21"/>
      <c r="F16">
        <f t="shared" si="1"/>
        <v>114</v>
      </c>
      <c r="G16">
        <f t="shared" si="2"/>
        <v>172</v>
      </c>
    </row>
    <row r="17" spans="1:7" x14ac:dyDescent="0.35">
      <c r="A17" s="7" t="s">
        <v>57</v>
      </c>
      <c r="B17" s="20">
        <v>69</v>
      </c>
      <c r="C17" s="20">
        <v>60</v>
      </c>
      <c r="D17" s="21">
        <f t="shared" si="0"/>
        <v>0.63874345549738221</v>
      </c>
      <c r="E17" s="21"/>
      <c r="F17">
        <f t="shared" si="1"/>
        <v>122</v>
      </c>
      <c r="G17">
        <f t="shared" si="2"/>
        <v>180</v>
      </c>
    </row>
    <row r="18" spans="1:7" x14ac:dyDescent="0.35">
      <c r="A18" s="7" t="s">
        <v>49</v>
      </c>
      <c r="B18" s="20">
        <v>68</v>
      </c>
      <c r="C18" s="20">
        <v>52</v>
      </c>
      <c r="D18" s="21">
        <f t="shared" si="0"/>
        <v>0.64397905759162299</v>
      </c>
      <c r="E18" s="21"/>
      <c r="F18">
        <f t="shared" si="1"/>
        <v>123</v>
      </c>
      <c r="G18">
        <f t="shared" si="2"/>
        <v>181</v>
      </c>
    </row>
    <row r="19" spans="1:7" x14ac:dyDescent="0.35">
      <c r="A19" s="7" t="s">
        <v>40</v>
      </c>
      <c r="B19" s="20">
        <v>68</v>
      </c>
      <c r="C19" s="20">
        <v>65</v>
      </c>
      <c r="D19" s="21">
        <f t="shared" si="0"/>
        <v>0.64397905759162299</v>
      </c>
      <c r="E19" s="21"/>
      <c r="F19">
        <f t="shared" si="1"/>
        <v>123</v>
      </c>
      <c r="G19">
        <f t="shared" si="2"/>
        <v>181</v>
      </c>
    </row>
    <row r="20" spans="1:7" x14ac:dyDescent="0.35">
      <c r="A20" s="7" t="s">
        <v>46</v>
      </c>
      <c r="B20" s="20">
        <v>66</v>
      </c>
      <c r="C20" s="20">
        <v>59</v>
      </c>
      <c r="D20" s="21">
        <f t="shared" si="0"/>
        <v>0.65445026178010468</v>
      </c>
      <c r="E20" s="21"/>
      <c r="F20">
        <f t="shared" si="1"/>
        <v>125</v>
      </c>
      <c r="G20">
        <f t="shared" si="2"/>
        <v>183</v>
      </c>
    </row>
    <row r="21" spans="1:7" x14ac:dyDescent="0.35">
      <c r="A21" s="7" t="s">
        <v>45</v>
      </c>
      <c r="B21" s="20">
        <v>62</v>
      </c>
      <c r="C21" s="20">
        <v>56</v>
      </c>
      <c r="D21" s="21">
        <f t="shared" si="0"/>
        <v>0.67539267015706805</v>
      </c>
      <c r="E21" s="21"/>
      <c r="F21">
        <f t="shared" si="1"/>
        <v>129</v>
      </c>
      <c r="G21">
        <f t="shared" si="2"/>
        <v>187</v>
      </c>
    </row>
    <row r="22" spans="1:7" x14ac:dyDescent="0.35">
      <c r="A22" s="7" t="s">
        <v>52</v>
      </c>
      <c r="B22" s="20">
        <v>62</v>
      </c>
      <c r="C22" s="20">
        <v>49</v>
      </c>
      <c r="D22" s="21">
        <f t="shared" si="0"/>
        <v>0.67539267015706805</v>
      </c>
      <c r="E22" s="26" t="s">
        <v>66</v>
      </c>
      <c r="F22">
        <f t="shared" si="1"/>
        <v>129</v>
      </c>
      <c r="G22">
        <f t="shared" si="2"/>
        <v>187</v>
      </c>
    </row>
    <row r="23" spans="1:7" x14ac:dyDescent="0.35">
      <c r="A23" s="7" t="s">
        <v>48</v>
      </c>
      <c r="B23" s="20">
        <v>58</v>
      </c>
      <c r="C23" s="20">
        <v>43</v>
      </c>
      <c r="D23" s="21">
        <f t="shared" si="0"/>
        <v>0.69633507853403143</v>
      </c>
      <c r="E23" s="21"/>
      <c r="F23">
        <f t="shared" si="1"/>
        <v>133</v>
      </c>
      <c r="G23">
        <f t="shared" si="2"/>
        <v>191</v>
      </c>
    </row>
    <row r="24" spans="1:7" x14ac:dyDescent="0.35">
      <c r="A24" s="7" t="s">
        <v>56</v>
      </c>
      <c r="B24" s="20">
        <v>58</v>
      </c>
      <c r="C24" s="20">
        <v>54</v>
      </c>
      <c r="D24" s="21">
        <f t="shared" si="0"/>
        <v>0.69633507853403143</v>
      </c>
      <c r="E24" s="21"/>
      <c r="F24">
        <f t="shared" si="1"/>
        <v>133</v>
      </c>
      <c r="G24">
        <f t="shared" si="2"/>
        <v>191</v>
      </c>
    </row>
    <row r="25" spans="1:7" x14ac:dyDescent="0.35">
      <c r="A25" s="7" t="s">
        <v>41</v>
      </c>
      <c r="B25" s="20">
        <v>58</v>
      </c>
      <c r="C25" s="20">
        <v>49</v>
      </c>
      <c r="D25" s="21">
        <f t="shared" si="0"/>
        <v>0.69633507853403143</v>
      </c>
      <c r="E25" s="26"/>
      <c r="F25">
        <f t="shared" si="1"/>
        <v>133</v>
      </c>
      <c r="G25">
        <f t="shared" si="2"/>
        <v>191</v>
      </c>
    </row>
    <row r="26" spans="1:7" x14ac:dyDescent="0.35">
      <c r="A26" s="22" t="s">
        <v>44</v>
      </c>
      <c r="B26" s="23">
        <f>MAX(B$3:B$25)</f>
        <v>217</v>
      </c>
      <c r="C26" s="23">
        <f t="shared" ref="C26:D26" si="3">MAX(C$3:C$25)</f>
        <v>164</v>
      </c>
      <c r="D26" s="24">
        <f t="shared" si="3"/>
        <v>0.69633507853403143</v>
      </c>
      <c r="E26" s="24"/>
    </row>
    <row r="27" spans="1:7" x14ac:dyDescent="0.35">
      <c r="A27" s="22" t="s">
        <v>43</v>
      </c>
      <c r="B27" s="23">
        <f>MIN(B$4:B$26)</f>
        <v>58</v>
      </c>
      <c r="C27" s="23">
        <f t="shared" ref="C27:D27" si="4">MIN(C$4:C$26)</f>
        <v>43</v>
      </c>
      <c r="D27" s="24">
        <f t="shared" si="4"/>
        <v>6.2827225130890049E-2</v>
      </c>
      <c r="E27" s="24"/>
    </row>
    <row r="29" spans="1:7" x14ac:dyDescent="0.35">
      <c r="A29">
        <f>COUNTA(A3:A25)</f>
        <v>23</v>
      </c>
    </row>
  </sheetData>
  <sortState ref="A3:D25">
    <sortCondition descending="1" ref="B3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5D71-AAB4-4C89-8F85-6063F776251A}">
  <dimension ref="A2:C14"/>
  <sheetViews>
    <sheetView workbookViewId="0">
      <selection activeCell="C7" sqref="C7"/>
    </sheetView>
  </sheetViews>
  <sheetFormatPr defaultRowHeight="14.5" x14ac:dyDescent="0.35"/>
  <sheetData>
    <row r="2" spans="1:3" x14ac:dyDescent="0.35">
      <c r="A2" t="s">
        <v>25</v>
      </c>
      <c r="B2" t="s">
        <v>26</v>
      </c>
    </row>
    <row r="3" spans="1:3" x14ac:dyDescent="0.35">
      <c r="A3" t="s">
        <v>21</v>
      </c>
      <c r="B3">
        <v>400</v>
      </c>
      <c r="C3" s="5">
        <v>0.2</v>
      </c>
    </row>
    <row r="4" spans="1:3" x14ac:dyDescent="0.35">
      <c r="A4" t="s">
        <v>22</v>
      </c>
      <c r="B4">
        <v>333</v>
      </c>
      <c r="C4" s="5">
        <v>0.2</v>
      </c>
    </row>
    <row r="5" spans="1:3" x14ac:dyDescent="0.35">
      <c r="A5" t="s">
        <v>18</v>
      </c>
      <c r="B5">
        <v>305</v>
      </c>
      <c r="C5" s="5">
        <v>0.14000000000000001</v>
      </c>
    </row>
    <row r="6" spans="1:3" x14ac:dyDescent="0.35">
      <c r="A6" t="s">
        <v>11</v>
      </c>
      <c r="B6">
        <v>304</v>
      </c>
      <c r="C6" s="5">
        <v>0.18</v>
      </c>
    </row>
    <row r="7" spans="1:3" x14ac:dyDescent="0.35">
      <c r="A7" t="s">
        <v>16</v>
      </c>
      <c r="B7">
        <v>284</v>
      </c>
      <c r="C7" s="5">
        <v>0.18</v>
      </c>
    </row>
    <row r="8" spans="1:3" x14ac:dyDescent="0.35">
      <c r="A8" t="s">
        <v>17</v>
      </c>
      <c r="B8">
        <v>284</v>
      </c>
      <c r="C8" s="5">
        <v>0.19</v>
      </c>
    </row>
    <row r="9" spans="1:3" x14ac:dyDescent="0.35">
      <c r="A9" t="s">
        <v>23</v>
      </c>
      <c r="B9">
        <v>250</v>
      </c>
      <c r="C9" s="5">
        <v>0.2</v>
      </c>
    </row>
    <row r="10" spans="1:3" x14ac:dyDescent="0.35">
      <c r="A10" t="s">
        <v>19</v>
      </c>
      <c r="B10">
        <v>222</v>
      </c>
      <c r="C10" s="5">
        <v>0.2</v>
      </c>
    </row>
    <row r="11" spans="1:3" x14ac:dyDescent="0.35">
      <c r="A11" t="s">
        <v>20</v>
      </c>
      <c r="B11">
        <v>210</v>
      </c>
      <c r="C11" s="5">
        <v>0.11</v>
      </c>
    </row>
    <row r="12" spans="1:3" x14ac:dyDescent="0.35">
      <c r="A12" t="s">
        <v>24</v>
      </c>
      <c r="B12">
        <v>240</v>
      </c>
      <c r="C12" s="5">
        <v>0.16</v>
      </c>
    </row>
    <row r="14" spans="1:3" x14ac:dyDescent="0.35">
      <c r="A14">
        <f>COUNTA(A3:A12)-1</f>
        <v>9</v>
      </c>
    </row>
  </sheetData>
  <sortState ref="A3:C11">
    <sortCondition descending="1" ref="B3:B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A839-04F4-4892-92EF-F9253C66AC8E}">
  <dimension ref="A2:N29"/>
  <sheetViews>
    <sheetView workbookViewId="0">
      <selection activeCell="N3" activeCellId="1" sqref="J3:K25 N3:N25"/>
    </sheetView>
  </sheetViews>
  <sheetFormatPr defaultRowHeight="14.5" x14ac:dyDescent="0.35"/>
  <cols>
    <col min="1" max="1" width="20.90625" customWidth="1"/>
    <col min="2" max="2" width="14.08984375" style="19" customWidth="1"/>
    <col min="3" max="3" width="14.1796875" style="19" customWidth="1"/>
    <col min="4" max="4" width="20.1796875" customWidth="1"/>
    <col min="5" max="5" width="11.54296875" customWidth="1"/>
    <col min="9" max="9" width="22.54296875" customWidth="1"/>
    <col min="14" max="14" width="21.1796875" customWidth="1"/>
  </cols>
  <sheetData>
    <row r="2" spans="1:14" s="18" customFormat="1" ht="58" x14ac:dyDescent="0.35">
      <c r="A2" s="11" t="s">
        <v>29</v>
      </c>
      <c r="B2" s="12" t="s">
        <v>53</v>
      </c>
      <c r="C2" s="12" t="s">
        <v>55</v>
      </c>
      <c r="D2" s="12" t="s">
        <v>58</v>
      </c>
      <c r="E2" s="12" t="s">
        <v>59</v>
      </c>
      <c r="I2" s="18" t="s">
        <v>29</v>
      </c>
      <c r="J2" s="18" t="s">
        <v>60</v>
      </c>
      <c r="K2" s="18" t="s">
        <v>61</v>
      </c>
      <c r="L2" s="18" t="s">
        <v>62</v>
      </c>
      <c r="M2" s="18" t="s">
        <v>63</v>
      </c>
      <c r="N2" s="18" t="s">
        <v>64</v>
      </c>
    </row>
    <row r="3" spans="1:14" x14ac:dyDescent="0.35">
      <c r="A3" s="7" t="s">
        <v>33</v>
      </c>
      <c r="B3" s="20">
        <v>217</v>
      </c>
      <c r="C3" s="20">
        <v>164</v>
      </c>
      <c r="D3" s="20">
        <f>B3-C3</f>
        <v>53</v>
      </c>
      <c r="E3" s="21">
        <f>D3/B3</f>
        <v>0.24423963133640553</v>
      </c>
      <c r="F3">
        <f>46/(46+129)</f>
        <v>0.26285714285714284</v>
      </c>
      <c r="H3">
        <v>15</v>
      </c>
      <c r="I3" s="7" t="s">
        <v>38</v>
      </c>
      <c r="J3">
        <v>83</v>
      </c>
      <c r="K3">
        <v>59</v>
      </c>
      <c r="L3" s="3">
        <f t="shared" ref="L3:L25" si="0">J3/(J3+K3)</f>
        <v>0.58450704225352113</v>
      </c>
      <c r="M3">
        <f t="shared" ref="M3:M25" si="1">J3+K3</f>
        <v>142</v>
      </c>
      <c r="N3" t="str">
        <f>I3&amp;" ("&amp;TEXT(L3,"0%")&amp;")"</f>
        <v>Henderson, NV (58%)</v>
      </c>
    </row>
    <row r="4" spans="1:14" x14ac:dyDescent="0.35">
      <c r="A4" s="7" t="s">
        <v>38</v>
      </c>
      <c r="B4" s="20">
        <v>179</v>
      </c>
      <c r="C4" s="20">
        <v>76</v>
      </c>
      <c r="D4" s="20">
        <f t="shared" ref="D4:D25" si="2">B4-C4</f>
        <v>103</v>
      </c>
      <c r="E4" s="21">
        <f t="shared" ref="E4:E25" si="3">D4/B4</f>
        <v>0.57541899441340782</v>
      </c>
      <c r="H4">
        <v>11</v>
      </c>
      <c r="I4" s="7" t="s">
        <v>36</v>
      </c>
      <c r="J4">
        <v>51</v>
      </c>
      <c r="K4">
        <v>42</v>
      </c>
      <c r="L4" s="3">
        <f t="shared" si="0"/>
        <v>0.54838709677419351</v>
      </c>
      <c r="M4">
        <f t="shared" si="1"/>
        <v>93</v>
      </c>
      <c r="N4" t="str">
        <f t="shared" ref="N4:N25" si="4">I4&amp;" ("&amp;TEXT(L4,"0%")&amp;")"</f>
        <v>Austin, TX (55%)</v>
      </c>
    </row>
    <row r="5" spans="1:14" x14ac:dyDescent="0.35">
      <c r="A5" s="7" t="s">
        <v>31</v>
      </c>
      <c r="B5" s="20">
        <v>132</v>
      </c>
      <c r="C5" s="20">
        <v>64</v>
      </c>
      <c r="D5" s="20">
        <f t="shared" si="2"/>
        <v>68</v>
      </c>
      <c r="E5" s="21">
        <f t="shared" si="3"/>
        <v>0.51515151515151514</v>
      </c>
      <c r="H5">
        <v>22</v>
      </c>
      <c r="I5" s="7" t="s">
        <v>42</v>
      </c>
      <c r="J5">
        <v>51</v>
      </c>
      <c r="K5">
        <v>44</v>
      </c>
      <c r="L5" s="3">
        <f t="shared" si="0"/>
        <v>0.5368421052631579</v>
      </c>
      <c r="M5">
        <f t="shared" si="1"/>
        <v>95</v>
      </c>
      <c r="N5" t="str">
        <f t="shared" si="4"/>
        <v>Santa Barbara, CA (54%)</v>
      </c>
    </row>
    <row r="6" spans="1:14" x14ac:dyDescent="0.35">
      <c r="A6" s="7" t="s">
        <v>51</v>
      </c>
      <c r="B6" s="20">
        <v>124</v>
      </c>
      <c r="C6" s="20">
        <v>59</v>
      </c>
      <c r="D6" s="20">
        <f t="shared" si="2"/>
        <v>65</v>
      </c>
      <c r="E6" s="21">
        <f t="shared" si="3"/>
        <v>0.52419354838709675</v>
      </c>
      <c r="H6">
        <v>18</v>
      </c>
      <c r="I6" s="7" t="s">
        <v>51</v>
      </c>
      <c r="J6">
        <v>68</v>
      </c>
      <c r="K6">
        <v>59</v>
      </c>
      <c r="L6" s="3">
        <f t="shared" si="0"/>
        <v>0.53543307086614178</v>
      </c>
      <c r="M6">
        <f t="shared" si="1"/>
        <v>127</v>
      </c>
      <c r="N6" t="str">
        <f t="shared" si="4"/>
        <v>Otay, CA (54%)</v>
      </c>
    </row>
    <row r="7" spans="1:14" x14ac:dyDescent="0.35">
      <c r="A7" s="7" t="s">
        <v>30</v>
      </c>
      <c r="B7" s="20">
        <v>114</v>
      </c>
      <c r="C7" s="20">
        <v>59</v>
      </c>
      <c r="D7" s="20">
        <f t="shared" si="2"/>
        <v>55</v>
      </c>
      <c r="E7" s="21">
        <f t="shared" si="3"/>
        <v>0.48245614035087719</v>
      </c>
      <c r="H7">
        <v>2</v>
      </c>
      <c r="I7" s="7" t="s">
        <v>31</v>
      </c>
      <c r="J7">
        <v>63</v>
      </c>
      <c r="K7">
        <v>56</v>
      </c>
      <c r="L7" s="3">
        <f t="shared" si="0"/>
        <v>0.52941176470588236</v>
      </c>
      <c r="M7">
        <f t="shared" si="1"/>
        <v>119</v>
      </c>
      <c r="N7" t="str">
        <f t="shared" si="4"/>
        <v>Denver, CO (53%)</v>
      </c>
    </row>
    <row r="8" spans="1:14" x14ac:dyDescent="0.35">
      <c r="A8" s="7" t="s">
        <v>32</v>
      </c>
      <c r="B8" s="20">
        <v>113</v>
      </c>
      <c r="C8" s="20">
        <v>69</v>
      </c>
      <c r="D8" s="20">
        <f t="shared" si="2"/>
        <v>44</v>
      </c>
      <c r="E8" s="21">
        <f t="shared" si="3"/>
        <v>0.38938053097345132</v>
      </c>
      <c r="H8">
        <v>3</v>
      </c>
      <c r="I8" s="7" t="s">
        <v>30</v>
      </c>
      <c r="J8">
        <v>52</v>
      </c>
      <c r="K8">
        <v>53</v>
      </c>
      <c r="L8" s="3">
        <f t="shared" si="0"/>
        <v>0.49523809523809526</v>
      </c>
      <c r="M8">
        <f t="shared" si="1"/>
        <v>105</v>
      </c>
      <c r="N8" t="str">
        <f t="shared" si="4"/>
        <v>Fort Collins, CO (50%)</v>
      </c>
    </row>
    <row r="9" spans="1:14" x14ac:dyDescent="0.35">
      <c r="A9" s="7" t="s">
        <v>42</v>
      </c>
      <c r="B9" s="20">
        <v>112</v>
      </c>
      <c r="C9" s="20">
        <v>53</v>
      </c>
      <c r="D9" s="20">
        <f t="shared" si="2"/>
        <v>59</v>
      </c>
      <c r="E9" s="21">
        <f t="shared" si="3"/>
        <v>0.5267857142857143</v>
      </c>
      <c r="H9">
        <v>17</v>
      </c>
      <c r="I9" s="7" t="s">
        <v>50</v>
      </c>
      <c r="J9">
        <v>37</v>
      </c>
      <c r="K9">
        <v>46</v>
      </c>
      <c r="L9" s="3">
        <f t="shared" si="0"/>
        <v>0.44578313253012047</v>
      </c>
      <c r="M9">
        <f t="shared" si="1"/>
        <v>83</v>
      </c>
      <c r="N9" t="str">
        <f t="shared" si="4"/>
        <v>Mountain, CA (45%)</v>
      </c>
    </row>
    <row r="10" spans="1:14" x14ac:dyDescent="0.35">
      <c r="A10" s="7" t="s">
        <v>35</v>
      </c>
      <c r="B10" s="20">
        <v>110</v>
      </c>
      <c r="C10" s="20">
        <v>68</v>
      </c>
      <c r="D10" s="20">
        <f t="shared" si="2"/>
        <v>42</v>
      </c>
      <c r="E10" s="21">
        <f t="shared" si="3"/>
        <v>0.38181818181818183</v>
      </c>
      <c r="H10">
        <v>5</v>
      </c>
      <c r="I10" s="7" t="s">
        <v>32</v>
      </c>
      <c r="J10">
        <v>43</v>
      </c>
      <c r="K10">
        <v>63</v>
      </c>
      <c r="L10" s="3">
        <f t="shared" si="0"/>
        <v>0.40566037735849059</v>
      </c>
      <c r="M10">
        <f t="shared" si="1"/>
        <v>106</v>
      </c>
      <c r="N10" t="str">
        <f t="shared" si="4"/>
        <v>San Antonio, TX (41%)</v>
      </c>
    </row>
    <row r="11" spans="1:14" x14ac:dyDescent="0.35">
      <c r="A11" s="7" t="s">
        <v>36</v>
      </c>
      <c r="B11" s="20">
        <v>99</v>
      </c>
      <c r="C11" s="20">
        <v>45</v>
      </c>
      <c r="D11" s="20">
        <f t="shared" si="2"/>
        <v>54</v>
      </c>
      <c r="E11" s="21">
        <f t="shared" si="3"/>
        <v>0.54545454545454541</v>
      </c>
      <c r="H11">
        <v>10</v>
      </c>
      <c r="I11" s="7" t="s">
        <v>35</v>
      </c>
      <c r="J11">
        <v>39</v>
      </c>
      <c r="K11">
        <v>59</v>
      </c>
      <c r="L11" s="3">
        <f t="shared" si="0"/>
        <v>0.39795918367346939</v>
      </c>
      <c r="M11">
        <f t="shared" si="1"/>
        <v>98</v>
      </c>
      <c r="N11" t="str">
        <f t="shared" si="4"/>
        <v>Aurora, CO (40%)</v>
      </c>
    </row>
    <row r="12" spans="1:14" x14ac:dyDescent="0.35">
      <c r="A12" s="7" t="s">
        <v>47</v>
      </c>
      <c r="B12" s="20">
        <v>90</v>
      </c>
      <c r="C12" s="20">
        <v>60</v>
      </c>
      <c r="D12" s="20">
        <f t="shared" si="2"/>
        <v>30</v>
      </c>
      <c r="E12" s="21">
        <f t="shared" si="3"/>
        <v>0.33333333333333331</v>
      </c>
      <c r="H12">
        <v>8</v>
      </c>
      <c r="I12" s="7" t="s">
        <v>47</v>
      </c>
      <c r="J12">
        <v>31</v>
      </c>
      <c r="K12">
        <v>57</v>
      </c>
      <c r="L12" s="3">
        <f t="shared" si="0"/>
        <v>0.35227272727272729</v>
      </c>
      <c r="M12">
        <f t="shared" si="1"/>
        <v>88</v>
      </c>
      <c r="N12" t="str">
        <f t="shared" si="4"/>
        <v>Toho, FL (35%)</v>
      </c>
    </row>
    <row r="13" spans="1:14" x14ac:dyDescent="0.35">
      <c r="A13" s="7" t="s">
        <v>50</v>
      </c>
      <c r="B13" s="20">
        <v>87</v>
      </c>
      <c r="C13" s="20">
        <v>50</v>
      </c>
      <c r="D13" s="20">
        <f t="shared" si="2"/>
        <v>37</v>
      </c>
      <c r="E13" s="21">
        <f t="shared" si="3"/>
        <v>0.42528735632183906</v>
      </c>
      <c r="H13">
        <v>9</v>
      </c>
      <c r="I13" s="7" t="s">
        <v>48</v>
      </c>
      <c r="J13">
        <v>19</v>
      </c>
      <c r="K13">
        <v>47</v>
      </c>
      <c r="L13" s="3">
        <f t="shared" si="0"/>
        <v>0.2878787878787879</v>
      </c>
      <c r="M13">
        <f t="shared" si="1"/>
        <v>66</v>
      </c>
      <c r="N13" t="str">
        <f t="shared" si="4"/>
        <v>Waterloo, Ontario, CAN (29%)</v>
      </c>
    </row>
    <row r="14" spans="1:14" x14ac:dyDescent="0.35">
      <c r="A14" s="7" t="s">
        <v>39</v>
      </c>
      <c r="B14" s="20">
        <v>86</v>
      </c>
      <c r="C14" s="20">
        <v>80</v>
      </c>
      <c r="D14" s="20">
        <f t="shared" si="2"/>
        <v>6</v>
      </c>
      <c r="E14" s="21">
        <f t="shared" si="3"/>
        <v>6.9767441860465115E-2</v>
      </c>
      <c r="H14">
        <v>6</v>
      </c>
      <c r="I14" s="7" t="s">
        <v>33</v>
      </c>
      <c r="J14">
        <v>46</v>
      </c>
      <c r="K14">
        <v>129</v>
      </c>
      <c r="L14" s="3">
        <f t="shared" si="0"/>
        <v>0.26285714285714284</v>
      </c>
      <c r="M14">
        <f t="shared" si="1"/>
        <v>175</v>
      </c>
      <c r="N14" t="str">
        <f t="shared" si="4"/>
        <v>Scottsdale, AZ (26%)</v>
      </c>
    </row>
    <row r="15" spans="1:14" x14ac:dyDescent="0.35">
      <c r="A15" s="7" t="s">
        <v>37</v>
      </c>
      <c r="B15" s="20">
        <v>81</v>
      </c>
      <c r="C15" s="20">
        <v>71</v>
      </c>
      <c r="D15" s="20">
        <f t="shared" si="2"/>
        <v>10</v>
      </c>
      <c r="E15" s="21">
        <f t="shared" si="3"/>
        <v>0.12345679012345678</v>
      </c>
      <c r="H15">
        <v>12</v>
      </c>
      <c r="I15" s="7" t="s">
        <v>49</v>
      </c>
      <c r="J15">
        <v>18</v>
      </c>
      <c r="K15">
        <v>52</v>
      </c>
      <c r="L15" s="3">
        <f t="shared" si="0"/>
        <v>0.25714285714285712</v>
      </c>
      <c r="M15">
        <f t="shared" si="1"/>
        <v>70</v>
      </c>
      <c r="N15" t="str">
        <f t="shared" si="4"/>
        <v>Cary, NC (26%)</v>
      </c>
    </row>
    <row r="16" spans="1:14" x14ac:dyDescent="0.35">
      <c r="A16" s="7" t="s">
        <v>34</v>
      </c>
      <c r="B16" s="20">
        <v>77</v>
      </c>
      <c r="C16" s="20">
        <v>59</v>
      </c>
      <c r="D16" s="20">
        <f t="shared" si="2"/>
        <v>18</v>
      </c>
      <c r="E16" s="21">
        <f t="shared" si="3"/>
        <v>0.23376623376623376</v>
      </c>
      <c r="H16">
        <v>7</v>
      </c>
      <c r="I16" s="7" t="s">
        <v>34</v>
      </c>
      <c r="J16">
        <v>17</v>
      </c>
      <c r="K16">
        <v>52</v>
      </c>
      <c r="L16" s="3">
        <f t="shared" si="0"/>
        <v>0.24637681159420291</v>
      </c>
      <c r="M16">
        <f t="shared" si="1"/>
        <v>69</v>
      </c>
      <c r="N16" t="str">
        <f t="shared" si="4"/>
        <v>Tacoma, WA (25%)</v>
      </c>
    </row>
    <row r="17" spans="1:14" x14ac:dyDescent="0.35">
      <c r="A17" s="7" t="s">
        <v>57</v>
      </c>
      <c r="B17" s="20">
        <v>69</v>
      </c>
      <c r="C17" s="20">
        <v>60</v>
      </c>
      <c r="D17" s="20">
        <f t="shared" si="2"/>
        <v>9</v>
      </c>
      <c r="E17" s="21">
        <f t="shared" si="3"/>
        <v>0.13043478260869565</v>
      </c>
      <c r="H17">
        <v>23</v>
      </c>
      <c r="I17" s="7" t="s">
        <v>52</v>
      </c>
      <c r="J17">
        <v>10</v>
      </c>
      <c r="K17">
        <v>34</v>
      </c>
      <c r="L17" s="3">
        <f t="shared" si="0"/>
        <v>0.22727272727272727</v>
      </c>
      <c r="M17">
        <f t="shared" si="1"/>
        <v>44</v>
      </c>
      <c r="N17" t="str">
        <f t="shared" si="4"/>
        <v>Santa Fe, NM (23%)</v>
      </c>
    </row>
    <row r="18" spans="1:14" x14ac:dyDescent="0.35">
      <c r="A18" s="7" t="s">
        <v>49</v>
      </c>
      <c r="B18" s="20">
        <v>68</v>
      </c>
      <c r="C18" s="20">
        <v>52</v>
      </c>
      <c r="D18" s="20">
        <f t="shared" si="2"/>
        <v>16</v>
      </c>
      <c r="E18" s="21">
        <f t="shared" si="3"/>
        <v>0.23529411764705882</v>
      </c>
      <c r="H18">
        <v>20</v>
      </c>
      <c r="I18" s="7" t="s">
        <v>41</v>
      </c>
      <c r="J18">
        <v>10</v>
      </c>
      <c r="K18">
        <v>43</v>
      </c>
      <c r="L18" s="3">
        <f t="shared" si="0"/>
        <v>0.18867924528301888</v>
      </c>
      <c r="M18">
        <f t="shared" si="1"/>
        <v>53</v>
      </c>
      <c r="N18" t="str">
        <f t="shared" si="4"/>
        <v>Portland, OR (19%)</v>
      </c>
    </row>
    <row r="19" spans="1:14" x14ac:dyDescent="0.35">
      <c r="A19" s="7" t="s">
        <v>40</v>
      </c>
      <c r="B19" s="20">
        <v>68</v>
      </c>
      <c r="C19" s="20">
        <v>65</v>
      </c>
      <c r="D19" s="20">
        <f t="shared" si="2"/>
        <v>3</v>
      </c>
      <c r="E19" s="21">
        <f t="shared" si="3"/>
        <v>4.4117647058823532E-2</v>
      </c>
      <c r="H19">
        <v>21</v>
      </c>
      <c r="I19" s="7" t="s">
        <v>56</v>
      </c>
      <c r="J19">
        <v>10</v>
      </c>
      <c r="K19">
        <v>58</v>
      </c>
      <c r="L19" s="3">
        <f t="shared" si="0"/>
        <v>0.14705882352941177</v>
      </c>
      <c r="M19">
        <f t="shared" si="1"/>
        <v>68</v>
      </c>
      <c r="N19" t="str">
        <f t="shared" si="4"/>
        <v>Edmonton, AB, CAN (15%)</v>
      </c>
    </row>
    <row r="20" spans="1:14" x14ac:dyDescent="0.35">
      <c r="A20" s="7" t="s">
        <v>46</v>
      </c>
      <c r="B20" s="20">
        <v>66</v>
      </c>
      <c r="C20" s="20">
        <v>59</v>
      </c>
      <c r="D20" s="20">
        <f t="shared" si="2"/>
        <v>7</v>
      </c>
      <c r="E20" s="21">
        <f t="shared" si="3"/>
        <v>0.10606060606060606</v>
      </c>
      <c r="H20">
        <v>13</v>
      </c>
      <c r="I20" s="7" t="s">
        <v>37</v>
      </c>
      <c r="J20">
        <v>12</v>
      </c>
      <c r="K20">
        <v>78</v>
      </c>
      <c r="L20" s="3">
        <f t="shared" si="0"/>
        <v>0.13333333333333333</v>
      </c>
      <c r="M20">
        <f t="shared" si="1"/>
        <v>90</v>
      </c>
      <c r="N20" t="str">
        <f t="shared" si="4"/>
        <v>Chicago, IL (13%)</v>
      </c>
    </row>
    <row r="21" spans="1:14" x14ac:dyDescent="0.35">
      <c r="A21" s="7" t="s">
        <v>45</v>
      </c>
      <c r="B21" s="20">
        <v>62</v>
      </c>
      <c r="C21" s="20">
        <v>56</v>
      </c>
      <c r="D21" s="20">
        <f t="shared" si="2"/>
        <v>6</v>
      </c>
      <c r="E21" s="21">
        <f t="shared" si="3"/>
        <v>9.6774193548387094E-2</v>
      </c>
      <c r="H21">
        <v>4</v>
      </c>
      <c r="I21" s="7" t="s">
        <v>46</v>
      </c>
      <c r="J21">
        <v>11</v>
      </c>
      <c r="K21">
        <v>72</v>
      </c>
      <c r="L21" s="3">
        <f t="shared" si="0"/>
        <v>0.13253012048192772</v>
      </c>
      <c r="M21">
        <f t="shared" si="1"/>
        <v>83</v>
      </c>
      <c r="N21" t="str">
        <f t="shared" si="4"/>
        <v>Peel, Ontario, CAN (13%)</v>
      </c>
    </row>
    <row r="22" spans="1:14" x14ac:dyDescent="0.35">
      <c r="A22" s="7" t="s">
        <v>52</v>
      </c>
      <c r="B22" s="20">
        <v>62</v>
      </c>
      <c r="C22" s="20">
        <v>49</v>
      </c>
      <c r="D22" s="20">
        <f t="shared" si="2"/>
        <v>13</v>
      </c>
      <c r="E22" s="21">
        <f t="shared" si="3"/>
        <v>0.20967741935483872</v>
      </c>
      <c r="H22">
        <v>1</v>
      </c>
      <c r="I22" s="7" t="s">
        <v>45</v>
      </c>
      <c r="J22">
        <v>6</v>
      </c>
      <c r="K22">
        <v>52</v>
      </c>
      <c r="L22" s="3">
        <f t="shared" si="0"/>
        <v>0.10344827586206896</v>
      </c>
      <c r="M22">
        <f t="shared" si="1"/>
        <v>58</v>
      </c>
      <c r="N22" t="str">
        <f t="shared" si="4"/>
        <v>Clayton County, GA (10%)</v>
      </c>
    </row>
    <row r="23" spans="1:14" x14ac:dyDescent="0.35">
      <c r="A23" s="7" t="s">
        <v>48</v>
      </c>
      <c r="B23" s="20">
        <v>58</v>
      </c>
      <c r="C23" s="20">
        <v>43</v>
      </c>
      <c r="D23" s="20">
        <f t="shared" si="2"/>
        <v>15</v>
      </c>
      <c r="E23" s="21">
        <f t="shared" si="3"/>
        <v>0.25862068965517243</v>
      </c>
      <c r="H23">
        <v>14</v>
      </c>
      <c r="I23" s="7" t="s">
        <v>57</v>
      </c>
      <c r="J23">
        <v>5</v>
      </c>
      <c r="K23">
        <v>49</v>
      </c>
      <c r="L23" s="3">
        <f t="shared" si="0"/>
        <v>9.2592592592592587E-2</v>
      </c>
      <c r="M23">
        <f t="shared" si="1"/>
        <v>54</v>
      </c>
      <c r="N23" t="str">
        <f t="shared" si="4"/>
        <v>Connecticut Regional (9%)</v>
      </c>
    </row>
    <row r="24" spans="1:14" x14ac:dyDescent="0.35">
      <c r="A24" s="7" t="s">
        <v>56</v>
      </c>
      <c r="B24" s="20">
        <v>58</v>
      </c>
      <c r="C24" s="20">
        <v>54</v>
      </c>
      <c r="D24" s="20">
        <f t="shared" si="2"/>
        <v>4</v>
      </c>
      <c r="E24" s="21">
        <f t="shared" si="3"/>
        <v>6.8965517241379309E-2</v>
      </c>
      <c r="H24">
        <v>16</v>
      </c>
      <c r="I24" s="7" t="s">
        <v>39</v>
      </c>
      <c r="J24">
        <v>7</v>
      </c>
      <c r="K24">
        <v>76</v>
      </c>
      <c r="L24" s="3">
        <f t="shared" si="0"/>
        <v>8.4337349397590355E-2</v>
      </c>
      <c r="M24">
        <f t="shared" si="1"/>
        <v>83</v>
      </c>
      <c r="N24" t="str">
        <f t="shared" si="4"/>
        <v>Miami-Dade, FL (8%)</v>
      </c>
    </row>
    <row r="25" spans="1:14" x14ac:dyDescent="0.35">
      <c r="A25" s="7" t="s">
        <v>41</v>
      </c>
      <c r="B25" s="20">
        <v>58</v>
      </c>
      <c r="C25" s="20">
        <v>49</v>
      </c>
      <c r="D25" s="20">
        <f t="shared" si="2"/>
        <v>9</v>
      </c>
      <c r="E25" s="21">
        <f t="shared" si="3"/>
        <v>0.15517241379310345</v>
      </c>
      <c r="H25">
        <v>19</v>
      </c>
      <c r="I25" s="7" t="s">
        <v>40</v>
      </c>
      <c r="J25">
        <v>4</v>
      </c>
      <c r="K25">
        <v>53</v>
      </c>
      <c r="L25" s="3">
        <f t="shared" si="0"/>
        <v>7.0175438596491224E-2</v>
      </c>
      <c r="M25">
        <f t="shared" si="1"/>
        <v>57</v>
      </c>
      <c r="N25" t="str">
        <f t="shared" si="4"/>
        <v>Philadelphia, PA (7%)</v>
      </c>
    </row>
    <row r="26" spans="1:14" x14ac:dyDescent="0.35">
      <c r="A26" s="22" t="s">
        <v>44</v>
      </c>
      <c r="B26" s="23">
        <f>MAX(B$3:B$25)</f>
        <v>217</v>
      </c>
      <c r="C26" s="23">
        <f t="shared" ref="C26" si="5">MAX(C$3:C$25)</f>
        <v>164</v>
      </c>
      <c r="D26" s="23">
        <f>MAX(D$3:D$25)</f>
        <v>103</v>
      </c>
      <c r="E26" s="24">
        <f>MAX(E$3:E$25)</f>
        <v>0.57541899441340782</v>
      </c>
    </row>
    <row r="27" spans="1:14" x14ac:dyDescent="0.35">
      <c r="A27" s="22" t="s">
        <v>43</v>
      </c>
      <c r="B27" s="23">
        <f>MIN(B$4:B$26)</f>
        <v>58</v>
      </c>
      <c r="C27" s="23">
        <f t="shared" ref="C27" si="6">MIN(C$4:C$26)</f>
        <v>43</v>
      </c>
      <c r="D27" s="23">
        <f>MIN(D$3:D$25)</f>
        <v>3</v>
      </c>
      <c r="E27" s="24">
        <f>MIN(E$3:E$25)</f>
        <v>4.4117647058823532E-2</v>
      </c>
    </row>
    <row r="29" spans="1:14" x14ac:dyDescent="0.35">
      <c r="A29">
        <f>COUNTA(A3:A25)</f>
        <v>23</v>
      </c>
    </row>
  </sheetData>
  <sortState ref="H3:M25">
    <sortCondition descending="1" ref="L3:L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Sheet1</vt:lpstr>
      <vt:lpstr>Budget</vt:lpstr>
      <vt:lpstr>PercapitaWaterUse</vt:lpstr>
      <vt:lpstr>Goals</vt:lpstr>
      <vt:lpstr>PercapitaWaterUse (2)</vt:lpstr>
      <vt:lpstr>SeasonalBar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2019-12-30T07:58:14Z</dcterms:created>
  <dcterms:modified xsi:type="dcterms:W3CDTF">2021-11-13T20:26:12Z</dcterms:modified>
</cp:coreProperties>
</file>