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6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date1904="0"/>
  <workbookProtection/>
  <bookViews>
    <workbookView xWindow="360" yWindow="15" windowWidth="20955" windowHeight="9720" activeTab="5"/>
  </bookViews>
  <sheets>
    <sheet name="description" sheetId="1" state="visible" r:id="rId1"/>
    <sheet name="raw data" sheetId="2" state="visible" r:id="rId2"/>
    <sheet name="BGfluo" sheetId="3" state="visible" r:id="rId3"/>
    <sheet name="concentration response" sheetId="4" state="visible" r:id="rId4"/>
    <sheet name="Ki calculation" sheetId="5" state="visible" r:id="rId5"/>
    <sheet name="plate + experiment control" sheetId="6" state="visible" r:id="rId6"/>
    <sheet name="_data" sheetId="7" state="hidden" r:id="rId7"/>
    <sheet name="_parameters" sheetId="8" state="hidden" r:id="rId8"/>
  </sheets>
  <calcPr refMode="A1" iterate="0" iterateCount="100" iterateDelta="0.0001"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<sst xmlns="http://schemas.openxmlformats.org/spreadsheetml/2006/main" count="240" uniqueCount="240">
  <si>
    <t xml:space="preserve">FITC-T4 TTR binding assay, data entry template</t>
  </si>
  <si>
    <t>Version</t>
  </si>
  <si>
    <t>Legend</t>
  </si>
  <si>
    <t xml:space="preserve">Yellow background</t>
  </si>
  <si>
    <t xml:space="preserve">Fields to be filled in by experimenter</t>
  </si>
  <si>
    <t xml:space="preserve">Grey background</t>
  </si>
  <si>
    <t xml:space="preserve">Immutable value fields</t>
  </si>
  <si>
    <t>Metadata</t>
  </si>
  <si>
    <t xml:space="preserve">Study identifier</t>
  </si>
  <si>
    <t>MyProject</t>
  </si>
  <si>
    <t xml:space="preserve">Unique study identifier</t>
  </si>
  <si>
    <t xml:space="preserve">Use a unique identifier from the agreed list of study identifiers.</t>
  </si>
  <si>
    <t xml:space="preserve">Experiment identifier</t>
  </si>
  <si>
    <t>TTRfitc-020</t>
  </si>
  <si>
    <t xml:space="preserve">Experiment identifier, unique within study</t>
  </si>
  <si>
    <t xml:space="preserve">An experiment comprises one or more plates prepared in parallel and measured on the same day. Multiple experiments on a single day are allowed.</t>
  </si>
  <si>
    <t xml:space="preserve">Plate identifier</t>
  </si>
  <si>
    <t>1</t>
  </si>
  <si>
    <t xml:space="preserve">Plate identifier, unique within an experiment</t>
  </si>
  <si>
    <t xml:space="preserve">A plate must be part of an experiment.</t>
  </si>
  <si>
    <t xml:space="preserve">Instrument identifier</t>
  </si>
  <si>
    <t>Instr1</t>
  </si>
  <si>
    <t xml:space="preserve">Unique identifier of the instrument</t>
  </si>
  <si>
    <t xml:space="preserve">Use an identifier from the agreed list of instrument identifiers.</t>
  </si>
  <si>
    <t xml:space="preserve">Experimenter name</t>
  </si>
  <si>
    <t xml:space="preserve">My Name</t>
  </si>
  <si>
    <t xml:space="preserve">Full name of the person</t>
  </si>
  <si>
    <t xml:space="preserve">Use the name of a person from the agreed list of responsible experimenters.</t>
  </si>
  <si>
    <t xml:space="preserve">Date of experiment</t>
  </si>
  <si>
    <t>-718809</t>
  </si>
  <si>
    <t xml:space="preserve">Date on which the experiment was carried out</t>
  </si>
  <si>
    <t xml:space="preserve">Use a date format recognized by your Excel settings.</t>
  </si>
  <si>
    <t xml:space="preserve">Laboratory identifier</t>
  </si>
  <si>
    <t>MYLAB</t>
  </si>
  <si>
    <t xml:space="preserve">Identifier of the laboratory in which the experiment was carried out</t>
  </si>
  <si>
    <t xml:space="preserve">An identifier for your lab.</t>
  </si>
  <si>
    <t xml:space="preserve">Temperature (°C)</t>
  </si>
  <si>
    <t>20</t>
  </si>
  <si>
    <t xml:space="preserve">Local room temperature</t>
  </si>
  <si>
    <t xml:space="preserve">Valid range considered to be between 18 and 24 degrees Celsius.</t>
  </si>
  <si>
    <t xml:space="preserve">Item 1</t>
  </si>
  <si>
    <t>T4</t>
  </si>
  <si>
    <t xml:space="preserve">Name or identifier of Item 1</t>
  </si>
  <si>
    <t xml:space="preserve">When using the "T4" reference, enter it as Item 1. Note that cell range B33:B39 will then be automatically filled with the fixed T4 concentrations.</t>
  </si>
  <si>
    <t xml:space="preserve">Molar mass 1</t>
  </si>
  <si>
    <t xml:space="preserve">Optional: Molar mass of Item 1</t>
  </si>
  <si>
    <t xml:space="preserve">Molar mass 776.87 will be automatically entered when using "T4". Otherwise leave open when unknown.</t>
  </si>
  <si>
    <t xml:space="preserve">Item 2</t>
  </si>
  <si>
    <t>53</t>
  </si>
  <si>
    <t xml:space="preserve">Name or identifier of Item 2</t>
  </si>
  <si>
    <t xml:space="preserve">Any test item except "T4".</t>
  </si>
  <si>
    <t xml:space="preserve">Molar mass 2</t>
  </si>
  <si>
    <t xml:space="preserve">Optional: Molar mass of Item 2</t>
  </si>
  <si>
    <t xml:space="preserve">Leave open when unknown.</t>
  </si>
  <si>
    <t xml:space="preserve">Run identifiers</t>
  </si>
  <si>
    <t xml:space="preserve">Run identifier 1</t>
  </si>
  <si>
    <t xml:space="preserve">Run identifier of the left block (columns 1-6)</t>
  </si>
  <si>
    <t xml:space="preserve">Use this identifier in the run log file.</t>
  </si>
  <si>
    <t xml:space="preserve">Run identifier 2</t>
  </si>
  <si>
    <t xml:space="preserve">Run identifier of the right block (columns 7-12)</t>
  </si>
  <si>
    <t xml:space="preserve">Plate well additions</t>
  </si>
  <si>
    <t>Concentration</t>
  </si>
  <si>
    <r>
      <rPr>
        <b/>
        <sz val="11"/>
        <rFont val="AR PL Mingti2L Big5"/>
      </rPr>
      <t>(μ</t>
    </r>
    <r>
      <rPr>
        <b/>
        <sz val="11"/>
        <rFont val="Calibri"/>
      </rPr>
      <t>g/L)</t>
    </r>
  </si>
  <si>
    <t>(nM)</t>
  </si>
  <si>
    <t xml:space="preserve">Control compound</t>
  </si>
  <si>
    <t>Fluorophore</t>
  </si>
  <si>
    <t xml:space="preserve">Binding protein</t>
  </si>
  <si>
    <t xml:space="preserve">Plate row</t>
  </si>
  <si>
    <t>FITC-T4</t>
  </si>
  <si>
    <t>TTR</t>
  </si>
  <si>
    <t>A</t>
  </si>
  <si>
    <t>B</t>
  </si>
  <si>
    <t>C</t>
  </si>
  <si>
    <t>D</t>
  </si>
  <si>
    <t>E</t>
  </si>
  <si>
    <t>F</t>
  </si>
  <si>
    <t>G</t>
  </si>
  <si>
    <t>H</t>
  </si>
  <si>
    <t xml:space="preserve">After filling in this sheet the resulting scheme of additions in 8x12 well plate format can be found in sheet "raw data", cell range A11:M23.</t>
  </si>
  <si>
    <t>nM</t>
  </si>
  <si>
    <t xml:space="preserve">Fields to be filled by the experimenter</t>
  </si>
  <si>
    <t xml:space="preserve">Other colors</t>
  </si>
  <si>
    <t>RFU</t>
  </si>
  <si>
    <t xml:space="preserve">Relative fluorescence units</t>
  </si>
  <si>
    <t xml:space="preserve">Additions (nM)</t>
  </si>
  <si>
    <t xml:space="preserve">nM FITC-T4</t>
  </si>
  <si>
    <t xml:space="preserve">with 30 nM TTR</t>
  </si>
  <si>
    <t xml:space="preserve">without TTR</t>
  </si>
  <si>
    <r>
      <rPr>
        <sz val="11"/>
        <rFont val="Calibri"/>
      </rPr>
      <t xml:space="preserve">nM or </t>
    </r>
    <r>
      <rPr>
        <sz val="11"/>
        <rFont val="AR PL Mingti2L Big5"/>
      </rPr>
      <t>μ</t>
    </r>
    <r>
      <rPr>
        <sz val="11"/>
        <rFont val="Calibri"/>
      </rPr>
      <t>g/L</t>
    </r>
  </si>
  <si>
    <t xml:space="preserve">Background corrected</t>
  </si>
  <si>
    <t>RFU_BC</t>
  </si>
  <si>
    <t xml:space="preserve">Raw data</t>
  </si>
  <si>
    <t xml:space="preserve">Indicate outliers or values that should be excluded by typing a star (*) behind the number, e.g. “321*".</t>
  </si>
  <si>
    <t xml:space="preserve">All excluded cells under “Raw data” must be given a “Reason for rejection" in the table below. Use well name format “A1”, “G12”, etc., one cell per row!</t>
  </si>
  <si>
    <t xml:space="preserve">Reasons for rejection</t>
  </si>
  <si>
    <t xml:space="preserve">Well name</t>
  </si>
  <si>
    <t xml:space="preserve">Reason for rejection</t>
  </si>
  <si>
    <t>competitor</t>
  </si>
  <si>
    <t>Mean(RFU)</t>
  </si>
  <si>
    <t>Item</t>
  </si>
  <si>
    <t>RFU_0</t>
  </si>
  <si>
    <t>RFU_min</t>
  </si>
  <si>
    <t>RFU_max</t>
  </si>
  <si>
    <t xml:space="preserve">Relative spread</t>
  </si>
  <si>
    <t xml:space="preserve">TTR (nM)</t>
  </si>
  <si>
    <t xml:space="preserve">FITC-T4 (nM)</t>
  </si>
  <si>
    <t>RFU_model</t>
  </si>
  <si>
    <t>DIF^2</t>
  </si>
  <si>
    <t xml:space="preserve">Enter fitted parameters of a Hill-equation on background-corrected fluorescence (RFU_BC)</t>
  </si>
  <si>
    <t>IC50</t>
  </si>
  <si>
    <t>n</t>
  </si>
  <si>
    <t>SS</t>
  </si>
  <si>
    <t xml:space="preserve">relative fluorescence units</t>
  </si>
  <si>
    <t>min</t>
  </si>
  <si>
    <t>minimum</t>
  </si>
  <si>
    <t>max</t>
  </si>
  <si>
    <t>maximum</t>
  </si>
  <si>
    <t xml:space="preserve">median inhibitory concentration</t>
  </si>
  <si>
    <t xml:space="preserve">Hill slope</t>
  </si>
  <si>
    <t xml:space="preserve">sum of squared differences</t>
  </si>
  <si>
    <t>BC</t>
  </si>
  <si>
    <t xml:space="preserve">background corrected</t>
  </si>
  <si>
    <t xml:space="preserve">Calculation of ICx and Ki</t>
  </si>
  <si>
    <t xml:space="preserve">Note that Ki can only be calculated if the test item is a pure compoud and its molar mass is known</t>
  </si>
  <si>
    <t>hillslope</t>
  </si>
  <si>
    <t xml:space="preserve">level of binding inhibition for Ki calculation</t>
  </si>
  <si>
    <t xml:space="preserve">x (%)</t>
  </si>
  <si>
    <t xml:space="preserve">Kd (nM)</t>
  </si>
  <si>
    <t xml:space="preserve">FITC-T4 total concentration</t>
  </si>
  <si>
    <t xml:space="preserve">Ltot (nM)</t>
  </si>
  <si>
    <t xml:space="preserve">TTR total concentration</t>
  </si>
  <si>
    <t xml:space="preserve">Ptot (nM)</t>
  </si>
  <si>
    <t xml:space="preserve">FITC-T4 bound to TTR without inhibitor</t>
  </si>
  <si>
    <t xml:space="preserve">PL0 (nM)</t>
  </si>
  <si>
    <t xml:space="preserve">FITC-T4 bound to TTR at x% binding inhibition</t>
  </si>
  <si>
    <t xml:space="preserve">PLx (nM)</t>
  </si>
  <si>
    <t xml:space="preserve">FITC-T4 free at x% binding inhibition</t>
  </si>
  <si>
    <t xml:space="preserve">Lx (nM)</t>
  </si>
  <si>
    <t xml:space="preserve">TTR free at x% binding inhibition</t>
  </si>
  <si>
    <t xml:space="preserve">Px (nM)</t>
  </si>
  <si>
    <t xml:space="preserve">inhibitor bound at x% binding inhibition</t>
  </si>
  <si>
    <t xml:space="preserve">PIx (nM)</t>
  </si>
  <si>
    <t xml:space="preserve">inhibitor free at x% inhibition</t>
  </si>
  <si>
    <t xml:space="preserve">Ix (nM)</t>
  </si>
  <si>
    <t xml:space="preserve">TTR-inhibitor dissociation constant</t>
  </si>
  <si>
    <t xml:space="preserve">Ki (nM)</t>
  </si>
  <si>
    <t xml:space="preserve">Plate controls</t>
  </si>
  <si>
    <t xml:space="preserve">Note: the Z' factor (Zhang et al, 1999, J. Biomol. Screening, 4:67-73) is not documented as a quality score in the SOP</t>
  </si>
  <si>
    <t xml:space="preserve">[RFU SC with TTR]_reference plate</t>
  </si>
  <si>
    <t xml:space="preserve">[RFU SC without TTR]_reference plate</t>
  </si>
  <si>
    <t xml:space="preserve">[Mean RFU SC with TTR]_reference plate - [Mean RFU SC without TTR]_reference plate</t>
  </si>
  <si>
    <t xml:space="preserve">[RFU T4 with TTR]_reference plate</t>
  </si>
  <si>
    <t xml:space="preserve">[RFU T4 without TTR]_reference plate</t>
  </si>
  <si>
    <t xml:space="preserve">[Mean RFU T4 with TTR]_reference plate - [Mean RFU T4 without TTR]_reference plate</t>
  </si>
  <si>
    <t xml:space="preserve">[RFU TBBPA with TTR]_reference plate</t>
  </si>
  <si>
    <t xml:space="preserve">[RFU TBBPA without TTR]_reference plate</t>
  </si>
  <si>
    <t xml:space="preserve">[Mean RFU TBBPA with TTR]_reference plate - [Mean RFU TBBPA without TTR]_reference plate</t>
  </si>
  <si>
    <t xml:space="preserve">RFI 3000 nM TBBPA</t>
  </si>
  <si>
    <t>%</t>
  </si>
  <si>
    <t xml:space="preserve">8.2.4: Positive experiment control (IC100) (7.6.2)</t>
  </si>
  <si>
    <t>Z'-factor</t>
  </si>
  <si>
    <t xml:space="preserve">[RFU SC with TTR]_plate x</t>
  </si>
  <si>
    <t xml:space="preserve">[RFU SC without TTR]_plate x</t>
  </si>
  <si>
    <t xml:space="preserve">[Mean RFU SC with TTR]_plate x - [Mean RFU SC without TTR]_plate x</t>
  </si>
  <si>
    <t xml:space="preserve">[RFU T4 with TTR]_plate x</t>
  </si>
  <si>
    <t xml:space="preserve">[RFU T4 without TTR]_plate x</t>
  </si>
  <si>
    <t xml:space="preserve">[Mean RFU T4 with TTR]_plate x - [Mean RFU T4 without TTR]_plate x</t>
  </si>
  <si>
    <t xml:space="preserve">RFI Solvent control</t>
  </si>
  <si>
    <t xml:space="preserve">8.2.3: Negative plate control (IC0) (7.6.1)</t>
  </si>
  <si>
    <t xml:space="preserve">RFI 62.5 nM T4</t>
  </si>
  <si>
    <t xml:space="preserve">8.2.5: Positive plate control (IC50) (7.6.3)</t>
  </si>
  <si>
    <t>fluo.chr</t>
  </si>
  <si>
    <t>itm1ID</t>
  </si>
  <si>
    <t>itm2ID</t>
  </si>
  <si>
    <t>TBBPA.ctrl</t>
  </si>
  <si>
    <t>T4.ctrl</t>
  </si>
  <si>
    <t>FITCT4</t>
  </si>
  <si>
    <t>onplate.repl</t>
  </si>
  <si>
    <t xml:space="preserve">column 1</t>
  </si>
  <si>
    <t xml:space="preserve">column 2</t>
  </si>
  <si>
    <t xml:space="preserve">column 3</t>
  </si>
  <si>
    <t>tripID</t>
  </si>
  <si>
    <t>tr01</t>
  </si>
  <si>
    <t>tr09</t>
  </si>
  <si>
    <t>tr17</t>
  </si>
  <si>
    <t>tr25</t>
  </si>
  <si>
    <t>tr02</t>
  </si>
  <si>
    <t>tr10</t>
  </si>
  <si>
    <t>tr18</t>
  </si>
  <si>
    <t>tr26</t>
  </si>
  <si>
    <t>tr03</t>
  </si>
  <si>
    <t>tr11</t>
  </si>
  <si>
    <t>tr19</t>
  </si>
  <si>
    <t>tr27</t>
  </si>
  <si>
    <t>tr04</t>
  </si>
  <si>
    <t>tr12</t>
  </si>
  <si>
    <t>tr20</t>
  </si>
  <si>
    <t>tr28</t>
  </si>
  <si>
    <t>tr05</t>
  </si>
  <si>
    <t>tr13</t>
  </si>
  <si>
    <t>tr21</t>
  </si>
  <si>
    <t>tr29</t>
  </si>
  <si>
    <t>tr06</t>
  </si>
  <si>
    <t>tr14</t>
  </si>
  <si>
    <t>tr22</t>
  </si>
  <si>
    <t>tr30</t>
  </si>
  <si>
    <t>tr07</t>
  </si>
  <si>
    <t>tr15</t>
  </si>
  <si>
    <t>tr23</t>
  </si>
  <si>
    <t>tr31</t>
  </si>
  <si>
    <t>tr08</t>
  </si>
  <si>
    <t>tr16</t>
  </si>
  <si>
    <t>tr24</t>
  </si>
  <si>
    <t>tr32</t>
  </si>
  <si>
    <t>RunID</t>
  </si>
  <si>
    <t>well</t>
  </si>
  <si>
    <t>reason</t>
  </si>
  <si>
    <t xml:space="preserve">Fixed concentrations</t>
  </si>
  <si>
    <t>TBBPA</t>
  </si>
  <si>
    <t xml:space="preserve">T4 control</t>
  </si>
  <si>
    <t xml:space="preserve">Fixed concentration ranges</t>
  </si>
  <si>
    <t>ug/L</t>
  </si>
  <si>
    <t xml:space="preserve">T4 stock and Mw</t>
  </si>
  <si>
    <t xml:space="preserve">Mw of T4</t>
  </si>
  <si>
    <t xml:space="preserve">Stock T4</t>
  </si>
  <si>
    <t>M</t>
  </si>
  <si>
    <t xml:space="preserve">Maximally acceptable relative spread</t>
  </si>
  <si>
    <t>max.spread</t>
  </si>
  <si>
    <t xml:space="preserve">RFI Solvent control ratio range</t>
  </si>
  <si>
    <t>ic0.min</t>
  </si>
  <si>
    <t>ic0.max</t>
  </si>
  <si>
    <t xml:space="preserve">RFI 3000 nM TBBPA ratio range</t>
  </si>
  <si>
    <t>ic100.min</t>
  </si>
  <si>
    <t>ic100.max</t>
  </si>
  <si>
    <t xml:space="preserve">RFI 62.5 nM T4 ratio range</t>
  </si>
  <si>
    <t>ic50.min</t>
  </si>
  <si>
    <t>ic50.max</t>
  </si>
  <si>
    <t xml:space="preserve">SOP version</t>
  </si>
  <si>
    <t>sop.version</t>
  </si>
  <si>
    <t>SOP01-TTRfitc_v5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</si>
</sst>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6">
    <numFmt numFmtId="164" formatCode="mm/dd/yy"/>
    <numFmt numFmtId="165" formatCode="#,##0.0"/>
    <numFmt numFmtId="166" formatCode="0.0"/>
    <numFmt numFmtId="167" formatCode="&quot;TRUE&quot;;&quot;TRUE&quot;;&quot;FALSE&quot;"/>
    <numFmt numFmtId="168" formatCode="&quot;&quot;;&quot;&quot;;&quot;&quot;;&quot;&quot;"/>
    <numFmt numFmtId="169" formatCode="0.000"/>
  </numFmts>
  <fonts count="14">
    <font>
      <sz val="11.000000"/>
      <color theme="1"/>
      <name val="Calibri"/>
    </font>
    <font>
      <b/>
      <sz val="14.000000"/>
      <color theme="1"/>
      <name val="Calibri"/>
    </font>
    <font>
      <b/>
      <sz val="11.000000"/>
      <color theme="1"/>
      <name val="Calibri"/>
    </font>
    <font>
      <i/>
      <sz val="11.000000"/>
      <color rgb="FFD62E4E"/>
      <name val="Calibri"/>
    </font>
    <font>
      <i/>
      <sz val="11.000000"/>
      <color theme="1"/>
      <name val="Calibri"/>
    </font>
    <font>
      <b/>
      <sz val="11.000000"/>
      <color theme="1"/>
      <name val="AR PL Mingti2L Big5"/>
    </font>
    <font>
      <b/>
      <sz val="11.000000"/>
      <color rgb="FFD62E4E"/>
      <name val="Calibri"/>
    </font>
    <font>
      <i/>
      <sz val="11.000000"/>
      <color rgb="FFC00000"/>
      <name val="Calibri"/>
    </font>
    <font>
      <b/>
      <sz val="11.000000"/>
      <color rgb="FFC00000"/>
      <name val="Calibri"/>
    </font>
    <font>
      <b/>
      <i/>
      <sz val="12.000000"/>
      <color theme="1"/>
      <name val="Calibri"/>
    </font>
    <font>
      <b/>
      <i/>
      <sz val="11.000000"/>
      <color theme="1"/>
      <name val="Calibri"/>
    </font>
    <font>
      <sz val="11.000000"/>
      <color rgb="FF595959"/>
      <name val="Calibri"/>
    </font>
    <font>
      <sz val="11.000000"/>
      <color rgb="FFC00000"/>
      <name val="Calibri"/>
    </font>
    <font>
      <sz val="11.000000"/>
      <color rgb="FFC9211E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FFFF6D"/>
        <bgColor indexed="5"/>
      </patternFill>
    </fill>
    <fill>
      <patternFill patternType="solid">
        <fgColor rgb="FFDDDDDD"/>
        <bgColor rgb="FFD9D9D9"/>
      </patternFill>
    </fill>
    <fill>
      <patternFill patternType="solid">
        <fgColor rgb="FFD9D9D9"/>
        <bgColor rgb="FFDDDDDD"/>
      </patternFill>
    </fill>
    <fill>
      <patternFill patternType="solid">
        <fgColor rgb="FFEC9BA4"/>
        <bgColor rgb="FFFFA6A6"/>
      </patternFill>
    </fill>
    <fill>
      <patternFill patternType="solid">
        <fgColor indexed="5"/>
        <bgColor indexed="5"/>
      </patternFill>
    </fill>
    <fill>
      <patternFill patternType="solid">
        <fgColor rgb="FFFFDBB6"/>
        <bgColor rgb="FFFFCCCC"/>
      </patternFill>
    </fill>
    <fill>
      <patternFill patternType="solid">
        <fgColor rgb="FFDDE8CB"/>
        <bgColor rgb="FFDDDDDD"/>
      </patternFill>
    </fill>
    <fill>
      <patternFill patternType="solid">
        <fgColor rgb="FFAFD095"/>
        <bgColor rgb="FFBFBFBF"/>
      </patternFill>
    </fill>
    <fill>
      <patternFill patternType="solid">
        <fgColor rgb="FFE0C2CD"/>
        <bgColor rgb="FFD9D9D9"/>
      </patternFill>
    </fill>
    <fill>
      <patternFill patternType="solid">
        <fgColor rgb="FFBF819E"/>
        <bgColor rgb="FF8B8B8B"/>
      </patternFill>
    </fill>
    <fill>
      <patternFill patternType="solid">
        <fgColor rgb="FFFFA6A6"/>
        <bgColor rgb="FFEC9BA4"/>
      </patternFill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98">
    <xf fontId="0" fillId="0" borderId="0" numFmtId="0" xfId="0"/>
    <xf fontId="1" fillId="0" borderId="0" numFmtId="0" xfId="0" applyFont="1" applyProtection="1">
      <protection hidden="0" locked="1"/>
    </xf>
    <xf fontId="2" fillId="0" borderId="0" numFmtId="0" xfId="0" applyFont="1" applyAlignment="1" applyProtection="1">
      <alignment horizontal="left"/>
      <protection hidden="0" locked="1"/>
    </xf>
    <xf fontId="3" fillId="0" borderId="0" numFmtId="0" xfId="0" applyFont="1" applyProtection="1">
      <protection hidden="0" locked="1"/>
    </xf>
    <xf fontId="2" fillId="0" borderId="0" numFmtId="0" xfId="0" applyFont="1" applyProtection="1">
      <protection hidden="0" locked="1"/>
    </xf>
    <xf fontId="0" fillId="2" borderId="0" numFmtId="0" xfId="0" applyFill="1" applyProtection="1">
      <protection hidden="0" locked="1"/>
    </xf>
    <xf fontId="0" fillId="3" borderId="0" numFmtId="0" xfId="0" applyFill="1" applyProtection="1">
      <protection hidden="0" locked="1"/>
    </xf>
    <xf fontId="0" fillId="2" borderId="0" numFmtId="0" xfId="0" applyFill="1" applyAlignment="1" applyProtection="1">
      <alignment horizontal="left"/>
      <protection hidden="0" locked="0"/>
    </xf>
    <xf fontId="4" fillId="0" borderId="0" numFmtId="0" xfId="0" applyFont="1" applyProtection="1">
      <protection hidden="0" locked="1"/>
    </xf>
    <xf fontId="0" fillId="2" borderId="0" numFmtId="164" xfId="0" applyNumberFormat="1" applyFill="1" applyAlignment="1" applyProtection="1">
      <alignment horizontal="left"/>
      <protection hidden="0" locked="0"/>
    </xf>
    <xf fontId="0" fillId="4" borderId="0" numFmtId="0" xfId="0" applyFill="1" applyProtection="1">
      <protection hidden="0" locked="1"/>
    </xf>
    <xf fontId="2" fillId="0" borderId="0" numFmtId="0" xfId="0" applyFont="1" applyAlignment="1" applyProtection="1">
      <alignment horizontal="center"/>
      <protection hidden="0" locked="1"/>
    </xf>
    <xf fontId="0" fillId="0" borderId="0" numFmtId="0" xfId="0" applyProtection="1">
      <protection hidden="0" locked="1"/>
    </xf>
    <xf fontId="5" fillId="0" borderId="0" numFmtId="0" xfId="0" applyFont="1" applyAlignment="1" applyProtection="1">
      <alignment horizontal="center" vertical="center"/>
      <protection hidden="0" locked="1"/>
    </xf>
    <xf fontId="5" fillId="0" borderId="0" numFmtId="0" xfId="0" applyFont="1" applyAlignment="1" applyProtection="1">
      <alignment horizontal="center"/>
      <protection hidden="0" locked="1"/>
    </xf>
    <xf fontId="2" fillId="0" borderId="0" numFmtId="0" xfId="0" applyFont="1" applyAlignment="1" applyProtection="1">
      <alignment horizontal="center" vertical="center"/>
      <protection hidden="0" locked="1"/>
    </xf>
    <xf fontId="2" fillId="3" borderId="0" numFmtId="0" xfId="0" applyFont="1" applyFill="1" applyAlignment="1" applyProtection="1">
      <alignment horizontal="left"/>
      <protection hidden="0" locked="1"/>
    </xf>
    <xf fontId="2" fillId="3" borderId="0" numFmtId="49" xfId="0" applyNumberFormat="1" applyFont="1" applyFill="1" applyAlignment="1" applyProtection="1">
      <alignment horizontal="left"/>
      <protection hidden="0" locked="1"/>
    </xf>
    <xf fontId="2" fillId="3" borderId="0" numFmtId="0" xfId="0" applyFont="1" applyFill="1" applyProtection="1">
      <protection hidden="0" locked="1"/>
    </xf>
    <xf fontId="0" fillId="4" borderId="0" numFmtId="165" xfId="0" applyNumberFormat="1" applyFill="1" applyAlignment="1" applyProtection="1">
      <alignment horizontal="left"/>
      <protection hidden="0" locked="1"/>
    </xf>
    <xf fontId="0" fillId="3" borderId="0" numFmtId="166" xfId="0" applyNumberFormat="1" applyFill="1" applyAlignment="1" applyProtection="1">
      <alignment horizontal="left"/>
      <protection hidden="0" locked="1"/>
    </xf>
    <xf fontId="0" fillId="3" borderId="0" numFmtId="3" xfId="0" applyNumberFormat="1" applyFill="1" applyAlignment="1" applyProtection="1">
      <alignment horizontal="left"/>
      <protection hidden="0" locked="1"/>
    </xf>
    <xf fontId="0" fillId="2" borderId="0" numFmtId="4" xfId="0" applyNumberFormat="1" applyFill="1" applyAlignment="1" applyProtection="1">
      <alignment horizontal="left"/>
      <protection hidden="0" locked="0"/>
    </xf>
    <xf fontId="0" fillId="2" borderId="0" numFmtId="3" xfId="0" applyNumberFormat="1" applyFill="1" applyAlignment="1" applyProtection="1">
      <alignment horizontal="left"/>
      <protection hidden="0" locked="0"/>
    </xf>
    <xf fontId="0" fillId="0" borderId="0" numFmtId="167" xfId="0" applyNumberFormat="1" applyProtection="1">
      <protection hidden="0" locked="1"/>
    </xf>
    <xf fontId="0" fillId="0" borderId="0" numFmtId="168" xfId="0" applyNumberFormat="1" applyProtection="1">
      <protection hidden="0" locked="1"/>
    </xf>
    <xf fontId="0" fillId="5" borderId="0" numFmtId="0" xfId="0" applyFill="1" applyProtection="1">
      <protection hidden="0" locked="1"/>
    </xf>
    <xf fontId="0" fillId="0" borderId="0" numFmtId="165" xfId="0" applyNumberFormat="1" applyProtection="1">
      <protection hidden="0" locked="1"/>
    </xf>
    <xf fontId="0" fillId="6" borderId="0" numFmtId="0" xfId="0" applyFill="1" applyProtection="1">
      <protection hidden="0" locked="1"/>
    </xf>
    <xf fontId="0" fillId="7" borderId="0" numFmtId="0" xfId="0" applyFill="1" applyProtection="1">
      <protection hidden="0" locked="1"/>
    </xf>
    <xf fontId="0" fillId="7" borderId="0" numFmtId="3" xfId="0" applyNumberFormat="1" applyFill="1" applyProtection="1">
      <protection hidden="0" locked="1"/>
    </xf>
    <xf fontId="0" fillId="8" borderId="0" numFmtId="0" xfId="0" applyFill="1" applyAlignment="1" applyProtection="1">
      <alignment horizontal="right"/>
      <protection hidden="0" locked="1"/>
    </xf>
    <xf fontId="0" fillId="8" borderId="0" numFmtId="0" xfId="0" applyFill="1" applyAlignment="1" applyProtection="1">
      <alignment horizontal="left"/>
      <protection hidden="0" locked="1"/>
    </xf>
    <xf fontId="0" fillId="8" borderId="0" numFmtId="0" xfId="0" applyFill="1" applyProtection="1">
      <protection hidden="0" locked="1"/>
    </xf>
    <xf fontId="0" fillId="9" borderId="0" numFmtId="0" xfId="0" applyFill="1" applyAlignment="1" applyProtection="1">
      <alignment horizontal="right"/>
      <protection hidden="0" locked="1"/>
    </xf>
    <xf fontId="0" fillId="9" borderId="0" numFmtId="0" xfId="0" applyFill="1" applyAlignment="1" applyProtection="1">
      <alignment horizontal="left"/>
      <protection hidden="0" locked="1"/>
    </xf>
    <xf fontId="0" fillId="9" borderId="0" numFmtId="0" xfId="0" applyFill="1" applyProtection="1">
      <protection hidden="0" locked="1"/>
    </xf>
    <xf fontId="0" fillId="10" borderId="0" numFmtId="0" xfId="0" applyFill="1" applyAlignment="1" applyProtection="1">
      <alignment horizontal="right"/>
      <protection hidden="0" locked="1"/>
    </xf>
    <xf fontId="0" fillId="10" borderId="0" numFmtId="0" xfId="0" applyFill="1" applyAlignment="1" applyProtection="1">
      <alignment horizontal="left"/>
      <protection hidden="0" locked="1"/>
    </xf>
    <xf fontId="0" fillId="10" borderId="0" numFmtId="0" xfId="0" applyFill="1" applyProtection="1">
      <protection hidden="0" locked="1"/>
    </xf>
    <xf fontId="0" fillId="11" borderId="0" numFmtId="0" xfId="0" applyFill="1" applyAlignment="1" applyProtection="1">
      <alignment horizontal="right"/>
      <protection hidden="0" locked="1"/>
    </xf>
    <xf fontId="0" fillId="11" borderId="0" numFmtId="0" xfId="0" applyFill="1" applyAlignment="1" applyProtection="1">
      <alignment horizontal="left"/>
      <protection hidden="0" locked="1"/>
    </xf>
    <xf fontId="0" fillId="11" borderId="0" numFmtId="0" xfId="0" applyFill="1" applyProtection="1">
      <protection hidden="0" locked="1"/>
    </xf>
    <xf fontId="0" fillId="0" borderId="0" numFmtId="0" xfId="0" applyAlignment="1" applyProtection="1">
      <alignment horizontal="center"/>
      <protection hidden="0" locked="1"/>
    </xf>
    <xf fontId="0" fillId="8" borderId="0" numFmtId="4" xfId="0" applyNumberFormat="1" applyFill="1" applyAlignment="1" applyProtection="1">
      <alignment horizontal="left"/>
      <protection hidden="0" locked="1"/>
    </xf>
    <xf fontId="0" fillId="9" borderId="0" numFmtId="4" xfId="0" applyNumberFormat="1" applyFill="1" applyAlignment="1" applyProtection="1">
      <alignment horizontal="left"/>
      <protection hidden="0" locked="1"/>
    </xf>
    <xf fontId="0" fillId="5" borderId="0" numFmtId="3" xfId="0" applyNumberFormat="1" applyFill="1" applyAlignment="1" applyProtection="1">
      <alignment horizontal="left"/>
      <protection hidden="0" locked="1"/>
    </xf>
    <xf fontId="0" fillId="10" borderId="0" numFmtId="3" xfId="0" applyNumberFormat="1" applyFill="1" applyAlignment="1" applyProtection="1">
      <alignment horizontal="left"/>
      <protection hidden="0" locked="1"/>
    </xf>
    <xf fontId="0" fillId="11" borderId="0" numFmtId="3" xfId="0" applyNumberFormat="1" applyFill="1" applyAlignment="1" applyProtection="1">
      <alignment horizontal="left"/>
      <protection hidden="0" locked="1"/>
    </xf>
    <xf fontId="0" fillId="8" borderId="0" numFmtId="165" xfId="0" applyNumberFormat="1" applyFill="1" applyAlignment="1" applyProtection="1">
      <alignment horizontal="left"/>
      <protection hidden="0" locked="1"/>
    </xf>
    <xf fontId="0" fillId="9" borderId="0" numFmtId="165" xfId="0" applyNumberFormat="1" applyFill="1" applyAlignment="1" applyProtection="1">
      <alignment horizontal="left"/>
      <protection hidden="0" locked="1"/>
    </xf>
    <xf fontId="0" fillId="8" borderId="0" numFmtId="3" xfId="0" applyNumberFormat="1" applyFill="1" applyAlignment="1" applyProtection="1">
      <alignment horizontal="left"/>
      <protection hidden="0" locked="1"/>
    </xf>
    <xf fontId="0" fillId="9" borderId="0" numFmtId="3" xfId="0" applyNumberFormat="1" applyFill="1" applyAlignment="1" applyProtection="1">
      <alignment horizontal="left"/>
      <protection hidden="0" locked="1"/>
    </xf>
    <xf fontId="0" fillId="8" borderId="0" numFmtId="166" xfId="0" applyNumberFormat="1" applyFill="1" applyAlignment="1" applyProtection="1">
      <alignment horizontal="center"/>
      <protection hidden="0" locked="1"/>
    </xf>
    <xf fontId="0" fillId="9" borderId="0" numFmtId="166" xfId="0" applyNumberFormat="1" applyFill="1" applyAlignment="1" applyProtection="1">
      <alignment horizontal="center"/>
      <protection hidden="0" locked="1"/>
    </xf>
    <xf fontId="0" fillId="10" borderId="0" numFmtId="166" xfId="0" applyNumberFormat="1" applyFill="1" applyAlignment="1" applyProtection="1">
      <alignment horizontal="center"/>
      <protection hidden="0" locked="1"/>
    </xf>
    <xf fontId="0" fillId="11" borderId="0" numFmtId="166" xfId="0" applyNumberFormat="1" applyFill="1" applyAlignment="1" applyProtection="1">
      <alignment horizontal="center"/>
      <protection hidden="0" locked="1"/>
    </xf>
    <xf fontId="0" fillId="2" borderId="0" numFmtId="0" xfId="0" applyFill="1" applyAlignment="1" applyProtection="1">
      <alignment horizontal="center"/>
      <protection hidden="0" locked="0"/>
    </xf>
    <xf fontId="0" fillId="0" borderId="0" numFmtId="2" xfId="0" applyNumberFormat="1" applyProtection="1">
      <protection hidden="0" locked="1"/>
    </xf>
    <xf fontId="6" fillId="3" borderId="0" numFmtId="0" xfId="0" applyFont="1" applyFill="1" applyProtection="1">
      <protection hidden="0" locked="1"/>
    </xf>
    <xf fontId="0" fillId="2" borderId="0" numFmtId="49" xfId="0" applyNumberFormat="1" applyFill="1" applyProtection="1">
      <protection hidden="0" locked="0"/>
    </xf>
    <xf fontId="0" fillId="2" borderId="0" numFmtId="167" xfId="0" applyNumberFormat="1" applyFill="1" applyProtection="1">
      <protection hidden="0" locked="1"/>
    </xf>
    <xf fontId="0" fillId="0" borderId="0" numFmtId="0" xfId="0" applyAlignment="1" applyProtection="1">
      <alignment horizontal="left"/>
      <protection hidden="0" locked="1"/>
    </xf>
    <xf fontId="0" fillId="0" borderId="0" numFmtId="0" xfId="0" applyAlignment="1" applyProtection="1">
      <alignment horizontal="right"/>
      <protection hidden="0" locked="1"/>
    </xf>
    <xf fontId="0" fillId="9" borderId="0" numFmtId="4" xfId="0" applyNumberFormat="1" applyFill="1" applyProtection="1">
      <protection hidden="0" locked="1"/>
    </xf>
    <xf fontId="0" fillId="9" borderId="0" numFmtId="166" xfId="0" applyNumberFormat="1" applyFill="1" applyAlignment="1" applyProtection="1">
      <alignment horizontal="left"/>
      <protection hidden="0" locked="1"/>
    </xf>
    <xf fontId="0" fillId="0" borderId="0" numFmtId="4" xfId="0" applyNumberFormat="1" applyProtection="1">
      <protection hidden="0" locked="1"/>
    </xf>
    <xf fontId="0" fillId="0" borderId="0" numFmtId="166" xfId="0" applyNumberFormat="1" applyProtection="1">
      <protection hidden="0" locked="1"/>
    </xf>
    <xf fontId="0" fillId="0" borderId="0" numFmtId="169" xfId="0" applyNumberFormat="1" applyProtection="1">
      <protection hidden="0" locked="1"/>
    </xf>
    <xf fontId="7" fillId="0" borderId="0" numFmtId="0" xfId="0" applyFont="1" applyProtection="1">
      <protection hidden="0" locked="1"/>
    </xf>
    <xf fontId="7" fillId="0" borderId="0" numFmtId="0" xfId="0" applyFont="1" applyAlignment="1" applyProtection="1">
      <alignment horizontal="left"/>
      <protection hidden="0" locked="1"/>
    </xf>
    <xf fontId="0" fillId="0" borderId="0" numFmtId="4" xfId="0" applyNumberFormat="1" applyAlignment="1" applyProtection="1">
      <alignment horizontal="right"/>
      <protection hidden="0" locked="1"/>
    </xf>
    <xf fontId="0" fillId="11" borderId="0" numFmtId="4" xfId="0" applyNumberFormat="1" applyFill="1" applyProtection="1">
      <protection hidden="0" locked="1"/>
    </xf>
    <xf fontId="0" fillId="11" borderId="0" numFmtId="166" xfId="0" applyNumberFormat="1" applyFill="1" applyAlignment="1" applyProtection="1">
      <alignment horizontal="left"/>
      <protection hidden="0" locked="1"/>
    </xf>
    <xf fontId="0" fillId="9" borderId="0" numFmtId="2" xfId="0" applyNumberFormat="1" applyFill="1" applyAlignment="1" applyProtection="1">
      <alignment horizontal="left"/>
      <protection hidden="0" locked="1"/>
    </xf>
    <xf fontId="0" fillId="0" borderId="0" numFmtId="1" xfId="0" applyNumberFormat="1" applyProtection="1">
      <protection hidden="0" locked="1"/>
    </xf>
    <xf fontId="4" fillId="0" borderId="0" numFmtId="0" xfId="0" applyFont="1" applyAlignment="1" applyProtection="1">
      <alignment horizontal="left"/>
      <protection hidden="0" locked="1"/>
    </xf>
    <xf fontId="0" fillId="2" borderId="0" numFmtId="166" xfId="0" applyNumberFormat="1" applyFill="1" applyProtection="1">
      <protection hidden="0" locked="0"/>
    </xf>
    <xf fontId="0" fillId="2" borderId="0" numFmtId="11" xfId="0" applyNumberFormat="1" applyFill="1" applyProtection="1">
      <protection hidden="0" locked="0"/>
    </xf>
    <xf fontId="0" fillId="2" borderId="0" numFmtId="2" xfId="0" applyNumberFormat="1" applyFill="1" applyProtection="1">
      <protection hidden="0" locked="0"/>
    </xf>
    <xf fontId="0" fillId="12" borderId="0" numFmtId="1" xfId="0" applyNumberFormat="1" applyFill="1" applyProtection="1">
      <protection hidden="0" locked="1"/>
    </xf>
    <xf fontId="0" fillId="0" borderId="0" numFmtId="166" xfId="0" applyNumberFormat="1" applyAlignment="1" applyProtection="1">
      <alignment horizontal="left"/>
      <protection hidden="0" locked="1"/>
    </xf>
    <xf fontId="0" fillId="0" borderId="0" numFmtId="1" xfId="0" applyNumberFormat="1" applyAlignment="1" applyProtection="1">
      <alignment horizontal="right"/>
      <protection hidden="0" locked="1"/>
    </xf>
    <xf fontId="0" fillId="0" borderId="0" numFmtId="11" xfId="0" applyNumberFormat="1" applyProtection="1">
      <protection hidden="0" locked="1"/>
    </xf>
    <xf fontId="0" fillId="2" borderId="0" numFmtId="0" xfId="0" applyFill="1" applyProtection="1">
      <protection hidden="0" locked="0"/>
    </xf>
    <xf fontId="0" fillId="0" borderId="0" numFmtId="3" xfId="0" applyNumberFormat="1" applyProtection="1">
      <protection hidden="0" locked="1"/>
    </xf>
    <xf fontId="8" fillId="0" borderId="0" numFmtId="0" xfId="0" applyFont="1" applyProtection="1">
      <protection hidden="0" locked="1"/>
    </xf>
    <xf fontId="9" fillId="0" borderId="0" numFmtId="0" xfId="0" applyFont="1" applyProtection="1">
      <protection hidden="0" locked="1"/>
    </xf>
    <xf fontId="10" fillId="0" borderId="0" numFmtId="0" xfId="0" applyFont="1" applyProtection="1">
      <protection hidden="0" locked="1"/>
    </xf>
    <xf fontId="11" fillId="4" borderId="0" numFmtId="166" xfId="0" applyNumberFormat="1" applyFont="1" applyFill="1" applyProtection="1">
      <protection hidden="0" locked="1"/>
    </xf>
    <xf fontId="0" fillId="4" borderId="0" numFmtId="166" xfId="0" applyNumberFormat="1" applyFill="1" applyProtection="1">
      <protection hidden="0" locked="1"/>
    </xf>
    <xf fontId="0" fillId="4" borderId="0" numFmtId="2" xfId="0" applyNumberFormat="1" applyFill="1" applyProtection="1">
      <protection hidden="0" locked="1"/>
    </xf>
    <xf fontId="12" fillId="0" borderId="0" numFmtId="0" xfId="0" applyFont="1" applyProtection="1">
      <protection hidden="0" locked="1"/>
    </xf>
    <xf fontId="0" fillId="0" borderId="0" numFmtId="165" xfId="0" applyNumberFormat="1" applyAlignment="1" applyProtection="1">
      <alignment horizontal="right"/>
      <protection hidden="0" locked="1"/>
    </xf>
    <xf fontId="0" fillId="0" borderId="0" numFmtId="166" xfId="0" applyNumberFormat="1" applyAlignment="1" applyProtection="1">
      <alignment horizontal="right"/>
      <protection hidden="0" locked="1"/>
    </xf>
    <xf fontId="2" fillId="0" borderId="0" numFmtId="0" xfId="0" applyFont="1" applyAlignment="1">
      <alignment horizontal="left"/>
      <protection hidden="0" locked="1"/>
    </xf>
    <xf fontId="13" fillId="0" borderId="0" numFmtId="0" xfId="0" applyFont="1" applyProtection="1">
      <protection hidden="0" locked="1"/>
    </xf>
    <xf fontId="2" fillId="0" borderId="0" numFmtId="0" xfId="0" applyFont="1" applyAlignment="1" applyProtection="1">
      <alignment horizontal="right"/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10" Type="http://schemas.openxmlformats.org/officeDocument/2006/relationships/sharedStrings" Target="sharedStrings.xml"/><Relationship  Id="rId11" Type="http://schemas.openxmlformats.org/officeDocument/2006/relationships/styles" Target="styles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worksheet" Target="worksheets/sheet6.xml"/><Relationship  Id="rId7" Type="http://schemas.openxmlformats.org/officeDocument/2006/relationships/worksheet" Target="worksheets/sheet7.xml"/><Relationship  Id="rId8" Type="http://schemas.openxmlformats.org/officeDocument/2006/relationships/worksheet" Target="worksheets/sheet8.xml"/><Relationship  Id="rId9" Type="http://schemas.openxmlformats.org/officeDocument/2006/relationships/theme" Target="theme/theme1.xml"/></Relationships>
</file>

<file path=xl/charts/_rels/chart1.xml.rels><?xml version="1.0" encoding="UTF-8" standalone="yes"?><Relationships xmlns="http://schemas.openxmlformats.org/package/2006/relationships"></Relationships>
</file>

<file path=xl/charts/_rels/chart2.xml.rels><?xml version="1.0" encoding="UTF-8" standalone="yes"?><Relationships xmlns="http://schemas.openxmlformats.org/package/2006/relationships"></Relationships>
</file>

<file path=xl/charts/_rels/chart3.xml.rels><?xml version="1.0" encoding="UTF-8" standalone="yes"?><Relationships xmlns="http://schemas.openxmlformats.org/package/2006/relationships"></Relationships>
</file>

<file path=xl/charts/_rels/chart4.xml.rels><?xml version="1.0" encoding="UTF-8" standalone="yes"?><Relationships xmlns="http://schemas.openxmlformats.org/package/2006/relationships"></Relationships>
</file>

<file path=xl/charts/_rels/chart5.xml.rels><?xml version="1.0" encoding="UTF-8" standalone="yes"?><Relationships xmlns="http://schemas.openxmlformats.org/package/2006/relationships"></Relationships>
</file>

<file path=xl/charts/_rels/chart6.xml.rels><?xml version="1.0" encoding="UTF-8" standalone="yes"?><Relationships xmlns="http://schemas.openxmlformats.org/package/2006/relationships"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2261"/>
          <c:y val="0.047133"/>
          <c:w val="0.897977"/>
          <c:h val="0.787340"/>
        </c:manualLayout>
      </c:layout>
      <c:scatterChart>
        <c:scatterStyle val="lineMarker"/>
        <c:varyColors val="0"/>
        <c:ser>
          <c:idx val="0"/>
          <c:order val="0"/>
          <c:spPr bwMode="auto">
            <a:prstGeom prst="rect">
              <a:avLst/>
            </a:prstGeom>
            <a:solidFill>
              <a:srgbClr val="3FAF46"/>
            </a:solidFill>
            <a:ln w="19080">
              <a:noFill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rgbClr val="3FAF46"/>
              </a:solidFill>
            </c:spPr>
          </c:marker>
          <c:dPt>
            <c:idx val="10"/>
            <c:marker>
              <c:symbol val="circle"/>
              <c:size val="5"/>
              <c:spPr bwMode="auto">
                <a:prstGeom prst="rect">
                  <a:avLst/>
                </a:prstGeom>
                <a:solidFill>
                  <a:srgbClr val="3FAF46"/>
                </a:solidFill>
              </c:spPr>
            </c:marker>
          </c:dPt>
          <c:dPt>
            <c:idx val="16"/>
            <c:marker>
              <c:symbol val="circle"/>
              <c:size val="5"/>
              <c:spPr bwMode="auto">
                <a:prstGeom prst="rect">
                  <a:avLst/>
                </a:prstGeom>
                <a:solidFill>
                  <a:srgbClr val="3FAF46"/>
                </a:solidFill>
              </c:spPr>
            </c:marker>
          </c:dPt>
          <c:dLbls>
            <c:dLbl>
              <c:idx val="10"/>
              <c:dLblPos val="r"/>
              <c:layout/>
              <c:separator xml:space="preserve">; </c:separator>
              <c:showBubbleSize val="0"/>
              <c:showCatName val="0"/>
              <c:showLegendKey val="0"/>
              <c:showPercent val="0"/>
              <c:showSerName val="0"/>
              <c:showVal val="0"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  <a:ea typeface="Arial"/>
                    </a:defRPr>
                  </a:pPr>
                  <a:endParaRPr/>
                </a:p>
              </c:txPr>
            </c:dLbl>
            <c:dLbl>
              <c:idx val="16"/>
              <c:dLblPos val="r"/>
              <c:layout/>
              <c:separator xml:space="preserve">; </c:separator>
              <c:showBubbleSize val="0"/>
              <c:showCatName val="0"/>
              <c:showLegendKey val="0"/>
              <c:showPercent val="0"/>
              <c:showSerName val="0"/>
              <c:showVal val="0"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  <a:ea typeface="Arial"/>
                    </a:defRPr>
                  </a:pPr>
                  <a:endParaRPr/>
                </a:p>
              </c:txPr>
            </c:dLbl>
            <c:dLblPos val="r"/>
            <c:separator xml:space="preserve">; </c:separator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  <a:endParaRPr/>
              </a:p>
            </c:txPr>
          </c:dLbls>
          <c:trendline>
            <c:spPr bwMode="auto">
              <a:prstGeom prst="rect">
                <a:avLst/>
              </a:prstGeom>
              <a:ln w="19080" cap="rnd">
                <a:solidFill>
                  <a:srgbClr val="AFD095"/>
                </a:solidFill>
                <a:round/>
              </a:ln>
            </c:spPr>
            <c:trendlineType val="linear"/>
            <c:forward val="0.000000"/>
            <c:backward val="0.000000"/>
            <c:dispRSqr val="0"/>
            <c:dispEq val="0"/>
          </c:trendline>
          <c:xVal>
            <c:numRef>
              <c:f>BGfluo!$B$2:$B$25</c:f>
              <c:numCache>
                <c:formatCode>General</c:formatCode>
                <c:ptCount val="24"/>
              </c:numCache>
            </c:numRef>
          </c:xVal>
          <c:yVal>
            <c:numRef>
              <c:f>BGfluo!$C$2:$C$25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35618016"/>
        <c:axId val="85509518"/>
      </c:scatterChart>
      <c:valAx>
        <c:axId val="356180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nl-NL" sz="1000" b="1" strike="noStrike" spc="-1">
                    <a:solidFill>
                      <a:srgbClr val="595959"/>
                    </a:solidFill>
                    <a:latin typeface="Calibri"/>
                    <a:ea typeface="Arial"/>
                  </a:defRPr>
                </a:pPr>
                <a:r>
                  <a:rPr lang="nl-NL" sz="1000" b="1" strike="noStrike" spc="-1">
                    <a:solidFill>
                      <a:srgbClr val="595959"/>
                    </a:solidFill>
                    <a:latin typeface="Calibri"/>
                    <a:ea typeface="Arial"/>
                  </a:rPr>
                  <a:t>[competitor]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 bwMode="auto">
          <a:prstGeom prst="rect">
            <a:avLst/>
          </a:prstGeom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  <a:ea typeface="Arial"/>
              </a:defRPr>
            </a:pPr>
            <a:endParaRPr/>
          </a:p>
        </c:txPr>
        <c:crossAx val="85509518"/>
        <c:crosses val="autoZero"/>
        <c:crossBetween val="midCat"/>
      </c:valAx>
      <c:valAx>
        <c:axId val="85509518"/>
        <c:scaling>
          <c:orientation val="minMax"/>
          <c:min val="0.000000"/>
        </c:scaling>
        <c:delete val="0"/>
        <c:axPos val="l"/>
        <c:majorGridlines>
          <c:spPr bwMode="auto">
            <a:prstGeom prst="rect">
              <a:avLst/>
            </a:prstGeom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nl-NL" sz="1000" b="1" strike="noStrike" spc="-1">
                    <a:solidFill>
                      <a:srgbClr val="595959"/>
                    </a:solidFill>
                    <a:latin typeface="Calibri"/>
                    <a:ea typeface="Arial"/>
                  </a:defRPr>
                </a:pPr>
                <a:r>
                  <a:rPr lang="nl-NL" sz="1000" b="1" strike="noStrike" spc="-1">
                    <a:solidFill>
                      <a:srgbClr val="595959"/>
                    </a:solidFill>
                    <a:latin typeface="Calibri"/>
                    <a:ea typeface="Arial"/>
                  </a:rPr>
                  <a:t>RFU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 bwMode="auto">
          <a:prstGeom prst="rect">
            <a:avLst/>
          </a:prstGeom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  <a:ea typeface="Arial"/>
              </a:defRPr>
            </a:pPr>
            <a:endParaRPr/>
          </a:p>
        </c:txPr>
        <c:crossAx val="35618016"/>
        <c:crosses val="autoZero"/>
        <c:crossBetween val="midCat"/>
      </c:valAx>
      <c:spPr bwMode="auto">
        <a:prstGeom prst="rect">
          <a:avLst/>
        </a:prstGeom>
        <a:noFill/>
        <a:ln w="0">
          <a:noFill/>
        </a:ln>
      </c:spPr>
    </c:plotArea>
    <c:plotVisOnly val="1"/>
    <c:dispBlanksAs val="gap"/>
    <c:showDLblsOverMax val="0"/>
  </c:chart>
  <c:spPr bwMode="auto">
    <a:xfrm>
      <a:off x="4493160" y="1226880"/>
      <a:ext cx="4608000" cy="2894400"/>
    </a:xfrm>
    <a:prstGeom prst="rect">
      <a:avLst/>
    </a:prstGeom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897"/>
          <c:y val="0.055164"/>
          <c:w val="0.828373"/>
          <c:h val="0.771914"/>
        </c:manualLayout>
      </c:layout>
      <c:scatterChart>
        <c:scatterStyle val="lineMarker"/>
        <c:varyColors val="0"/>
        <c:ser>
          <c:idx val="0"/>
          <c:order val="0"/>
          <c:spPr bwMode="auto">
            <a:prstGeom prst="rect">
              <a:avLst/>
            </a:prstGeom>
            <a:solidFill>
              <a:srgbClr val="A1467E"/>
            </a:solidFill>
            <a:ln w="25560">
              <a:noFill/>
            </a:ln>
          </c:spPr>
          <c:marker>
            <c:symbol val="square"/>
            <c:size val="5"/>
            <c:spPr bwMode="auto">
              <a:prstGeom prst="rect">
                <a:avLst/>
              </a:prstGeom>
              <a:solidFill>
                <a:srgbClr val="A1467E"/>
              </a:solidFill>
            </c:spPr>
          </c:marker>
          <c:dPt>
            <c:idx val="19"/>
            <c:marker>
              <c:symbol val="square"/>
              <c:size val="5"/>
              <c:spPr bwMode="auto">
                <a:prstGeom prst="rect">
                  <a:avLst/>
                </a:prstGeom>
                <a:solidFill>
                  <a:srgbClr val="A1467E"/>
                </a:solidFill>
              </c:spPr>
            </c:marker>
          </c:dPt>
          <c:dLbls>
            <c:dLbl>
              <c:idx val="19"/>
              <c:dLblPos val="r"/>
              <c:layout/>
              <c:separator xml:space="preserve">; </c:separator>
              <c:showBubbleSize val="0"/>
              <c:showCatName val="0"/>
              <c:showLegendKey val="0"/>
              <c:showPercent val="0"/>
              <c:showSerName val="0"/>
              <c:showVal val="0"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  <a:ea typeface="Arial"/>
                    </a:defRPr>
                  </a:pPr>
                  <a:endParaRPr/>
                </a:p>
              </c:txPr>
            </c:dLbl>
            <c:dLblPos val="r"/>
            <c:separator xml:space="preserve">; </c:separator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  <a:endParaRPr/>
              </a:p>
            </c:txPr>
          </c:dLbls>
          <c:trendline>
            <c:spPr bwMode="auto">
              <a:prstGeom prst="rect">
                <a:avLst/>
              </a:prstGeom>
              <a:ln w="19080" cap="rnd">
                <a:solidFill>
                  <a:srgbClr val="A1467E"/>
                </a:solidFill>
                <a:round/>
              </a:ln>
            </c:spPr>
            <c:trendlineType val="linear"/>
            <c:forward val="0.000000"/>
            <c:backward val="0.000000"/>
            <c:dispRSqr val="0"/>
            <c:dispEq val="0"/>
          </c:trendline>
          <c:xVal>
            <c:numRef>
              <c:f>BGfluo!$B$29:$B$52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xVal>
          <c:yVal>
            <c:numRef>
              <c:f>BGfluo!$C$29:$C$52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21183992"/>
        <c:axId val="75081477"/>
      </c:scatterChart>
      <c:valAx>
        <c:axId val="2118399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nl-NL" sz="1000" b="1" strike="noStrike" spc="-1">
                    <a:solidFill>
                      <a:srgbClr val="595959"/>
                    </a:solidFill>
                    <a:latin typeface="Calibri"/>
                    <a:ea typeface="Arial"/>
                  </a:defRPr>
                </a:pPr>
                <a:r>
                  <a:rPr lang="nl-NL" sz="1000" b="1" strike="noStrike" spc="-1">
                    <a:solidFill>
                      <a:srgbClr val="595959"/>
                    </a:solidFill>
                    <a:latin typeface="Calibri"/>
                    <a:ea typeface="Arial"/>
                  </a:rPr>
                  <a:t>[competitor]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 bwMode="auto">
          <a:prstGeom prst="rect">
            <a:avLst/>
          </a:prstGeom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  <a:ea typeface="Arial"/>
              </a:defRPr>
            </a:pPr>
            <a:endParaRPr/>
          </a:p>
        </c:txPr>
        <c:crossAx val="75081477"/>
        <c:crosses val="autoZero"/>
        <c:crossBetween val="midCat"/>
      </c:valAx>
      <c:valAx>
        <c:axId val="75081477"/>
        <c:scaling>
          <c:orientation val="minMax"/>
          <c:min val="0.000000"/>
        </c:scaling>
        <c:delete val="0"/>
        <c:axPos val="l"/>
        <c:majorGridlines>
          <c:spPr bwMode="auto">
            <a:prstGeom prst="rect">
              <a:avLst/>
            </a:prstGeom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nl-NL" sz="1000" b="1" strike="noStrike" spc="-1">
                    <a:solidFill>
                      <a:srgbClr val="595959"/>
                    </a:solidFill>
                    <a:latin typeface="Calibri"/>
                    <a:ea typeface="Arial"/>
                  </a:defRPr>
                </a:pPr>
                <a:r>
                  <a:rPr lang="nl-NL" sz="1000" b="1" strike="noStrike" spc="-1">
                    <a:solidFill>
                      <a:srgbClr val="595959"/>
                    </a:solidFill>
                    <a:latin typeface="Calibri"/>
                    <a:ea typeface="Arial"/>
                  </a:rPr>
                  <a:t>RFU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 bwMode="auto">
          <a:prstGeom prst="rect">
            <a:avLst/>
          </a:prstGeom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  <a:ea typeface="Arial"/>
              </a:defRPr>
            </a:pPr>
            <a:endParaRPr/>
          </a:p>
        </c:txPr>
        <c:crossAx val="21183992"/>
        <c:crosses val="autoZero"/>
        <c:crossBetween val="midCat"/>
      </c:valAx>
      <c:spPr bwMode="auto">
        <a:prstGeom prst="rect">
          <a:avLst/>
        </a:prstGeom>
        <a:noFill/>
        <a:ln w="0">
          <a:noFill/>
        </a:ln>
      </c:spPr>
    </c:plotArea>
    <c:plotVisOnly val="1"/>
    <c:dispBlanksAs val="gap"/>
    <c:showDLblsOverMax val="0"/>
  </c:chart>
  <c:spPr bwMode="auto">
    <a:xfrm>
      <a:off x="4493160" y="5972400"/>
      <a:ext cx="4608000" cy="2858040"/>
    </a:xfrm>
    <a:prstGeom prst="rect">
      <a:avLst/>
    </a:prstGeom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2259"/>
          <c:y val="0.047133"/>
          <c:w val="0.897876"/>
          <c:h val="0.787340"/>
        </c:manualLayout>
      </c:layout>
      <c:scatterChart>
        <c:scatterStyle val="lineMarker"/>
        <c:varyColors val="0"/>
        <c:ser>
          <c:idx val="0"/>
          <c:order val="0"/>
          <c:spPr bwMode="auto">
            <a:prstGeom prst="rect">
              <a:avLst/>
            </a:prstGeom>
            <a:solidFill>
              <a:srgbClr val="3FAF46"/>
            </a:solidFill>
            <a:ln w="19080">
              <a:noFill/>
              <a:bevel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rgbClr val="3FAF46"/>
              </a:solidFill>
            </c:spPr>
          </c:marker>
          <c:dPt>
            <c:idx val="10"/>
            <c:marker>
              <c:symbol val="circle"/>
              <c:size val="5"/>
              <c:spPr bwMode="auto">
                <a:prstGeom prst="rect">
                  <a:avLst/>
                </a:prstGeom>
                <a:solidFill>
                  <a:srgbClr val="3FAF46"/>
                </a:solidFill>
              </c:spPr>
            </c:marker>
          </c:dPt>
          <c:dPt>
            <c:idx val="16"/>
            <c:marker>
              <c:symbol val="circle"/>
              <c:size val="5"/>
              <c:spPr bwMode="auto">
                <a:prstGeom prst="rect">
                  <a:avLst/>
                </a:prstGeom>
                <a:solidFill>
                  <a:srgbClr val="3FAF46"/>
                </a:solidFill>
              </c:spPr>
            </c:marker>
          </c:dPt>
          <c:dLbls>
            <c:dLbl>
              <c:idx val="10"/>
              <c:dLblPos val="r"/>
              <c:layout/>
              <c:separator xml:space="preserve">; </c:separator>
              <c:showBubbleSize val="0"/>
              <c:showCatName val="0"/>
              <c:showLegendKey val="0"/>
              <c:showPercent val="0"/>
              <c:showSerName val="0"/>
              <c:showVal val="0"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  <a:ea typeface="Arial"/>
                    </a:defRPr>
                  </a:pPr>
                  <a:endParaRPr/>
                </a:p>
              </c:txPr>
            </c:dLbl>
            <c:dLbl>
              <c:idx val="16"/>
              <c:dLblPos val="r"/>
              <c:layout/>
              <c:separator xml:space="preserve">; </c:separator>
              <c:showBubbleSize val="0"/>
              <c:showCatName val="0"/>
              <c:showLegendKey val="0"/>
              <c:showPercent val="0"/>
              <c:showSerName val="0"/>
              <c:showVal val="0"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  <a:ea typeface="Arial"/>
                    </a:defRPr>
                  </a:pPr>
                  <a:endParaRPr/>
                </a:p>
              </c:txPr>
            </c:dLbl>
            <c:dLblPos val="r"/>
            <c:separator xml:space="preserve">; </c:separator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  <a:endParaRPr/>
              </a:p>
            </c:txPr>
          </c:dLbls>
          <c:trendline>
            <c:spPr bwMode="auto">
              <a:prstGeom prst="rect">
                <a:avLst/>
              </a:prstGeom>
              <a:ln w="19080" cap="rnd">
                <a:solidFill>
                  <a:srgbClr val="AFD095"/>
                </a:solidFill>
                <a:round/>
              </a:ln>
            </c:spPr>
            <c:trendlineType val="linear"/>
            <c:forward val="0.000000"/>
            <c:backward val="0.000000"/>
            <c:dispRSqr val="0"/>
            <c:dispEq val="0"/>
          </c:trendline>
          <c:xVal>
            <c:numRef>
              <c:f>BGfluo!$B$2:$B$25</c:f>
              <c:numCache>
                <c:formatCode>General</c:formatCode>
                <c:ptCount val="24"/>
              </c:numCache>
            </c:numRef>
          </c:xVal>
          <c:yVal>
            <c:numRef>
              <c:f>BGfluo!$C$2:$C$25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7024080"/>
        <c:axId val="31838964"/>
      </c:scatterChart>
      <c:valAx>
        <c:axId val="7024080"/>
        <c:scaling>
          <c:logBase val="10.000000"/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nl-NL" sz="1000" b="1" strike="noStrike" spc="-1">
                    <a:solidFill>
                      <a:srgbClr val="595959"/>
                    </a:solidFill>
                    <a:latin typeface="Calibri"/>
                    <a:ea typeface="Arial"/>
                  </a:defRPr>
                </a:pPr>
                <a:r>
                  <a:rPr lang="nl-NL" sz="1000" b="1" strike="noStrike" spc="-1">
                    <a:solidFill>
                      <a:srgbClr val="595959"/>
                    </a:solidFill>
                    <a:latin typeface="Calibri"/>
                    <a:ea typeface="Arial"/>
                  </a:rPr>
                  <a:t>[competitor]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 bwMode="auto">
          <a:prstGeom prst="rect">
            <a:avLst/>
          </a:prstGeom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  <a:ea typeface="Arial"/>
              </a:defRPr>
            </a:pPr>
            <a:endParaRPr/>
          </a:p>
        </c:txPr>
        <c:crossAx val="31838964"/>
        <c:crosses val="autoZero"/>
        <c:crossBetween val="midCat"/>
      </c:valAx>
      <c:valAx>
        <c:axId val="31838964"/>
        <c:scaling>
          <c:orientation val="minMax"/>
          <c:min val="0.000000"/>
        </c:scaling>
        <c:delete val="0"/>
        <c:axPos val="l"/>
        <c:majorGridlines>
          <c:spPr bwMode="auto">
            <a:prstGeom prst="rect">
              <a:avLst/>
            </a:prstGeom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nl-NL" sz="1000" b="1" strike="noStrike" spc="-1">
                    <a:solidFill>
                      <a:srgbClr val="595959"/>
                    </a:solidFill>
                    <a:latin typeface="Calibri"/>
                    <a:ea typeface="Arial"/>
                  </a:defRPr>
                </a:pPr>
                <a:r>
                  <a:rPr lang="nl-NL" sz="1000" b="1" strike="noStrike" spc="-1">
                    <a:solidFill>
                      <a:srgbClr val="595959"/>
                    </a:solidFill>
                    <a:latin typeface="Calibri"/>
                    <a:ea typeface="Arial"/>
                  </a:rPr>
                  <a:t>RFU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 bwMode="auto">
          <a:prstGeom prst="rect">
            <a:avLst/>
          </a:prstGeom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  <a:ea typeface="Arial"/>
              </a:defRPr>
            </a:pPr>
            <a:endParaRPr/>
          </a:p>
        </c:txPr>
        <c:crossAx val="7024080"/>
        <c:crosses val="autoZero"/>
        <c:crossBetween val="midCat"/>
      </c:valAx>
      <c:spPr bwMode="auto">
        <a:prstGeom prst="rect">
          <a:avLst/>
        </a:prstGeom>
        <a:noFill/>
        <a:ln w="0">
          <a:noFill/>
        </a:ln>
      </c:spPr>
    </c:plotArea>
    <c:plotVisOnly val="1"/>
    <c:dispBlanksAs val="gap"/>
    <c:showDLblsOverMax val="0"/>
  </c:chart>
  <c:spPr bwMode="auto">
    <a:xfrm>
      <a:off x="9641160" y="1228680"/>
      <a:ext cx="3729240" cy="2894400"/>
    </a:xfrm>
    <a:prstGeom prst="rect">
      <a:avLst/>
    </a:prstGeom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19"/>
          <c:y val="0.055198"/>
          <c:w val="0.828185"/>
          <c:h val="0.771897"/>
        </c:manualLayout>
      </c:layout>
      <c:scatterChart>
        <c:scatterStyle val="lineMarker"/>
        <c:varyColors val="0"/>
        <c:ser>
          <c:idx val="0"/>
          <c:order val="0"/>
          <c:spPr bwMode="auto">
            <a:prstGeom prst="rect">
              <a:avLst/>
            </a:prstGeom>
            <a:solidFill>
              <a:srgbClr val="A1467E"/>
            </a:solidFill>
            <a:ln w="25560">
              <a:noFill/>
            </a:ln>
          </c:spPr>
          <c:marker>
            <c:symbol val="square"/>
            <c:size val="5"/>
            <c:spPr bwMode="auto">
              <a:prstGeom prst="rect">
                <a:avLst/>
              </a:prstGeom>
              <a:solidFill>
                <a:srgbClr val="A1467E"/>
              </a:solidFill>
            </c:spPr>
          </c:marker>
          <c:dPt>
            <c:idx val="19"/>
            <c:marker>
              <c:symbol val="square"/>
              <c:size val="5"/>
              <c:spPr bwMode="auto">
                <a:prstGeom prst="rect">
                  <a:avLst/>
                </a:prstGeom>
                <a:solidFill>
                  <a:srgbClr val="A1467E"/>
                </a:solidFill>
              </c:spPr>
            </c:marker>
          </c:dPt>
          <c:dLbls>
            <c:dLbl>
              <c:idx val="19"/>
              <c:dLblPos val="r"/>
              <c:layout/>
              <c:separator xml:space="preserve">; </c:separator>
              <c:showBubbleSize val="0"/>
              <c:showCatName val="0"/>
              <c:showLegendKey val="0"/>
              <c:showPercent val="0"/>
              <c:showSerName val="0"/>
              <c:showVal val="0"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  <a:ea typeface="Arial"/>
                    </a:defRPr>
                  </a:pPr>
                  <a:endParaRPr/>
                </a:p>
              </c:txPr>
            </c:dLbl>
            <c:dLblPos val="r"/>
            <c:separator xml:space="preserve">; </c:separator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  <a:endParaRPr/>
              </a:p>
            </c:txPr>
          </c:dLbls>
          <c:trendline>
            <c:spPr bwMode="auto">
              <a:prstGeom prst="rect">
                <a:avLst/>
              </a:prstGeom>
              <a:ln w="19080" cap="rnd">
                <a:solidFill>
                  <a:srgbClr val="A1467E"/>
                </a:solidFill>
                <a:round/>
              </a:ln>
            </c:spPr>
            <c:trendlineType val="linear"/>
            <c:forward val="0.000000"/>
            <c:backward val="0.000000"/>
            <c:dispRSqr val="0"/>
            <c:dispEq val="0"/>
          </c:trendline>
          <c:xVal>
            <c:numRef>
              <c:f>BGfluo!$B$29:$B$52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xVal>
          <c:yVal>
            <c:numRef>
              <c:f>BGfluo!$C$29:$C$52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27674393"/>
        <c:axId val="42800199"/>
      </c:scatterChart>
      <c:valAx>
        <c:axId val="27674393"/>
        <c:scaling>
          <c:logBase val="10.000000"/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nl-NL" sz="1000" b="1" strike="noStrike" spc="-1">
                    <a:solidFill>
                      <a:srgbClr val="595959"/>
                    </a:solidFill>
                    <a:latin typeface="Calibri"/>
                    <a:ea typeface="Arial"/>
                  </a:defRPr>
                </a:pPr>
                <a:r>
                  <a:rPr lang="nl-NL" sz="1000" b="1" strike="noStrike" spc="-1">
                    <a:solidFill>
                      <a:srgbClr val="595959"/>
                    </a:solidFill>
                    <a:latin typeface="Calibri"/>
                    <a:ea typeface="Arial"/>
                  </a:rPr>
                  <a:t>[competitor]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 bwMode="auto">
          <a:prstGeom prst="rect">
            <a:avLst/>
          </a:prstGeom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  <a:ea typeface="Arial"/>
              </a:defRPr>
            </a:pPr>
            <a:endParaRPr/>
          </a:p>
        </c:txPr>
        <c:crossAx val="42800199"/>
        <c:crosses val="autoZero"/>
        <c:crossBetween val="midCat"/>
      </c:valAx>
      <c:valAx>
        <c:axId val="42800199"/>
        <c:scaling>
          <c:orientation val="minMax"/>
          <c:min val="0.000000"/>
        </c:scaling>
        <c:delete val="0"/>
        <c:axPos val="l"/>
        <c:majorGridlines>
          <c:spPr bwMode="auto">
            <a:prstGeom prst="rect">
              <a:avLst/>
            </a:prstGeom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nl-NL" sz="1000" b="1" strike="noStrike" spc="-1">
                    <a:solidFill>
                      <a:srgbClr val="595959"/>
                    </a:solidFill>
                    <a:latin typeface="Calibri"/>
                    <a:ea typeface="Arial"/>
                  </a:defRPr>
                </a:pPr>
                <a:r>
                  <a:rPr lang="nl-NL" sz="1000" b="1" strike="noStrike" spc="-1">
                    <a:solidFill>
                      <a:srgbClr val="595959"/>
                    </a:solidFill>
                    <a:latin typeface="Calibri"/>
                    <a:ea typeface="Arial"/>
                  </a:rPr>
                  <a:t>RFU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 bwMode="auto">
          <a:prstGeom prst="rect">
            <a:avLst/>
          </a:prstGeom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  <a:ea typeface="Arial"/>
              </a:defRPr>
            </a:pPr>
            <a:endParaRPr/>
          </a:p>
        </c:txPr>
        <c:crossAx val="27674393"/>
        <c:crosses val="autoZero"/>
        <c:crossBetween val="midCat"/>
      </c:valAx>
      <c:spPr bwMode="auto">
        <a:prstGeom prst="rect">
          <a:avLst/>
        </a:prstGeom>
        <a:noFill/>
        <a:ln w="0">
          <a:noFill/>
        </a:ln>
      </c:spPr>
    </c:plotArea>
    <c:plotVisOnly val="1"/>
    <c:dispBlanksAs val="gap"/>
    <c:showDLblsOverMax val="0"/>
  </c:chart>
  <c:spPr bwMode="auto">
    <a:xfrm>
      <a:off x="9641160" y="5960520"/>
      <a:ext cx="3729240" cy="2856240"/>
    </a:xfrm>
    <a:prstGeom prst="rect">
      <a:avLst/>
    </a:prstGeom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'concentration response'!$I$4</c:f>
              <c:strCache>
                <c:ptCount val="1"/>
                <c:pt idx="0">
                  <c:v>0</c:v>
                </c:pt>
              </c:strCache>
            </c:strRef>
          </c:tx>
          <c:spPr bwMode="auto">
            <a:prstGeom prst="rect">
              <a:avLst/>
            </a:prstGeom>
            <a:solidFill>
              <a:srgbClr val="77BC65"/>
            </a:solidFill>
            <a:ln w="28440">
              <a:noFill/>
            </a:ln>
          </c:spPr>
          <c:marker>
            <c:symbol val="circle"/>
            <c:size val="7"/>
            <c:spPr bwMode="auto">
              <a:prstGeom prst="rect">
                <a:avLst/>
              </a:prstGeom>
              <a:solidFill>
                <a:srgbClr val="77BC65"/>
              </a:solidFill>
            </c:spPr>
          </c:marker>
          <c:dLbls>
            <c:dLblPos val="r"/>
            <c:separator xml:space="preserve">; </c:separator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  <a:endParaRPr/>
              </a:p>
            </c:txPr>
          </c:dLbls>
          <c:xVal>
            <c:numRef>
              <c:f>'concentration response'!$D$2:$D$25</c:f>
              <c:numCache>
                <c:formatCode>General</c:formatCode>
                <c:ptCount val="24"/>
              </c:numCache>
            </c:numRef>
          </c:xVal>
          <c:yVal>
            <c:numRef>
              <c:f>'concentration response'!$E$2:$E$25</c:f>
              <c:numCache>
                <c:formatCode>General</c:formatCode>
                <c:ptCount val="24"/>
              </c:numCache>
            </c:numRef>
          </c:yVal>
          <c:smooth val="0"/>
        </c:ser>
        <c:ser>
          <c:idx val="1"/>
          <c:order val="1"/>
          <c:tx>
            <c:strRef>
              <c:f>'concentration response'!$I$4</c:f>
              <c:strCache>
                <c:ptCount val="1"/>
                <c:pt idx="0">
                  <c:v>0</c:v>
                </c:pt>
              </c:strCache>
            </c:strRef>
          </c:tx>
          <c:spPr bwMode="auto">
            <a:prstGeom prst="rect">
              <a:avLst/>
            </a:prstGeom>
            <a:solidFill>
              <a:srgbClr val="92D050"/>
            </a:solidFill>
            <a:ln w="28440">
              <a:solidFill>
                <a:srgbClr val="92D050"/>
              </a:solidFill>
              <a:round/>
            </a:ln>
          </c:spPr>
          <c:marker>
            <c:symbol val="none"/>
          </c:marker>
          <c:dLbls>
            <c:dLblPos val="r"/>
            <c:separator xml:space="preserve">; </c:separator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  <a:endParaRPr/>
              </a:p>
            </c:txPr>
          </c:dLbls>
          <c:xVal>
            <c:numRef>
              <c:f>'concentration response'!$D$2:$D$25</c:f>
              <c:numCache>
                <c:formatCode>General</c:formatCode>
                <c:ptCount val="24"/>
              </c:numCache>
            </c:numRef>
          </c:xVal>
          <c:yVal>
            <c:numRef>
              <c:f>'concentration response'!$F$2:$F$25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56520073"/>
        <c:axId val="33766613"/>
      </c:scatterChart>
      <c:valAx>
        <c:axId val="56520073"/>
        <c:scaling>
          <c:logBase val="10.000000"/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1000" b="1" strike="noStrike" spc="-1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  <a:r>
                  <a:rPr lang="en-US" sz="1000" b="1" strike="noStrike" spc="-1">
                    <a:solidFill>
                      <a:srgbClr val="000000"/>
                    </a:solidFill>
                    <a:latin typeface="Calibri"/>
                    <a:ea typeface="Arial"/>
                  </a:rPr>
                  <a:t>competitor (μg/L or nM)</a:t>
                </a:r>
                <a:endParaRPr/>
              </a:p>
            </c:rich>
          </c:tx>
          <c:layout>
            <c:manualLayout>
              <c:xMode val="edge"/>
              <c:yMode val="edge"/>
              <c:x val="0.428876"/>
              <c:y val="0.934828"/>
            </c:manualLayout>
          </c:layout>
          <c:overlay val="0"/>
          <c:spPr bwMode="auto">
            <a:prstGeom prst="rect">
              <a:avLst/>
            </a:prstGeom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 bwMode="auto">
          <a:prstGeom prst="rect">
            <a:avLst/>
          </a:prstGeom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  <a:ea typeface="Arial"/>
              </a:defRPr>
            </a:pPr>
            <a:endParaRPr/>
          </a:p>
        </c:txPr>
        <c:crossAx val="33766613"/>
        <c:crosses val="autoZero"/>
        <c:crossBetween val="midCat"/>
      </c:valAx>
      <c:valAx>
        <c:axId val="33766613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000" b="1" strike="noStrike" spc="-1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  <a:r>
                  <a:rPr lang="en-US" sz="1000" b="1" strike="noStrike" spc="-1">
                    <a:solidFill>
                      <a:srgbClr val="000000"/>
                    </a:solidFill>
                    <a:latin typeface="Calibri"/>
                    <a:ea typeface="Arial"/>
                  </a:rPr>
                  <a:t>RFU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 bwMode="auto">
          <a:prstGeom prst="rect">
            <a:avLst/>
          </a:prstGeom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  <a:ea typeface="Arial"/>
              </a:defRPr>
            </a:pPr>
            <a:endParaRPr/>
          </a:p>
        </c:txPr>
        <c:crossAx val="56520073"/>
        <c:crosses val="autoZero"/>
        <c:crossBetween val="midCat"/>
      </c:valAx>
      <c:spPr bwMode="auto">
        <a:prstGeom prst="rect">
          <a:avLst/>
        </a:prstGeom>
        <a:noFill/>
        <a:ln w="0">
          <a:noFill/>
        </a:ln>
      </c:spPr>
    </c:plotArea>
    <c:legend>
      <c:legendPos val="r"/>
      <c:layout/>
      <c:overlay val="0"/>
      <c:spPr bwMode="auto">
        <a:prstGeom prst="rect">
          <a:avLst/>
        </a:prstGeom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  <a:ea typeface="Arial"/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7012440" y="1911960"/>
      <a:ext cx="7417440" cy="4302720"/>
    </a:xfrm>
    <a:prstGeom prst="rect">
      <a:avLst/>
    </a:prstGeom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806"/>
          <c:y val="0.034850"/>
          <c:w val="0.718272"/>
          <c:h val="0.843931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'concentration response'!$I$5</c:f>
              <c:strCache>
                <c:ptCount val="1"/>
                <c:pt idx="0">
                  <c:v>0</c:v>
                </c:pt>
              </c:strCache>
            </c:strRef>
          </c:tx>
          <c:spPr bwMode="auto">
            <a:prstGeom prst="rect">
              <a:avLst/>
            </a:prstGeom>
            <a:solidFill>
              <a:srgbClr val="BF819E"/>
            </a:solidFill>
            <a:ln w="19080">
              <a:noFill/>
            </a:ln>
          </c:spPr>
          <c:marker>
            <c:symbol val="circle"/>
            <c:size val="7"/>
            <c:spPr bwMode="auto">
              <a:prstGeom prst="rect">
                <a:avLst/>
              </a:prstGeom>
              <a:solidFill>
                <a:srgbClr val="BF819E"/>
              </a:solidFill>
            </c:spPr>
          </c:marker>
          <c:dPt>
            <c:idx val="11"/>
            <c:marker>
              <c:symbol val="circle"/>
              <c:size val="7"/>
              <c:spPr bwMode="auto">
                <a:prstGeom prst="rect">
                  <a:avLst/>
                </a:prstGeom>
                <a:solidFill>
                  <a:srgbClr val="BF819E"/>
                </a:solidFill>
              </c:spPr>
            </c:marker>
          </c:dPt>
          <c:dPt>
            <c:idx val="13"/>
            <c:marker>
              <c:symbol val="circle"/>
              <c:size val="7"/>
              <c:spPr bwMode="auto">
                <a:prstGeom prst="rect">
                  <a:avLst/>
                </a:prstGeom>
                <a:solidFill>
                  <a:srgbClr val="BF819E"/>
                </a:solidFill>
              </c:spPr>
            </c:marker>
          </c:dPt>
          <c:dLbls>
            <c:dLbl>
              <c:idx val="11"/>
              <c:dLblPos val="r"/>
              <c:layout/>
              <c:separator xml:space="preserve">; </c:separator>
              <c:showBubbleSize val="0"/>
              <c:showCatName val="0"/>
              <c:showLegendKey val="0"/>
              <c:showPercent val="0"/>
              <c:showSerName val="0"/>
              <c:showVal val="0"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  <a:ea typeface="Arial"/>
                    </a:defRPr>
                  </a:pPr>
                  <a:endParaRPr/>
                </a:p>
              </c:txPr>
            </c:dLbl>
            <c:dLbl>
              <c:idx val="13"/>
              <c:dLblPos val="r"/>
              <c:layout/>
              <c:separator xml:space="preserve">; </c:separator>
              <c:showBubbleSize val="0"/>
              <c:showCatName val="0"/>
              <c:showLegendKey val="0"/>
              <c:showPercent val="0"/>
              <c:showSerName val="0"/>
              <c:showVal val="0"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  <a:ea typeface="Arial"/>
                    </a:defRPr>
                  </a:pPr>
                  <a:endParaRPr/>
                </a:p>
              </c:txPr>
            </c:dLbl>
            <c:dLblPos val="r"/>
            <c:separator xml:space="preserve">; </c:separator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  <a:endParaRPr/>
              </a:p>
            </c:txPr>
          </c:dLbls>
          <c:xVal>
            <c:numRef>
              <c:f>'concentration response'!$D$29:$D$52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xVal>
          <c:yVal>
            <c:numRef>
              <c:f>'concentration response'!$E$29:$E$52</c:f>
              <c:numCache>
                <c:formatCode>General</c:formatCode>
                <c:ptCount val="24"/>
              </c:numCache>
            </c:numRef>
          </c:yVal>
          <c:smooth val="0"/>
        </c:ser>
        <c:ser>
          <c:idx val="1"/>
          <c:order val="1"/>
          <c:tx>
            <c:strRef>
              <c:f>'concentration response'!$I$5</c:f>
              <c:strCache>
                <c:ptCount val="1"/>
                <c:pt idx="0">
                  <c:v>0</c:v>
                </c:pt>
              </c:strCache>
            </c:strRef>
          </c:tx>
          <c:spPr bwMode="auto">
            <a:prstGeom prst="rect">
              <a:avLst/>
            </a:prstGeom>
            <a:solidFill>
              <a:srgbClr val="BF819E"/>
            </a:solidFill>
            <a:ln w="28440">
              <a:solidFill>
                <a:srgbClr val="BF819E"/>
              </a:solidFill>
              <a:round/>
            </a:ln>
          </c:spPr>
          <c:marker>
            <c:symbol val="none"/>
          </c:marker>
          <c:dLbls>
            <c:dLblPos val="r"/>
            <c:separator xml:space="preserve">; </c:separator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  <a:endParaRPr/>
              </a:p>
            </c:txPr>
          </c:dLbls>
          <c:xVal>
            <c:numRef>
              <c:f>'concentration response'!$D$29:$D$52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xVal>
          <c:yVal>
            <c:numRef>
              <c:f>'concentration response'!$F$29:$F$52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46877469"/>
        <c:axId val="85739917"/>
      </c:scatterChart>
      <c:valAx>
        <c:axId val="46877469"/>
        <c:scaling>
          <c:logBase val="10.000000"/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1000" b="1" strike="noStrike" spc="-1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  <a:r>
                  <a:rPr lang="en-US" sz="1000" b="1" strike="noStrike" spc="-1">
                    <a:solidFill>
                      <a:srgbClr val="000000"/>
                    </a:solidFill>
                    <a:latin typeface="Calibri"/>
                    <a:ea typeface="Arial"/>
                  </a:rPr>
                  <a:t>competitor (μg/L or nM)</a:t>
                </a:r>
                <a:endParaRPr/>
              </a:p>
            </c:rich>
          </c:tx>
          <c:layout>
            <c:manualLayout>
              <c:xMode val="edge"/>
              <c:yMode val="edge"/>
              <c:x val="0.409609"/>
              <c:y val="0.907766"/>
            </c:manualLayout>
          </c:layout>
          <c:overlay val="0"/>
          <c:spPr bwMode="auto">
            <a:prstGeom prst="rect">
              <a:avLst/>
            </a:prstGeom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 bwMode="auto">
          <a:prstGeom prst="rect">
            <a:avLst/>
          </a:prstGeom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  <a:ea typeface="Arial"/>
              </a:defRPr>
            </a:pPr>
            <a:endParaRPr/>
          </a:p>
        </c:txPr>
        <c:crossAx val="85739917"/>
        <c:crosses val="autoZero"/>
        <c:crossBetween val="midCat"/>
      </c:valAx>
      <c:valAx>
        <c:axId val="85739917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000" b="1" strike="noStrike" spc="-1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  <a:r>
                  <a:rPr lang="en-US" sz="1000" b="1" strike="noStrike" spc="-1">
                    <a:solidFill>
                      <a:srgbClr val="000000"/>
                    </a:solidFill>
                    <a:latin typeface="Calibri"/>
                    <a:ea typeface="Arial"/>
                  </a:rPr>
                  <a:t>RFU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 bwMode="auto">
          <a:prstGeom prst="rect">
            <a:avLst/>
          </a:prstGeom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  <a:ea typeface="Arial"/>
              </a:defRPr>
            </a:pPr>
            <a:endParaRPr/>
          </a:p>
        </c:txPr>
        <c:crossAx val="46877469"/>
        <c:crosses val="autoZero"/>
        <c:crossBetween val="midCat"/>
      </c:valAx>
      <c:spPr bwMode="auto">
        <a:prstGeom prst="rect">
          <a:avLst/>
        </a:prstGeom>
        <a:noFill/>
        <a:ln w="0">
          <a:noFill/>
        </a:ln>
      </c:spPr>
    </c:plotArea>
    <c:legend>
      <c:legendPos val="r"/>
      <c:layout/>
      <c:overlay val="0"/>
      <c:spPr bwMode="auto">
        <a:prstGeom prst="rect">
          <a:avLst/>
        </a:prstGeom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  <a:ea typeface="Arial"/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7005600" y="6663240"/>
      <a:ext cx="7417440" cy="4296960"/>
    </a:xfrm>
    <a:prstGeom prst="rect">
      <a:avLst/>
    </a:prstGeom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Relationship Id="rId3" Type="http://schemas.openxmlformats.org/officeDocument/2006/relationships/chart" Target="../charts/chart3.xml" /><Relationship Id="rId4" Type="http://schemas.openxmlformats.org/officeDocument/2006/relationships/chart" Target="../charts/chart4.xm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 /><Relationship Id="rId2" Type="http://schemas.openxmlformats.org/officeDocument/2006/relationships/chart" Target="../charts/chart6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5</xdr:col>
      <xdr:colOff>3240</xdr:colOff>
      <xdr:row>7</xdr:row>
      <xdr:rowOff>0</xdr:rowOff>
    </xdr:from>
    <xdr:to>
      <xdr:col>8</xdr:col>
      <xdr:colOff>2004480</xdr:colOff>
      <xdr:row>23</xdr:row>
      <xdr:rowOff>90359</xdr:rowOff>
    </xdr:to>
    <xdr:graphicFrame>
      <xdr:nvGraphicFramePr>
        <xdr:cNvPr id="0" name="Chart 1"/>
        <xdr:cNvGraphicFramePr>
          <a:graphicFrameLocks xmlns:a="http://schemas.openxmlformats.org/drawingml/2006/main"/>
        </xdr:cNvGraphicFramePr>
      </xdr:nvGraphicFramePr>
      <xdr:xfrm>
        <a:off x="4493160" y="1226880"/>
        <a:ext cx="4608000" cy="2894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3240</xdr:colOff>
      <xdr:row>34</xdr:row>
      <xdr:rowOff>13680</xdr:rowOff>
    </xdr:from>
    <xdr:to>
      <xdr:col>8</xdr:col>
      <xdr:colOff>2004480</xdr:colOff>
      <xdr:row>50</xdr:row>
      <xdr:rowOff>67320</xdr:rowOff>
    </xdr:to>
    <xdr:graphicFrame>
      <xdr:nvGraphicFramePr>
        <xdr:cNvPr id="1" name=""/>
        <xdr:cNvGraphicFramePr>
          <a:graphicFrameLocks xmlns:a="http://schemas.openxmlformats.org/drawingml/2006/main"/>
        </xdr:cNvGraphicFramePr>
      </xdr:nvGraphicFramePr>
      <xdr:xfrm>
        <a:off x="4493160" y="5972400"/>
        <a:ext cx="4608000" cy="2858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420840</xdr:colOff>
      <xdr:row>7</xdr:row>
      <xdr:rowOff>1800</xdr:rowOff>
    </xdr:from>
    <xdr:to>
      <xdr:col>13</xdr:col>
      <xdr:colOff>834839</xdr:colOff>
      <xdr:row>23</xdr:row>
      <xdr:rowOff>92159</xdr:rowOff>
    </xdr:to>
    <xdr:graphicFrame>
      <xdr:nvGraphicFramePr>
        <xdr:cNvPr id="2" name=""/>
        <xdr:cNvGraphicFramePr>
          <a:graphicFrameLocks xmlns:a="http://schemas.openxmlformats.org/drawingml/2006/main"/>
        </xdr:cNvGraphicFramePr>
      </xdr:nvGraphicFramePr>
      <xdr:xfrm>
        <a:off x="9641160" y="1228680"/>
        <a:ext cx="3729240" cy="2894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420840</xdr:colOff>
      <xdr:row>34</xdr:row>
      <xdr:rowOff>1800</xdr:rowOff>
    </xdr:from>
    <xdr:to>
      <xdr:col>13</xdr:col>
      <xdr:colOff>834839</xdr:colOff>
      <xdr:row>50</xdr:row>
      <xdr:rowOff>53640</xdr:rowOff>
    </xdr:to>
    <xdr:graphicFrame>
      <xdr:nvGraphicFramePr>
        <xdr:cNvPr id="3" name=""/>
        <xdr:cNvGraphicFramePr>
          <a:graphicFrameLocks xmlns:a="http://schemas.openxmlformats.org/drawingml/2006/main"/>
        </xdr:cNvGraphicFramePr>
      </xdr:nvGraphicFramePr>
      <xdr:xfrm>
        <a:off x="9641160" y="5960520"/>
        <a:ext cx="3729240" cy="2856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8</xdr:col>
      <xdr:colOff>28079</xdr:colOff>
      <xdr:row>10</xdr:row>
      <xdr:rowOff>159480</xdr:rowOff>
    </xdr:from>
    <xdr:to>
      <xdr:col>18</xdr:col>
      <xdr:colOff>16560</xdr:colOff>
      <xdr:row>35</xdr:row>
      <xdr:rowOff>80640</xdr:rowOff>
    </xdr:to>
    <xdr:graphicFrame>
      <xdr:nvGraphicFramePr>
        <xdr:cNvPr id="4" name="Chart 1"/>
        <xdr:cNvGraphicFramePr>
          <a:graphicFrameLocks xmlns:a="http://schemas.openxmlformats.org/drawingml/2006/main"/>
        </xdr:cNvGraphicFramePr>
      </xdr:nvGraphicFramePr>
      <xdr:xfrm>
        <a:off x="7012440" y="1911960"/>
        <a:ext cx="7417440" cy="4302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21240</xdr:colOff>
      <xdr:row>38</xdr:row>
      <xdr:rowOff>3240</xdr:rowOff>
    </xdr:from>
    <xdr:to>
      <xdr:col>18</xdr:col>
      <xdr:colOff>9720</xdr:colOff>
      <xdr:row>62</xdr:row>
      <xdr:rowOff>93959</xdr:rowOff>
    </xdr:to>
    <xdr:graphicFrame>
      <xdr:nvGraphicFramePr>
        <xdr:cNvPr id="5" name="Chart 3"/>
        <xdr:cNvGraphicFramePr>
          <a:graphicFrameLocks xmlns:a="http://schemas.openxmlformats.org/drawingml/2006/main"/>
        </xdr:cNvGraphicFramePr>
      </xdr:nvGraphicFramePr>
      <xdr:xfrm>
        <a:off x="7005600" y="6663240"/>
        <a:ext cx="7417440" cy="429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4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zoomScale="100" workbookViewId="0">
      <selection activeCell="B41" activeCellId="0" sqref="B41"/>
    </sheetView>
  </sheetViews>
  <sheetFormatPr baseColWidth="10" defaultRowHeight="14.25"/>
  <cols>
    <col customWidth="1" min="1" max="1" width="20.710000000000001"/>
    <col customWidth="1" min="2" max="2" width="27.460000000000001"/>
    <col customWidth="1" min="3" max="3" width="39.909999999999997"/>
    <col customWidth="1" min="4" max="4" width="17.359999999999999"/>
    <col customWidth="1" min="5" max="5" width="16.91"/>
    <col customWidth="1" min="6" max="6" width="17.09"/>
    <col customWidth="1" min="7" max="7" width="13.630000000000001"/>
  </cols>
  <sheetData>
    <row r="1" ht="17.350000000000001" customHeight="1">
      <c r="A1" s="1" t="s">
        <v>0</v>
      </c>
      <c r="B1" s="2"/>
      <c r="E1" s="3"/>
    </row>
    <row r="2" ht="13.800000000000001" customHeight="1">
      <c r="A2" s="4" t="s">
        <v>1</v>
      </c>
      <c r="B2" s="2">
        <v>9.3000000000000007</v>
      </c>
      <c r="E2" s="3"/>
    </row>
    <row r="3" ht="13.800000000000001" customHeight="1">
      <c r="A3" s="4"/>
      <c r="E3" s="3"/>
    </row>
    <row r="4" ht="13.800000000000001" customHeight="1">
      <c r="A4" s="4" t="s">
        <v>2</v>
      </c>
      <c r="E4" s="3"/>
    </row>
    <row r="5" ht="13.800000000000001" customHeight="1">
      <c r="A5" s="5" t="s">
        <v>3</v>
      </c>
      <c r="B5" t="s">
        <v>4</v>
      </c>
      <c r="E5" s="3"/>
    </row>
    <row r="6" ht="13.800000000000001" customHeight="1">
      <c r="A6" s="6" t="s">
        <v>5</v>
      </c>
      <c r="B6" t="s">
        <v>6</v>
      </c>
      <c r="E6" s="3"/>
    </row>
    <row r="7" ht="13.800000000000001" customHeight="1">
      <c r="E7" s="3"/>
    </row>
    <row r="8" ht="13.800000000000001" customHeight="1">
      <c r="E8" s="3"/>
    </row>
    <row r="9" ht="13.800000000000001" customHeight="1">
      <c r="A9" s="4" t="s">
        <v>7</v>
      </c>
      <c r="E9" s="3"/>
    </row>
    <row r="10" ht="13.800000000000001" customHeight="1">
      <c r="A10" t="s">
        <v>8</v>
      </c>
      <c r="B10" s="7" t="s">
        <v>9</v>
      </c>
      <c r="C10" s="8" t="s">
        <v>10</v>
      </c>
      <c r="E10" s="3" t="s">
        <v>11</v>
      </c>
    </row>
    <row r="11" ht="13.800000000000001" customHeight="1">
      <c r="A11" t="s">
        <v>12</v>
      </c>
      <c r="B11" s="7" t="s">
        <v>13</v>
      </c>
      <c r="C11" s="8" t="s">
        <v>14</v>
      </c>
      <c r="E11" s="3" t="s">
        <v>15</v>
      </c>
    </row>
    <row r="12" ht="13.800000000000001" customHeight="1">
      <c r="A12" t="s">
        <v>16</v>
      </c>
      <c r="B12" s="7" t="s">
        <v>17</v>
      </c>
      <c r="C12" s="8" t="s">
        <v>18</v>
      </c>
      <c r="E12" s="3" t="s">
        <v>19</v>
      </c>
    </row>
    <row r="13" ht="13.800000000000001" customHeight="1">
      <c r="A13" t="s">
        <v>20</v>
      </c>
      <c r="B13" s="7" t="s">
        <v>21</v>
      </c>
      <c r="C13" s="8" t="s">
        <v>22</v>
      </c>
      <c r="E13" s="3" t="s">
        <v>23</v>
      </c>
    </row>
    <row r="14" ht="13.800000000000001" customHeight="1">
      <c r="A14" t="s">
        <v>24</v>
      </c>
      <c r="B14" s="7" t="s">
        <v>25</v>
      </c>
      <c r="C14" s="8" t="s">
        <v>26</v>
      </c>
      <c r="E14" s="3" t="s">
        <v>27</v>
      </c>
    </row>
    <row r="15" ht="13.800000000000001" customHeight="1">
      <c r="A15" t="s">
        <v>28</v>
      </c>
      <c r="B15" s="9" t="s">
        <v>29</v>
      </c>
      <c r="C15" s="8" t="s">
        <v>30</v>
      </c>
      <c r="E15" s="3" t="s">
        <v>31</v>
      </c>
    </row>
    <row r="16" ht="13.800000000000001" customHeight="1">
      <c r="A16" t="s">
        <v>32</v>
      </c>
      <c r="B16" s="7" t="s">
        <v>33</v>
      </c>
      <c r="C16" s="8" t="s">
        <v>34</v>
      </c>
      <c r="E16" s="3" t="s">
        <v>35</v>
      </c>
    </row>
    <row r="17" ht="13.800000000000001" customHeight="1">
      <c r="A17" t="s">
        <v>36</v>
      </c>
      <c r="B17" s="7" t="s">
        <v>37</v>
      </c>
      <c r="C17" s="8" t="s">
        <v>38</v>
      </c>
      <c r="E17" s="3" t="s">
        <v>39</v>
      </c>
    </row>
    <row r="18" ht="13.800000000000001" customHeight="1">
      <c r="A18" t="s">
        <v>40</v>
      </c>
      <c r="B18" s="7" t="s">
        <v>41</v>
      </c>
      <c r="C18" s="8" t="s">
        <v>42</v>
      </c>
      <c r="E18" s="3" t="s">
        <v>43</v>
      </c>
    </row>
    <row r="19" ht="13.800000000000001" customHeight="1">
      <c r="A19" t="s">
        <v>44</v>
      </c>
      <c r="B19" s="7">
        <f>IF($B$18="T4",_parameters!B19,"")</f>
        <v>776.87</v>
      </c>
      <c r="C19" s="8" t="s">
        <v>45</v>
      </c>
      <c r="E19" s="3" t="s">
        <v>46</v>
      </c>
    </row>
    <row r="20" ht="13.800000000000001" customHeight="1">
      <c r="A20" t="s">
        <v>47</v>
      </c>
      <c r="B20" s="7" t="s">
        <v>48</v>
      </c>
      <c r="C20" s="8" t="s">
        <v>49</v>
      </c>
      <c r="E20" s="3" t="s">
        <v>50</v>
      </c>
    </row>
    <row r="21" ht="13.800000000000001" customHeight="1">
      <c r="A21" t="s">
        <v>51</v>
      </c>
      <c r="B21" s="7"/>
      <c r="C21" s="8" t="s">
        <v>52</v>
      </c>
      <c r="E21" s="3" t="s">
        <v>53</v>
      </c>
    </row>
    <row r="22" ht="13.800000000000001" customHeight="1">
      <c r="D22" s="3"/>
    </row>
    <row r="23" ht="13.800000000000001" customHeight="1">
      <c r="A23" s="4" t="s">
        <v>54</v>
      </c>
      <c r="D23" s="3"/>
    </row>
    <row r="24" ht="13.800000000000001" customHeight="1">
      <c r="A24" t="s">
        <v>55</v>
      </c>
      <c r="B24" s="10" t="str">
        <f>_xlfn.TEXTJOIN("/",FALSE(),"it1",B18)</f>
        <v>it1/T4</v>
      </c>
      <c r="C24" t="s">
        <v>56</v>
      </c>
      <c r="D24" s="3"/>
      <c r="E24" s="3" t="s">
        <v>57</v>
      </c>
    </row>
    <row r="25" ht="13.800000000000001" customHeight="1">
      <c r="A25" t="s">
        <v>58</v>
      </c>
      <c r="B25" s="10" t="str">
        <f>_xlfn.TEXTJOIN("/",FALSE(),"it2",B20)</f>
        <v>it2/53</v>
      </c>
      <c r="C25" t="s">
        <v>59</v>
      </c>
      <c r="D25" s="3"/>
      <c r="E25" s="3" t="s">
        <v>57</v>
      </c>
    </row>
    <row r="26" ht="13.800000000000001" customHeight="1">
      <c r="D26" s="3"/>
      <c r="E26" s="3"/>
    </row>
    <row r="27" ht="13.800000000000001" customHeight="1">
      <c r="A27" s="4" t="s">
        <v>60</v>
      </c>
    </row>
    <row r="28" ht="13.800000000000001" customHeight="1">
      <c r="A28" s="11" t="s">
        <v>61</v>
      </c>
      <c r="B28" s="11"/>
      <c r="C28" s="11"/>
      <c r="D28" s="11"/>
      <c r="E28" s="11"/>
      <c r="F28" s="11"/>
    </row>
    <row r="29" ht="14.15" customHeight="1">
      <c r="A29" s="12"/>
      <c r="B29" s="13" t="s">
        <v>62</v>
      </c>
      <c r="C29" s="14" t="s">
        <v>62</v>
      </c>
      <c r="D29" s="15" t="s">
        <v>63</v>
      </c>
      <c r="E29" s="15"/>
      <c r="F29" s="15"/>
    </row>
    <row r="30" ht="13.800000000000001" customHeight="1">
      <c r="A30" s="12"/>
      <c r="B30" s="8" t="s">
        <v>40</v>
      </c>
      <c r="C30" s="8" t="s">
        <v>47</v>
      </c>
      <c r="D30" s="8" t="s">
        <v>64</v>
      </c>
      <c r="E30" s="8" t="s">
        <v>65</v>
      </c>
      <c r="F30" s="8" t="s">
        <v>66</v>
      </c>
    </row>
    <row r="31" ht="13.800000000000001" customHeight="1">
      <c r="A31" s="4" t="s">
        <v>67</v>
      </c>
      <c r="B31" s="16" t="str">
        <f>B18</f>
        <v>T4</v>
      </c>
      <c r="C31" s="17" t="str">
        <f>IF(B20="","",B20)</f>
        <v>53</v>
      </c>
      <c r="D31" s="18" t="str">
        <f>IF(B18="T4","TBBPA","T4")</f>
        <v>TBBPA</v>
      </c>
      <c r="E31" s="18" t="s">
        <v>68</v>
      </c>
      <c r="F31" s="18" t="s">
        <v>69</v>
      </c>
    </row>
    <row r="32" ht="13.800000000000001" customHeight="1">
      <c r="A32" s="12" t="s">
        <v>70</v>
      </c>
      <c r="B32" s="19">
        <v>0</v>
      </c>
      <c r="C32" s="19">
        <v>0</v>
      </c>
      <c r="D32" s="20">
        <f>IF(B18="T4",_parameters!B2,_parameters!B5)</f>
        <v>3000</v>
      </c>
      <c r="E32" s="21">
        <f>_parameters!B3</f>
        <v>110</v>
      </c>
      <c r="F32" s="21">
        <f>_parameters!B4</f>
        <v>30</v>
      </c>
    </row>
    <row r="33" ht="13.800000000000001" customHeight="1">
      <c r="A33" s="12" t="s">
        <v>71</v>
      </c>
      <c r="B33" s="22">
        <f>IF($B$18="T4",_parameters!A10,"")</f>
        <v>0.7578125</v>
      </c>
      <c r="C33" s="23">
        <v>5</v>
      </c>
      <c r="D33" s="21">
        <v>0</v>
      </c>
      <c r="E33" s="21">
        <f t="shared" ref="E33:E39" si="0">$E$32</f>
        <v>110</v>
      </c>
      <c r="F33" s="21">
        <f t="shared" ref="F33:F39" si="1">$F$32</f>
        <v>30</v>
      </c>
    </row>
    <row r="34" ht="13.800000000000001" customHeight="1">
      <c r="A34" s="12" t="s">
        <v>72</v>
      </c>
      <c r="B34" s="22">
        <f>IF($B$18="T4",_parameters!A11,"")</f>
        <v>3.03125</v>
      </c>
      <c r="C34" s="23">
        <v>15</v>
      </c>
      <c r="D34" s="21">
        <v>0</v>
      </c>
      <c r="E34" s="21">
        <f t="shared" si="0"/>
        <v>110</v>
      </c>
      <c r="F34" s="21">
        <f t="shared" si="1"/>
        <v>30</v>
      </c>
    </row>
    <row r="35" ht="13.800000000000001" customHeight="1">
      <c r="A35" s="12" t="s">
        <v>73</v>
      </c>
      <c r="B35" s="22">
        <f>IF($B$18="T4",_parameters!A12,"")</f>
        <v>12.125</v>
      </c>
      <c r="C35" s="23">
        <v>50</v>
      </c>
      <c r="D35" s="21">
        <v>0</v>
      </c>
      <c r="E35" s="21">
        <f t="shared" si="0"/>
        <v>110</v>
      </c>
      <c r="F35" s="21">
        <f t="shared" si="1"/>
        <v>30</v>
      </c>
    </row>
    <row r="36" ht="13.800000000000001" customHeight="1">
      <c r="A36" s="12" t="s">
        <v>74</v>
      </c>
      <c r="B36" s="22">
        <f>IF($B$18="T4",_parameters!A13,"")</f>
        <v>48.5</v>
      </c>
      <c r="C36" s="23">
        <v>150</v>
      </c>
      <c r="D36" s="21">
        <v>0</v>
      </c>
      <c r="E36" s="21">
        <f t="shared" si="0"/>
        <v>110</v>
      </c>
      <c r="F36" s="21">
        <f t="shared" si="1"/>
        <v>30</v>
      </c>
    </row>
    <row r="37" ht="13.800000000000001" customHeight="1">
      <c r="A37" s="12" t="s">
        <v>75</v>
      </c>
      <c r="B37" s="22">
        <f>IF($B$18="T4",_parameters!A14,"")</f>
        <v>194</v>
      </c>
      <c r="C37" s="23">
        <v>500</v>
      </c>
      <c r="D37" s="21">
        <v>0</v>
      </c>
      <c r="E37" s="21">
        <f t="shared" si="0"/>
        <v>110</v>
      </c>
      <c r="F37" s="21">
        <f t="shared" si="1"/>
        <v>30</v>
      </c>
    </row>
    <row r="38" ht="13.800000000000001" customHeight="1">
      <c r="A38" s="12" t="s">
        <v>76</v>
      </c>
      <c r="B38" s="22">
        <f>IF($B$18="T4",_parameters!A15,"")</f>
        <v>776</v>
      </c>
      <c r="C38" s="23">
        <v>1500</v>
      </c>
      <c r="D38" s="21">
        <v>0</v>
      </c>
      <c r="E38" s="21">
        <f t="shared" si="0"/>
        <v>110</v>
      </c>
      <c r="F38" s="21">
        <f t="shared" si="1"/>
        <v>30</v>
      </c>
    </row>
    <row r="39" ht="13.800000000000001" customHeight="1">
      <c r="A39" s="12" t="s">
        <v>77</v>
      </c>
      <c r="B39" s="22">
        <f>IF($B$18="T4",_parameters!A16,"")</f>
        <v>3104</v>
      </c>
      <c r="C39" s="23">
        <v>5000</v>
      </c>
      <c r="D39" s="21">
        <v>0</v>
      </c>
      <c r="E39" s="21">
        <f t="shared" si="0"/>
        <v>110</v>
      </c>
      <c r="F39" s="21">
        <f t="shared" si="1"/>
        <v>30</v>
      </c>
    </row>
    <row r="40" ht="14.25" customHeight="1"/>
    <row r="41" ht="14.25" customHeight="1">
      <c r="A41" s="3" t="s">
        <v>78</v>
      </c>
      <c r="B41" s="24"/>
    </row>
    <row r="43" ht="14.25" customHeight="1">
      <c r="B43" s="25">
        <f t="shared" ref="B43:B50" si="2">IF(ISNUMBER($B$19),1000*B32/$B$19,B32)</f>
        <v>0</v>
      </c>
      <c r="C43" s="25">
        <f t="shared" ref="C43:C50" si="3">IF(ISNUMBER($B$21),1000*C32/$B$21,C32)</f>
        <v>0</v>
      </c>
    </row>
    <row r="44" ht="14.25" customHeight="1">
      <c r="B44" s="25">
        <f t="shared" si="2"/>
        <v>0.97546886866528504</v>
      </c>
      <c r="C44" s="25">
        <f t="shared" si="3"/>
        <v>5</v>
      </c>
    </row>
    <row r="45" ht="14.25" customHeight="1">
      <c r="B45" s="25">
        <f t="shared" si="2"/>
        <v>3.9018754746611402</v>
      </c>
      <c r="C45" s="25">
        <f t="shared" si="3"/>
        <v>15</v>
      </c>
    </row>
    <row r="46" ht="14.25" customHeight="1">
      <c r="B46" s="25">
        <f t="shared" si="2"/>
        <v>15.607501898644561</v>
      </c>
      <c r="C46" s="25">
        <f t="shared" si="3"/>
        <v>50</v>
      </c>
    </row>
    <row r="47" ht="14.25" customHeight="1">
      <c r="B47" s="25">
        <f t="shared" si="2"/>
        <v>62.430007594578242</v>
      </c>
      <c r="C47" s="25">
        <f t="shared" si="3"/>
        <v>150</v>
      </c>
    </row>
    <row r="48" ht="14.25" customHeight="1">
      <c r="B48" s="25">
        <f t="shared" si="2"/>
        <v>249.72003037831297</v>
      </c>
      <c r="C48" s="25">
        <f t="shared" si="3"/>
        <v>500</v>
      </c>
    </row>
    <row r="49" ht="14.25" customHeight="1">
      <c r="B49" s="25">
        <f t="shared" si="2"/>
        <v>998.88012151325188</v>
      </c>
      <c r="C49" s="25">
        <f t="shared" si="3"/>
        <v>1500</v>
      </c>
    </row>
    <row r="50" ht="14.25" customHeight="1">
      <c r="B50" s="25">
        <f t="shared" si="2"/>
        <v>3995.5204860530075</v>
      </c>
      <c r="C50" s="25">
        <f t="shared" si="3"/>
        <v>5000</v>
      </c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mergeCells count="2">
    <mergeCell ref="A28:F28"/>
    <mergeCell ref="D29:F29"/>
  </mergeCells>
  <printOptions headings="0" gridLines="0"/>
  <pageMargins left="0.69999999999999996" right="0.69999999999999996" top="0.75" bottom="0.75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topLeftCell="A6" zoomScale="100" workbookViewId="0">
      <selection activeCell="B27" activeCellId="0" sqref="B27"/>
    </sheetView>
  </sheetViews>
  <sheetFormatPr baseColWidth="10" defaultRowHeight="15"/>
  <cols>
    <col customWidth="1" min="1" max="1" width="19.460000000000001"/>
    <col customWidth="1" min="2" max="13" width="11.640000000000001"/>
    <col customWidth="1" min="14" max="14" width="11.84"/>
    <col customWidth="1" min="16" max="16" width="12.369999999999999"/>
  </cols>
  <sheetData>
    <row r="1" ht="13.800000000000001" customHeight="1">
      <c r="A1" s="4" t="s">
        <v>2</v>
      </c>
    </row>
    <row r="2" ht="13.800000000000001" customHeight="1">
      <c r="A2" s="26"/>
      <c r="B2" t="str">
        <f>description!D31</f>
        <v>TBBPA</v>
      </c>
      <c r="C2" s="27">
        <f>description!D32</f>
        <v>3000</v>
      </c>
      <c r="D2" t="s">
        <v>79</v>
      </c>
    </row>
    <row r="3" ht="13.800000000000001" customHeight="1">
      <c r="A3" s="28"/>
      <c r="B3" t="s">
        <v>80</v>
      </c>
    </row>
    <row r="4" ht="13.800000000000001" customHeight="1">
      <c r="A4" t="s">
        <v>81</v>
      </c>
      <c r="B4" t="s">
        <v>6</v>
      </c>
    </row>
    <row r="5" ht="13.800000000000001" customHeight="1">
      <c r="A5" t="s">
        <v>82</v>
      </c>
      <c r="B5" t="s">
        <v>83</v>
      </c>
    </row>
    <row r="11" ht="13.800000000000001" customHeight="1">
      <c r="A11" s="4" t="s">
        <v>84</v>
      </c>
    </row>
    <row r="12" ht="13.800000000000001" customHeight="1">
      <c r="B12" s="29"/>
      <c r="C12" s="29"/>
      <c r="D12" s="29"/>
      <c r="E12" s="29"/>
      <c r="F12" s="29"/>
      <c r="G12" s="30">
        <f>description!E32</f>
        <v>110</v>
      </c>
      <c r="H12" s="29" t="s">
        <v>85</v>
      </c>
      <c r="I12" s="29"/>
      <c r="J12" s="29"/>
      <c r="K12" s="29"/>
      <c r="L12" s="29"/>
      <c r="M12" s="29"/>
    </row>
    <row r="14" ht="13.800000000000001" customHeight="1">
      <c r="B14" s="31" t="str">
        <f>description!B18</f>
        <v>T4</v>
      </c>
      <c r="C14" s="32" t="s">
        <v>86</v>
      </c>
      <c r="D14" s="33"/>
      <c r="E14" s="34" t="str">
        <f>description!B18</f>
        <v>T4</v>
      </c>
      <c r="F14" s="35" t="s">
        <v>87</v>
      </c>
      <c r="G14" s="36"/>
      <c r="H14" s="37" t="str">
        <f>description!C31</f>
        <v>53</v>
      </c>
      <c r="I14" s="38" t="s">
        <v>86</v>
      </c>
      <c r="J14" s="39"/>
      <c r="K14" s="40" t="str">
        <f>H14</f>
        <v>53</v>
      </c>
      <c r="L14" s="41" t="s">
        <v>87</v>
      </c>
      <c r="M14" s="42"/>
    </row>
    <row r="15" ht="14.15" customHeight="1">
      <c r="A15" s="43" t="s">
        <v>88</v>
      </c>
      <c r="B15" s="43">
        <v>1</v>
      </c>
      <c r="C15" s="43">
        <v>2</v>
      </c>
      <c r="D15" s="43">
        <v>3</v>
      </c>
      <c r="E15" s="43">
        <v>4</v>
      </c>
      <c r="F15" s="43">
        <v>5</v>
      </c>
      <c r="G15" s="43">
        <v>6</v>
      </c>
      <c r="H15" s="43">
        <v>7</v>
      </c>
      <c r="I15" s="43">
        <v>8</v>
      </c>
      <c r="J15" s="43">
        <v>9</v>
      </c>
      <c r="K15" s="43">
        <v>10</v>
      </c>
      <c r="L15" s="43">
        <v>11</v>
      </c>
      <c r="M15" s="43">
        <v>12</v>
      </c>
    </row>
    <row r="16" ht="13.800000000000001" customHeight="1">
      <c r="A16" s="43" t="s">
        <v>70</v>
      </c>
      <c r="B16" s="44">
        <f>description!$B43</f>
        <v>0</v>
      </c>
      <c r="C16" s="44">
        <f>description!$B43</f>
        <v>0</v>
      </c>
      <c r="D16" s="44">
        <f>description!$B43</f>
        <v>0</v>
      </c>
      <c r="E16" s="45">
        <f>description!$B43</f>
        <v>0</v>
      </c>
      <c r="F16" s="45">
        <f>description!$B43</f>
        <v>0</v>
      </c>
      <c r="G16" s="45">
        <f>description!$B43</f>
        <v>0</v>
      </c>
      <c r="H16" s="46">
        <f>description!$C43</f>
        <v>0</v>
      </c>
      <c r="I16" s="46">
        <f>description!$C43</f>
        <v>0</v>
      </c>
      <c r="J16" s="46">
        <f>description!$C43</f>
        <v>0</v>
      </c>
      <c r="K16" s="46">
        <f>description!$C43</f>
        <v>0</v>
      </c>
      <c r="L16" s="46">
        <f>description!$C43</f>
        <v>0</v>
      </c>
      <c r="M16" s="46">
        <f>description!$C43</f>
        <v>0</v>
      </c>
    </row>
    <row r="17" ht="13.800000000000001" customHeight="1">
      <c r="A17" s="43" t="s">
        <v>71</v>
      </c>
      <c r="B17" s="44">
        <f>description!$B44</f>
        <v>0.97546886866528504</v>
      </c>
      <c r="C17" s="44">
        <f>description!$B44</f>
        <v>0.97546886866528504</v>
      </c>
      <c r="D17" s="44">
        <f>description!$B44</f>
        <v>0.97546886866528504</v>
      </c>
      <c r="E17" s="45">
        <f>description!$B44</f>
        <v>0.97546886866528504</v>
      </c>
      <c r="F17" s="45">
        <f>description!$B44</f>
        <v>0.97546886866528504</v>
      </c>
      <c r="G17" s="45">
        <f>description!$B44</f>
        <v>0.97546886866528504</v>
      </c>
      <c r="H17" s="47">
        <f>description!$C44</f>
        <v>5</v>
      </c>
      <c r="I17" s="47">
        <f>description!$C44</f>
        <v>5</v>
      </c>
      <c r="J17" s="47">
        <f>description!$C44</f>
        <v>5</v>
      </c>
      <c r="K17" s="48">
        <f>description!$C44</f>
        <v>5</v>
      </c>
      <c r="L17" s="48">
        <f>description!$C44</f>
        <v>5</v>
      </c>
      <c r="M17" s="48">
        <f>description!$C44</f>
        <v>5</v>
      </c>
    </row>
    <row r="18" ht="13.800000000000001" customHeight="1">
      <c r="A18" s="43" t="s">
        <v>72</v>
      </c>
      <c r="B18" s="44">
        <f>description!$B45</f>
        <v>3.9018754746611402</v>
      </c>
      <c r="C18" s="44">
        <f>description!$B45</f>
        <v>3.9018754746611402</v>
      </c>
      <c r="D18" s="44">
        <f>description!$B45</f>
        <v>3.9018754746611402</v>
      </c>
      <c r="E18" s="45">
        <f>description!$B45</f>
        <v>3.9018754746611402</v>
      </c>
      <c r="F18" s="45">
        <f>description!$B45</f>
        <v>3.9018754746611402</v>
      </c>
      <c r="G18" s="45">
        <f>description!$B45</f>
        <v>3.9018754746611402</v>
      </c>
      <c r="H18" s="47">
        <f>description!$C45</f>
        <v>15</v>
      </c>
      <c r="I18" s="47">
        <f>description!$C45</f>
        <v>15</v>
      </c>
      <c r="J18" s="47">
        <f>description!$C45</f>
        <v>15</v>
      </c>
      <c r="K18" s="48">
        <f>description!$C45</f>
        <v>15</v>
      </c>
      <c r="L18" s="48">
        <f>description!$C45</f>
        <v>15</v>
      </c>
      <c r="M18" s="48">
        <f>description!$C45</f>
        <v>15</v>
      </c>
    </row>
    <row r="19" ht="13.800000000000001" customHeight="1">
      <c r="A19" s="43" t="s">
        <v>73</v>
      </c>
      <c r="B19" s="49">
        <f>description!$B46</f>
        <v>15.607501898644561</v>
      </c>
      <c r="C19" s="49">
        <f>description!$B46</f>
        <v>15.607501898644561</v>
      </c>
      <c r="D19" s="49">
        <f>description!$B46</f>
        <v>15.607501898644561</v>
      </c>
      <c r="E19" s="50">
        <f>description!$B46</f>
        <v>15.607501898644561</v>
      </c>
      <c r="F19" s="50">
        <f>description!$B46</f>
        <v>15.607501898644561</v>
      </c>
      <c r="G19" s="50">
        <f>description!$B46</f>
        <v>15.607501898644561</v>
      </c>
      <c r="H19" s="47">
        <f>description!$C46</f>
        <v>50</v>
      </c>
      <c r="I19" s="47">
        <f>description!$C46</f>
        <v>50</v>
      </c>
      <c r="J19" s="47">
        <f>description!$C46</f>
        <v>50</v>
      </c>
      <c r="K19" s="48">
        <f>description!$C46</f>
        <v>50</v>
      </c>
      <c r="L19" s="48">
        <f>description!$C46</f>
        <v>50</v>
      </c>
      <c r="M19" s="48">
        <f>description!$C46</f>
        <v>50</v>
      </c>
    </row>
    <row r="20" ht="13.800000000000001" customHeight="1">
      <c r="A20" s="43" t="s">
        <v>74</v>
      </c>
      <c r="B20" s="49">
        <f>description!$B47</f>
        <v>62.430007594578242</v>
      </c>
      <c r="C20" s="49">
        <f>description!$B47</f>
        <v>62.430007594578242</v>
      </c>
      <c r="D20" s="49">
        <f>description!$B47</f>
        <v>62.430007594578242</v>
      </c>
      <c r="E20" s="50">
        <f>description!$B47</f>
        <v>62.430007594578242</v>
      </c>
      <c r="F20" s="50">
        <f>description!$B47</f>
        <v>62.430007594578242</v>
      </c>
      <c r="G20" s="50">
        <f>description!$B47</f>
        <v>62.430007594578242</v>
      </c>
      <c r="H20" s="47">
        <f>description!$C47</f>
        <v>150</v>
      </c>
      <c r="I20" s="47">
        <f>description!$C47</f>
        <v>150</v>
      </c>
      <c r="J20" s="47">
        <f>description!$C47</f>
        <v>150</v>
      </c>
      <c r="K20" s="48">
        <f>description!$C47</f>
        <v>150</v>
      </c>
      <c r="L20" s="48">
        <f>description!$C47</f>
        <v>150</v>
      </c>
      <c r="M20" s="48">
        <f>description!$C47</f>
        <v>150</v>
      </c>
    </row>
    <row r="21" ht="13.800000000000001" customHeight="1">
      <c r="A21" s="43" t="s">
        <v>75</v>
      </c>
      <c r="B21" s="51">
        <f>description!$B48</f>
        <v>249.72003037831297</v>
      </c>
      <c r="C21" s="51">
        <f>description!$B48</f>
        <v>249.72003037831297</v>
      </c>
      <c r="D21" s="51">
        <f>description!$B48</f>
        <v>249.72003037831297</v>
      </c>
      <c r="E21" s="52">
        <f>description!$B48</f>
        <v>249.72003037831297</v>
      </c>
      <c r="F21" s="52">
        <f>description!$B48</f>
        <v>249.72003037831297</v>
      </c>
      <c r="G21" s="52">
        <f>description!$B48</f>
        <v>249.72003037831297</v>
      </c>
      <c r="H21" s="47">
        <f>description!$C48</f>
        <v>500</v>
      </c>
      <c r="I21" s="47">
        <f>description!$C48</f>
        <v>500</v>
      </c>
      <c r="J21" s="47">
        <f>description!$C48</f>
        <v>500</v>
      </c>
      <c r="K21" s="48">
        <f>description!$C48</f>
        <v>500</v>
      </c>
      <c r="L21" s="48">
        <f>description!$C48</f>
        <v>500</v>
      </c>
      <c r="M21" s="48">
        <f>description!$C48</f>
        <v>500</v>
      </c>
    </row>
    <row r="22" ht="13.800000000000001" customHeight="1">
      <c r="A22" s="43" t="s">
        <v>76</v>
      </c>
      <c r="B22" s="51">
        <f>description!$B49</f>
        <v>998.88012151325188</v>
      </c>
      <c r="C22" s="51">
        <f>description!$B49</f>
        <v>998.88012151325188</v>
      </c>
      <c r="D22" s="51">
        <f>description!$B49</f>
        <v>998.88012151325188</v>
      </c>
      <c r="E22" s="52">
        <f>description!$B49</f>
        <v>998.88012151325188</v>
      </c>
      <c r="F22" s="52">
        <f>description!$B49</f>
        <v>998.88012151325188</v>
      </c>
      <c r="G22" s="52">
        <f>description!$B49</f>
        <v>998.88012151325188</v>
      </c>
      <c r="H22" s="47">
        <f>description!$C49</f>
        <v>1500</v>
      </c>
      <c r="I22" s="47">
        <f>description!$C49</f>
        <v>1500</v>
      </c>
      <c r="J22" s="47">
        <f>description!$C49</f>
        <v>1500</v>
      </c>
      <c r="K22" s="48">
        <f>description!$C49</f>
        <v>1500</v>
      </c>
      <c r="L22" s="48">
        <f>description!$C49</f>
        <v>1500</v>
      </c>
      <c r="M22" s="48">
        <f>description!$C49</f>
        <v>1500</v>
      </c>
    </row>
    <row r="23" ht="13.800000000000001" customHeight="1">
      <c r="A23" s="43" t="s">
        <v>77</v>
      </c>
      <c r="B23" s="51">
        <f>description!$B50</f>
        <v>3995.5204860530075</v>
      </c>
      <c r="C23" s="51">
        <f>description!$B50</f>
        <v>3995.5204860530075</v>
      </c>
      <c r="D23" s="51">
        <f>description!$B50</f>
        <v>3995.5204860530075</v>
      </c>
      <c r="E23" s="52">
        <f>description!$B50</f>
        <v>3995.5204860530075</v>
      </c>
      <c r="F23" s="52">
        <f>description!$B50</f>
        <v>3995.5204860530075</v>
      </c>
      <c r="G23" s="52">
        <f>description!$B50</f>
        <v>3995.5204860530075</v>
      </c>
      <c r="H23" s="47">
        <f>description!$C50</f>
        <v>5000</v>
      </c>
      <c r="I23" s="47">
        <f>description!$C50</f>
        <v>5000</v>
      </c>
      <c r="J23" s="47">
        <f>description!$C50</f>
        <v>5000</v>
      </c>
      <c r="K23" s="48">
        <f>description!$C50</f>
        <v>5000</v>
      </c>
      <c r="L23" s="48">
        <f>description!$C50</f>
        <v>5000</v>
      </c>
      <c r="M23" s="48">
        <f>description!$C50</f>
        <v>5000</v>
      </c>
    </row>
    <row r="25" ht="13.800000000000001" customHeight="1">
      <c r="A25" s="4" t="s">
        <v>89</v>
      </c>
    </row>
    <row r="26" ht="13.800000000000001" customHeight="1">
      <c r="A26" s="43" t="s">
        <v>90</v>
      </c>
      <c r="B26" s="43">
        <v>1</v>
      </c>
      <c r="C26" s="43">
        <v>2</v>
      </c>
      <c r="D26" s="43">
        <v>3</v>
      </c>
      <c r="E26" s="43">
        <v>4</v>
      </c>
      <c r="F26" s="43">
        <v>5</v>
      </c>
      <c r="G26" s="43">
        <v>6</v>
      </c>
      <c r="H26" s="43">
        <v>7</v>
      </c>
      <c r="I26" s="43">
        <v>8</v>
      </c>
      <c r="J26" s="43">
        <v>9</v>
      </c>
      <c r="K26" s="43">
        <v>10</v>
      </c>
      <c r="L26" s="43">
        <v>11</v>
      </c>
      <c r="M26" s="43">
        <v>12</v>
      </c>
    </row>
    <row r="27" ht="13.800000000000001" customHeight="1">
      <c r="A27" s="43" t="s">
        <v>70</v>
      </c>
      <c r="B27" s="53">
        <f t="shared" ref="B27:B34" si="4">IF(ISERROR(B38-AVERAGE($E38:$G38)),"*",B38-AVERAGE($E38:$G38))</f>
        <v>638.66666666666674</v>
      </c>
      <c r="C27" s="53">
        <f t="shared" ref="C27:C34" si="5">IF(ISERROR(C38-AVERAGE($E38:$G38)),"*",C38-AVERAGE($E38:$G38))</f>
        <v>788.66666666666674</v>
      </c>
      <c r="D27" s="53">
        <f t="shared" ref="D27:D34" si="6">IF(ISERROR(D38-AVERAGE($E38:$G38)),"*",D38-AVERAGE($E38:$G38))</f>
        <v>738.66666666666674</v>
      </c>
      <c r="E27" s="54"/>
      <c r="F27" s="54"/>
      <c r="G27" s="54"/>
      <c r="H27" s="55">
        <f t="shared" ref="H27:H34" si="7">IF(ISERROR(H38-AVERAGE($K38:$M38)),"*",H38-AVERAGE($K38:$M38))</f>
        <v>-9.3333333333332575</v>
      </c>
      <c r="I27" s="55">
        <f t="shared" ref="I27:I34" si="8">IF(ISERROR(I38-AVERAGE($K38:$M38)),"*",I38-AVERAGE($K38:$M38))</f>
        <v>105.66666666666674</v>
      </c>
      <c r="J27" s="55">
        <f t="shared" ref="J27:J34" si="9">IF(ISERROR(J38-AVERAGE($K38:$M38)),"*",J38-AVERAGE($K38:$M38))</f>
        <v>67.666666666666742</v>
      </c>
      <c r="K27" s="56"/>
      <c r="L27" s="56"/>
      <c r="M27" s="56"/>
    </row>
    <row r="28" ht="13.800000000000001" customHeight="1">
      <c r="A28" s="43" t="s">
        <v>71</v>
      </c>
      <c r="B28" s="53">
        <f t="shared" si="4"/>
        <v>616</v>
      </c>
      <c r="C28" s="53">
        <f t="shared" si="5"/>
        <v>741</v>
      </c>
      <c r="D28" s="53">
        <f t="shared" si="6"/>
        <v>788</v>
      </c>
      <c r="E28" s="54"/>
      <c r="F28" s="54"/>
      <c r="G28" s="54"/>
      <c r="H28" s="55">
        <f t="shared" si="7"/>
        <v>610</v>
      </c>
      <c r="I28" s="55">
        <f t="shared" si="8"/>
        <v>876</v>
      </c>
      <c r="J28" s="55">
        <f t="shared" si="9"/>
        <v>764</v>
      </c>
      <c r="K28" s="56"/>
      <c r="L28" s="56"/>
      <c r="M28" s="56"/>
    </row>
    <row r="29" ht="13.800000000000001" customHeight="1">
      <c r="A29" s="43" t="s">
        <v>72</v>
      </c>
      <c r="B29" s="53">
        <f t="shared" si="4"/>
        <v>717.33333333333326</v>
      </c>
      <c r="C29" s="53">
        <f t="shared" si="5"/>
        <v>644.33333333333326</v>
      </c>
      <c r="D29" s="53">
        <f t="shared" si="6"/>
        <v>682.33333333333326</v>
      </c>
      <c r="E29" s="54"/>
      <c r="F29" s="54"/>
      <c r="G29" s="54"/>
      <c r="H29" s="55">
        <f t="shared" si="7"/>
        <v>398.33333333333326</v>
      </c>
      <c r="I29" s="55">
        <f t="shared" si="8"/>
        <v>603.33333333333326</v>
      </c>
      <c r="J29" s="55">
        <f t="shared" si="9"/>
        <v>626.33333333333326</v>
      </c>
      <c r="K29" s="56"/>
      <c r="L29" s="56"/>
      <c r="M29" s="56"/>
    </row>
    <row r="30" ht="13.800000000000001" customHeight="1">
      <c r="A30" s="43" t="s">
        <v>73</v>
      </c>
      <c r="B30" s="53">
        <f t="shared" si="4"/>
        <v>526.33333333333326</v>
      </c>
      <c r="C30" s="53">
        <f t="shared" si="5"/>
        <v>617.33333333333326</v>
      </c>
      <c r="D30" s="53">
        <f t="shared" si="6"/>
        <v>591.33333333333326</v>
      </c>
      <c r="E30" s="54"/>
      <c r="F30" s="54"/>
      <c r="G30" s="54"/>
      <c r="H30" s="55">
        <f t="shared" si="7"/>
        <v>253.33333333333326</v>
      </c>
      <c r="I30" s="55">
        <f t="shared" si="8"/>
        <v>355.33333333333326</v>
      </c>
      <c r="J30" s="55">
        <f t="shared" si="9"/>
        <v>370.33333333333326</v>
      </c>
      <c r="K30" s="56"/>
      <c r="L30" s="56"/>
      <c r="M30" s="56"/>
    </row>
    <row r="31" ht="13.800000000000001" customHeight="1">
      <c r="A31" s="43" t="s">
        <v>74</v>
      </c>
      <c r="B31" s="53">
        <f t="shared" si="4"/>
        <v>408.33333333333326</v>
      </c>
      <c r="C31" s="53">
        <f t="shared" si="5"/>
        <v>514.33333333333326</v>
      </c>
      <c r="D31" s="53">
        <f t="shared" si="6"/>
        <v>584.33333333333326</v>
      </c>
      <c r="E31" s="54"/>
      <c r="F31" s="54"/>
      <c r="G31" s="54"/>
      <c r="H31" s="55">
        <f t="shared" si="7"/>
        <v>132.66666666666674</v>
      </c>
      <c r="I31" s="55">
        <f t="shared" si="8"/>
        <v>239.66666666666674</v>
      </c>
      <c r="J31" s="55">
        <f t="shared" si="9"/>
        <v>224.66666666666674</v>
      </c>
      <c r="K31" s="56"/>
      <c r="L31" s="56"/>
      <c r="M31" s="56"/>
    </row>
    <row r="32" ht="13.800000000000001" customHeight="1">
      <c r="A32" s="43" t="s">
        <v>75</v>
      </c>
      <c r="B32" s="53">
        <f t="shared" si="4"/>
        <v>106.33333333333326</v>
      </c>
      <c r="C32" s="53">
        <f t="shared" si="5"/>
        <v>258.33333333333326</v>
      </c>
      <c r="D32" s="53">
        <f t="shared" si="6"/>
        <v>173.33333333333326</v>
      </c>
      <c r="E32" s="54"/>
      <c r="F32" s="54"/>
      <c r="G32" s="54"/>
      <c r="H32" s="55">
        <f t="shared" si="7"/>
        <v>14.333333333333258</v>
      </c>
      <c r="I32" s="55">
        <f t="shared" si="8"/>
        <v>123.33333333333326</v>
      </c>
      <c r="J32" s="55">
        <f t="shared" si="9"/>
        <v>102.33333333333326</v>
      </c>
      <c r="K32" s="56"/>
      <c r="L32" s="56"/>
      <c r="M32" s="56"/>
    </row>
    <row r="33" ht="13.800000000000001" customHeight="1">
      <c r="A33" s="43" t="s">
        <v>76</v>
      </c>
      <c r="B33" s="53">
        <f t="shared" si="4"/>
        <v>-33</v>
      </c>
      <c r="C33" s="53">
        <f t="shared" si="5"/>
        <v>4</v>
      </c>
      <c r="D33" s="53">
        <f t="shared" si="6"/>
        <v>-8</v>
      </c>
      <c r="E33" s="54"/>
      <c r="F33" s="54"/>
      <c r="G33" s="54"/>
      <c r="H33" s="55">
        <f t="shared" si="7"/>
        <v>-29.666666666666742</v>
      </c>
      <c r="I33" s="55">
        <f t="shared" si="8"/>
        <v>100.33333333333326</v>
      </c>
      <c r="J33" s="55">
        <f t="shared" si="9"/>
        <v>81.333333333333258</v>
      </c>
      <c r="K33" s="56"/>
      <c r="L33" s="56"/>
      <c r="M33" s="56"/>
    </row>
    <row r="34" ht="13.800000000000001" customHeight="1">
      <c r="A34" s="43" t="s">
        <v>77</v>
      </c>
      <c r="B34" s="53">
        <f t="shared" si="4"/>
        <v>-29.666666666666742</v>
      </c>
      <c r="C34" s="53">
        <f t="shared" si="5"/>
        <v>3.3333333333332575</v>
      </c>
      <c r="D34" s="53">
        <f t="shared" si="6"/>
        <v>47.333333333333258</v>
      </c>
      <c r="E34" s="54"/>
      <c r="F34" s="54"/>
      <c r="G34" s="54"/>
      <c r="H34" s="55">
        <f t="shared" si="7"/>
        <v>-47.666666666666742</v>
      </c>
      <c r="I34" s="55">
        <f t="shared" si="8"/>
        <v>75.333333333333258</v>
      </c>
      <c r="J34" s="55">
        <f t="shared" si="9"/>
        <v>59.333333333333258</v>
      </c>
      <c r="K34" s="56"/>
      <c r="L34" s="56"/>
      <c r="M34" s="56"/>
    </row>
    <row r="36" ht="13.800000000000001" customHeight="1">
      <c r="A36" s="4" t="s">
        <v>91</v>
      </c>
    </row>
    <row r="37" ht="13.800000000000001" customHeight="1">
      <c r="A37" s="43" t="s">
        <v>82</v>
      </c>
      <c r="B37" s="43">
        <v>1</v>
      </c>
      <c r="C37" s="43">
        <v>2</v>
      </c>
      <c r="D37" s="43">
        <v>3</v>
      </c>
      <c r="E37" s="43">
        <v>4</v>
      </c>
      <c r="F37" s="43">
        <v>5</v>
      </c>
      <c r="G37" s="43">
        <v>6</v>
      </c>
      <c r="H37" s="43">
        <v>7</v>
      </c>
      <c r="I37" s="43">
        <v>8</v>
      </c>
      <c r="J37" s="43">
        <v>9</v>
      </c>
      <c r="K37" s="43">
        <v>10</v>
      </c>
      <c r="L37" s="43">
        <v>11</v>
      </c>
      <c r="M37" s="43">
        <v>12</v>
      </c>
      <c r="O37" s="43"/>
      <c r="P37" s="43"/>
      <c r="Q37" s="43"/>
    </row>
    <row r="38" ht="13.800000000000001" customHeight="1">
      <c r="A38" s="43" t="s">
        <v>70</v>
      </c>
      <c r="B38" s="57">
        <v>2407</v>
      </c>
      <c r="C38" s="57">
        <v>2557</v>
      </c>
      <c r="D38" s="57">
        <v>2507</v>
      </c>
      <c r="E38" s="57">
        <v>1714</v>
      </c>
      <c r="F38" s="57">
        <v>1808</v>
      </c>
      <c r="G38" s="57">
        <v>1783</v>
      </c>
      <c r="H38" s="57">
        <v>1714</v>
      </c>
      <c r="I38" s="57">
        <v>1829</v>
      </c>
      <c r="J38" s="57">
        <v>1791</v>
      </c>
      <c r="K38" s="57">
        <v>1647</v>
      </c>
      <c r="L38" s="57">
        <v>1762</v>
      </c>
      <c r="M38" s="57">
        <v>1761</v>
      </c>
      <c r="O38" s="58"/>
      <c r="P38" s="58"/>
      <c r="Q38" s="58"/>
      <c r="R38" s="58"/>
    </row>
    <row r="39" ht="13.800000000000001" customHeight="1">
      <c r="A39" s="43" t="s">
        <v>71</v>
      </c>
      <c r="B39" s="57">
        <v>2398</v>
      </c>
      <c r="C39" s="57">
        <v>2523</v>
      </c>
      <c r="D39" s="57">
        <v>2570</v>
      </c>
      <c r="E39" s="57">
        <v>1712</v>
      </c>
      <c r="F39" s="57">
        <v>1851</v>
      </c>
      <c r="G39" s="57">
        <v>1783</v>
      </c>
      <c r="H39" s="57">
        <v>2375</v>
      </c>
      <c r="I39" s="57">
        <v>2641</v>
      </c>
      <c r="J39" s="57">
        <v>2529</v>
      </c>
      <c r="K39" s="57">
        <v>1708</v>
      </c>
      <c r="L39" s="57">
        <v>1846</v>
      </c>
      <c r="M39" s="57">
        <v>1741</v>
      </c>
    </row>
    <row r="40" ht="13.800000000000001" customHeight="1">
      <c r="A40" s="43" t="s">
        <v>72</v>
      </c>
      <c r="B40" s="57">
        <v>2506</v>
      </c>
      <c r="C40" s="57">
        <v>2433</v>
      </c>
      <c r="D40" s="57">
        <v>2471</v>
      </c>
      <c r="E40" s="57">
        <v>1753</v>
      </c>
      <c r="F40" s="57">
        <v>1825</v>
      </c>
      <c r="G40" s="57">
        <v>1788</v>
      </c>
      <c r="H40" s="57">
        <v>2173</v>
      </c>
      <c r="I40" s="57">
        <v>2378</v>
      </c>
      <c r="J40" s="57">
        <v>2401</v>
      </c>
      <c r="K40" s="57">
        <v>1710</v>
      </c>
      <c r="L40" s="57">
        <v>1855</v>
      </c>
      <c r="M40" s="57">
        <v>1759</v>
      </c>
    </row>
    <row r="41" ht="13.800000000000001" customHeight="1">
      <c r="A41" s="43" t="s">
        <v>73</v>
      </c>
      <c r="B41" s="57">
        <v>2306</v>
      </c>
      <c r="C41" s="57">
        <v>2397</v>
      </c>
      <c r="D41" s="57">
        <v>2371</v>
      </c>
      <c r="E41" s="57">
        <v>1717</v>
      </c>
      <c r="F41" s="57">
        <v>1818</v>
      </c>
      <c r="G41" s="57">
        <v>1804</v>
      </c>
      <c r="H41" s="57">
        <v>2024</v>
      </c>
      <c r="I41" s="57">
        <v>2126</v>
      </c>
      <c r="J41" s="57">
        <v>2141</v>
      </c>
      <c r="K41" s="57">
        <v>1722</v>
      </c>
      <c r="L41" s="57">
        <v>1794</v>
      </c>
      <c r="M41" s="57">
        <v>1796</v>
      </c>
    </row>
    <row r="42" ht="13.800000000000001" customHeight="1">
      <c r="A42" s="43" t="s">
        <v>74</v>
      </c>
      <c r="B42" s="57">
        <v>2209</v>
      </c>
      <c r="C42" s="57">
        <v>2315</v>
      </c>
      <c r="D42" s="57">
        <v>2385</v>
      </c>
      <c r="E42" s="57">
        <v>1744</v>
      </c>
      <c r="F42" s="57">
        <v>1836</v>
      </c>
      <c r="G42" s="57">
        <v>1822</v>
      </c>
      <c r="H42" s="57">
        <v>1895</v>
      </c>
      <c r="I42" s="57">
        <v>2002</v>
      </c>
      <c r="J42" s="57">
        <v>1987</v>
      </c>
      <c r="K42" s="57">
        <v>1697</v>
      </c>
      <c r="L42" s="57">
        <v>1845</v>
      </c>
      <c r="M42" s="57">
        <v>1745</v>
      </c>
    </row>
    <row r="43" ht="13.800000000000001" customHeight="1">
      <c r="A43" s="43" t="s">
        <v>75</v>
      </c>
      <c r="B43" s="57">
        <v>1893</v>
      </c>
      <c r="C43" s="57">
        <v>2045</v>
      </c>
      <c r="D43" s="57">
        <v>1960</v>
      </c>
      <c r="E43" s="57">
        <v>1748</v>
      </c>
      <c r="F43" s="57">
        <v>1809</v>
      </c>
      <c r="G43" s="57">
        <v>1803</v>
      </c>
      <c r="H43" s="57">
        <v>1804</v>
      </c>
      <c r="I43" s="57">
        <v>1913</v>
      </c>
      <c r="J43" s="57">
        <v>1892</v>
      </c>
      <c r="K43" s="57">
        <v>1742</v>
      </c>
      <c r="L43" s="57">
        <v>1878</v>
      </c>
      <c r="M43" s="57">
        <v>1749</v>
      </c>
    </row>
    <row r="44" ht="13.800000000000001" customHeight="1">
      <c r="A44" s="43" t="s">
        <v>76</v>
      </c>
      <c r="B44" s="57">
        <v>1730</v>
      </c>
      <c r="C44" s="57">
        <v>1767</v>
      </c>
      <c r="D44" s="57">
        <v>1755</v>
      </c>
      <c r="E44" s="57">
        <v>1710</v>
      </c>
      <c r="F44" s="57">
        <v>1810</v>
      </c>
      <c r="G44" s="57">
        <v>1769</v>
      </c>
      <c r="H44" s="57">
        <v>1756</v>
      </c>
      <c r="I44" s="57">
        <v>1886</v>
      </c>
      <c r="J44" s="57">
        <v>1867</v>
      </c>
      <c r="K44" s="57">
        <v>1751</v>
      </c>
      <c r="L44" s="57">
        <v>1795</v>
      </c>
      <c r="M44" s="57">
        <v>1811</v>
      </c>
    </row>
    <row r="45" ht="13.800000000000001" customHeight="1">
      <c r="A45" s="43" t="s">
        <v>77</v>
      </c>
      <c r="B45" s="57">
        <v>1689</v>
      </c>
      <c r="C45" s="57">
        <v>1722</v>
      </c>
      <c r="D45" s="57">
        <v>1766</v>
      </c>
      <c r="E45" s="57">
        <v>1726</v>
      </c>
      <c r="F45" s="57">
        <v>1724</v>
      </c>
      <c r="G45" s="57">
        <v>1706</v>
      </c>
      <c r="H45" s="57">
        <v>1736</v>
      </c>
      <c r="I45" s="57">
        <v>1859</v>
      </c>
      <c r="J45" s="57">
        <v>1843</v>
      </c>
      <c r="K45" s="57">
        <v>1728</v>
      </c>
      <c r="L45" s="57">
        <v>1843</v>
      </c>
      <c r="M45" s="57">
        <v>1780</v>
      </c>
    </row>
    <row r="46" ht="13.800000000000001" customHeight="1">
      <c r="B46" s="59" t="s">
        <v>92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 ht="13.800000000000001" customHeight="1">
      <c r="B47" s="59" t="s">
        <v>93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9" ht="13.800000000000001" customHeight="1">
      <c r="A49" s="4" t="s">
        <v>94</v>
      </c>
    </row>
    <row r="50" ht="13.800000000000001" customHeight="1">
      <c r="A50" t="s">
        <v>95</v>
      </c>
      <c r="B50" t="s">
        <v>96</v>
      </c>
    </row>
    <row r="51" ht="13.800000000000001" customHeight="1">
      <c r="A51" s="60"/>
      <c r="B51" s="60"/>
      <c r="C51" s="5"/>
      <c r="D51" s="5"/>
      <c r="E51" s="61"/>
      <c r="F51" s="5"/>
      <c r="G51" s="5"/>
      <c r="H51" s="5"/>
    </row>
    <row r="52" ht="13.800000000000001" customHeight="1">
      <c r="A52" s="60"/>
      <c r="B52" s="60"/>
      <c r="C52" s="5"/>
      <c r="D52" s="5"/>
      <c r="E52" s="5"/>
      <c r="F52" s="5"/>
      <c r="G52" s="5"/>
      <c r="H52" s="5"/>
    </row>
    <row r="53" ht="13.800000000000001" customHeight="1">
      <c r="A53" s="60"/>
      <c r="B53" s="60"/>
      <c r="C53" s="5"/>
      <c r="D53" s="5"/>
      <c r="E53" s="5"/>
      <c r="F53" s="5"/>
      <c r="G53" s="5"/>
      <c r="H53" s="5"/>
    </row>
    <row r="54" ht="13.800000000000001" customHeight="1">
      <c r="A54" s="60"/>
      <c r="B54" s="60"/>
      <c r="C54" s="5"/>
      <c r="D54" s="5"/>
      <c r="E54" s="5"/>
      <c r="F54" s="5"/>
      <c r="G54" s="5"/>
      <c r="H54" s="5"/>
    </row>
    <row r="55" ht="13.800000000000001" customHeight="1">
      <c r="A55" s="60"/>
      <c r="B55" s="60"/>
      <c r="C55" s="5"/>
      <c r="D55" s="5"/>
      <c r="E55" s="5"/>
      <c r="F55" s="5"/>
      <c r="G55" s="5"/>
      <c r="H55" s="5"/>
    </row>
    <row r="56" ht="13.800000000000001" customHeight="1">
      <c r="A56" s="60"/>
      <c r="B56" s="60"/>
      <c r="C56" s="5"/>
      <c r="D56" s="5"/>
      <c r="E56" s="5"/>
      <c r="F56" s="5"/>
      <c r="G56" s="5"/>
      <c r="H56" s="5"/>
    </row>
    <row r="57" ht="13.800000000000001" customHeight="1">
      <c r="A57" s="60"/>
      <c r="B57" s="60"/>
      <c r="C57" s="5"/>
      <c r="D57" s="5"/>
      <c r="E57" s="5"/>
      <c r="F57" s="5"/>
      <c r="G57" s="5"/>
      <c r="H57" s="5"/>
    </row>
    <row r="58" ht="13.800000000000001" customHeight="1">
      <c r="A58" s="60"/>
      <c r="B58" s="60"/>
      <c r="C58" s="5"/>
      <c r="D58" s="5"/>
      <c r="E58" s="5"/>
      <c r="F58" s="5"/>
      <c r="G58" s="5"/>
      <c r="H58" s="5"/>
    </row>
    <row r="59" ht="13.800000000000001" customHeight="1">
      <c r="A59" s="60"/>
      <c r="B59" s="60"/>
      <c r="C59" s="5"/>
      <c r="D59" s="5"/>
      <c r="E59" s="5"/>
      <c r="F59" s="5"/>
      <c r="G59" s="5"/>
      <c r="H59" s="5"/>
    </row>
    <row r="60" ht="13.800000000000001" customHeight="1">
      <c r="A60" s="60"/>
      <c r="B60" s="60"/>
      <c r="C60" s="5"/>
      <c r="D60" s="5"/>
      <c r="E60" s="5"/>
      <c r="F60" s="5"/>
      <c r="G60" s="5"/>
      <c r="H60" s="5"/>
    </row>
    <row r="61" ht="13.800000000000001" customHeight="1">
      <c r="A61" s="60"/>
      <c r="B61" s="60"/>
      <c r="C61" s="5"/>
      <c r="D61" s="5"/>
      <c r="E61" s="5"/>
      <c r="F61" s="5"/>
      <c r="G61" s="5"/>
      <c r="H61" s="5"/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printOptions headings="0" gridLines="0"/>
  <pageMargins left="0.69999999999999996" right="0.69999999999999996" top="0.75" bottom="0.75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aboveAverage="0" rank="0" text="" id="{00DD0047-005D-4098-B4B5-0028003B00D8}">
            <xm:f>ISTEXT(B38)</xm:f>
            <x14:dxf>
              <font>
                <sz val="11.000000"/>
                <color rgb="FFCC0000"/>
                <name val="Calibri"/>
              </font>
              <fill>
                <patternFill patternType="solid">
                  <fgColor rgb="FFFFCCCC"/>
                  <bgColor rgb="FFFFCCCC"/>
                </patternFill>
              </fill>
            </x14:dxf>
          </x14:cfRule>
          <xm:sqref>B38:M45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zoomScale="100" workbookViewId="0">
      <selection activeCell="B25" activeCellId="0" sqref="B25"/>
    </sheetView>
  </sheetViews>
  <sheetFormatPr baseColWidth="10" defaultRowHeight="15"/>
  <cols>
    <col customWidth="1" min="1" max="1" width="15.27"/>
    <col customWidth="1" min="2" max="2" width="14.539999999999999"/>
    <col customWidth="1" min="4" max="5" width="12.44"/>
    <col customWidth="1" min="6" max="6" width="17.18"/>
    <col customWidth="1" min="8" max="8" width="10.82"/>
    <col customWidth="1" min="9" max="9" width="30.09"/>
    <col customWidth="1" min="10" max="10" width="12.44"/>
    <col customWidth="1" min="11" max="11" width="13.17"/>
    <col customWidth="1" min="13" max="13" width="12.44"/>
    <col customWidth="1" min="14" max="14" width="12.710000000000001"/>
    <col customWidth="1" min="16" max="16" width="11.91"/>
  </cols>
  <sheetData>
    <row r="1" ht="13.800000000000001" customHeight="1">
      <c r="A1" s="62" t="s">
        <v>97</v>
      </c>
      <c r="B1" s="63" t="str">
        <f>IF(ISNUMBER(description!$B$19),"conc. (nM)","conc.(ug/L)")</f>
        <v xml:space="preserve">conc. (nM)</v>
      </c>
      <c r="C1" t="s">
        <v>82</v>
      </c>
      <c r="D1" s="63" t="s">
        <v>98</v>
      </c>
      <c r="E1" s="63"/>
      <c r="F1" s="2" t="s">
        <v>99</v>
      </c>
      <c r="G1" s="2" t="str">
        <f>A2</f>
        <v>T4</v>
      </c>
      <c r="M1" s="62"/>
    </row>
    <row r="2" ht="13.800000000000001" customHeight="1">
      <c r="A2" s="35" t="str">
        <f>description!B$31</f>
        <v>T4</v>
      </c>
      <c r="B2" s="64">
        <f t="shared" ref="B2:B4" si="10">B5/1000</f>
        <v>0.00097546886866528505</v>
      </c>
      <c r="C2" s="36">
        <f>IF(ISTEXT('raw data'!$E38),"",'raw data'!$E38)</f>
        <v>1714</v>
      </c>
      <c r="D2" s="65">
        <f>AVERAGE((C2:C4))</f>
        <v>1768.3333333333333</v>
      </c>
      <c r="E2" s="66"/>
      <c r="F2" t="s">
        <v>100</v>
      </c>
      <c r="G2" s="67">
        <f>D2</f>
        <v>1768.3333333333333</v>
      </c>
      <c r="H2" s="63"/>
      <c r="I2" s="63"/>
      <c r="J2" s="68"/>
      <c r="K2" s="63"/>
      <c r="O2" s="63"/>
      <c r="P2" s="63"/>
      <c r="Q2" s="68"/>
      <c r="R2" s="63"/>
    </row>
    <row r="3" ht="13.800000000000001" customHeight="1">
      <c r="A3" s="35" t="str">
        <f>description!B$31</f>
        <v>T4</v>
      </c>
      <c r="B3" s="64">
        <f t="shared" si="10"/>
        <v>0.00097546886866528505</v>
      </c>
      <c r="C3" s="36">
        <f>IF(ISTEXT('raw data'!$F38),"",'raw data'!$F38)</f>
        <v>1808</v>
      </c>
      <c r="D3" s="65"/>
      <c r="E3" s="66"/>
      <c r="F3" t="s">
        <v>101</v>
      </c>
      <c r="G3" s="67">
        <f>MIN(D2:D23)</f>
        <v>1718.6666666666667</v>
      </c>
      <c r="H3" s="63"/>
      <c r="O3" s="63"/>
    </row>
    <row r="4" ht="13.800000000000001" customHeight="1">
      <c r="A4" s="35" t="str">
        <f>description!B$31</f>
        <v>T4</v>
      </c>
      <c r="B4" s="64">
        <f t="shared" si="10"/>
        <v>0.00097546886866528505</v>
      </c>
      <c r="C4" s="36">
        <f>IF(ISTEXT('raw data'!$G38),"",'raw data'!$G38)</f>
        <v>1783</v>
      </c>
      <c r="D4" s="65"/>
      <c r="E4" s="66"/>
      <c r="F4" t="s">
        <v>102</v>
      </c>
      <c r="G4" s="67">
        <f>MAX(D2:D23)</f>
        <v>1800.6666666666667</v>
      </c>
      <c r="H4" s="63"/>
      <c r="I4" s="63"/>
      <c r="O4" s="63"/>
    </row>
    <row r="5" ht="13.800000000000001" customHeight="1">
      <c r="A5" s="35" t="str">
        <f>description!B$31</f>
        <v>T4</v>
      </c>
      <c r="B5" s="64">
        <f>'raw data'!$E17</f>
        <v>0.97546886866528504</v>
      </c>
      <c r="C5" s="36">
        <f>IF(ISTEXT('raw data'!$E39),"",'raw data'!$E39)</f>
        <v>1712</v>
      </c>
      <c r="D5" s="65">
        <f>AVERAGE((C5:C7))</f>
        <v>1782</v>
      </c>
      <c r="E5" s="66"/>
      <c r="H5" s="63"/>
      <c r="O5" s="63"/>
    </row>
    <row r="6" ht="13.800000000000001" customHeight="1">
      <c r="A6" s="35" t="str">
        <f>description!B$31</f>
        <v>T4</v>
      </c>
      <c r="B6" s="64">
        <f>'raw data'!$F17</f>
        <v>0.97546886866528504</v>
      </c>
      <c r="C6" s="36">
        <f>IF(ISTEXT('raw data'!$F39),"",'raw data'!$F39)</f>
        <v>1851</v>
      </c>
      <c r="D6" s="65"/>
      <c r="E6" s="66"/>
      <c r="F6" t="s">
        <v>103</v>
      </c>
      <c r="G6" s="68">
        <f>(G4-G3)/G2</f>
        <v>0.046371347785108388</v>
      </c>
      <c r="H6" s="43" t="str">
        <f>IF(G6&gt;_parameters!$B$24,"REJECT!","ACCEPT")</f>
        <v>ACCEPT</v>
      </c>
      <c r="I6" s="69" t="str">
        <f>_xlfn.CONCAT("Should be less than or equal to ",_parameters!$B$24)</f>
        <v xml:space="preserve">Should be less than or equal to 0.2</v>
      </c>
      <c r="J6" s="70" t="str">
        <f>_xlfn.CONCAT("According to ",_parameters!$B$39,", section 8.2.6: Autofluorescence and quenching by test item (7.7).")</f>
        <v xml:space="preserve">According to SOP01-TTRfitc_v5, section 8.2.6: Autofluorescence and quenching by test item (7.7).</v>
      </c>
      <c r="O6" s="63"/>
    </row>
    <row r="7" ht="13.800000000000001" customHeight="1">
      <c r="A7" s="35" t="str">
        <f>description!B$31</f>
        <v>T4</v>
      </c>
      <c r="B7" s="64">
        <f>'raw data'!$G17</f>
        <v>0.97546886866528504</v>
      </c>
      <c r="C7" s="36">
        <f>IF(ISTEXT('raw data'!$G39),"",'raw data'!$G39)</f>
        <v>1783</v>
      </c>
      <c r="D7" s="65"/>
      <c r="E7" s="66"/>
      <c r="H7" s="43"/>
      <c r="I7" s="63"/>
      <c r="K7" s="43"/>
      <c r="O7" s="63"/>
      <c r="P7" s="63"/>
      <c r="R7" s="63"/>
    </row>
    <row r="8" ht="13.800000000000001" customHeight="1">
      <c r="A8" s="35" t="str">
        <f>description!B$31</f>
        <v>T4</v>
      </c>
      <c r="B8" s="64">
        <f>'raw data'!$E18</f>
        <v>3.9018754746611402</v>
      </c>
      <c r="C8" s="36">
        <f>IF(ISTEXT('raw data'!$E40),"",'raw data'!$E40)</f>
        <v>1753</v>
      </c>
      <c r="D8" s="65">
        <f>AVERAGE((C8:C10))</f>
        <v>1788.6666666666667</v>
      </c>
      <c r="E8" s="66"/>
      <c r="I8" s="63"/>
      <c r="P8" s="63"/>
    </row>
    <row r="9" ht="13.800000000000001" customHeight="1">
      <c r="A9" s="35" t="str">
        <f>description!B$31</f>
        <v>T4</v>
      </c>
      <c r="B9" s="64">
        <f>'raw data'!$F18</f>
        <v>3.9018754746611402</v>
      </c>
      <c r="C9" s="36">
        <f>IF(ISTEXT('raw data'!$F40),"",'raw data'!$F40)</f>
        <v>1825</v>
      </c>
      <c r="D9" s="65"/>
      <c r="E9" s="66"/>
    </row>
    <row r="10" ht="13.800000000000001" customHeight="1">
      <c r="A10" s="35" t="str">
        <f>description!B$31</f>
        <v>T4</v>
      </c>
      <c r="B10" s="64">
        <f>'raw data'!$G18</f>
        <v>3.9018754746611402</v>
      </c>
      <c r="C10" s="36">
        <f>IF(ISTEXT('raw data'!$G40),"",'raw data'!$G40)</f>
        <v>1788</v>
      </c>
      <c r="D10" s="65"/>
      <c r="E10" s="66"/>
      <c r="J10" s="58"/>
    </row>
    <row r="11" ht="13.800000000000001" customHeight="1">
      <c r="A11" s="35" t="str">
        <f>description!B$31</f>
        <v>T4</v>
      </c>
      <c r="B11" s="64">
        <f>'raw data'!$E19</f>
        <v>15.607501898644561</v>
      </c>
      <c r="C11" s="36">
        <f>IF(ISTEXT('raw data'!$E41),"",'raw data'!$E41)</f>
        <v>1717</v>
      </c>
      <c r="D11" s="65">
        <f>AVERAGE((C11:C13))</f>
        <v>1779.6666666666667</v>
      </c>
      <c r="E11" s="66"/>
    </row>
    <row r="12" ht="13.800000000000001" customHeight="1">
      <c r="A12" s="35" t="str">
        <f>description!B$31</f>
        <v>T4</v>
      </c>
      <c r="B12" s="64">
        <f>'raw data'!$F19</f>
        <v>15.607501898644561</v>
      </c>
      <c r="C12" s="36">
        <f>IF(ISTEXT('raw data'!$F41),"",'raw data'!$F41)</f>
        <v>1818</v>
      </c>
      <c r="D12" s="65"/>
      <c r="E12" s="66"/>
    </row>
    <row r="13" ht="13.800000000000001" customHeight="1">
      <c r="A13" s="35" t="str">
        <f>description!B$31</f>
        <v>T4</v>
      </c>
      <c r="B13" s="64">
        <f>'raw data'!$G19</f>
        <v>15.607501898644561</v>
      </c>
      <c r="C13" s="36">
        <f>IF(ISTEXT('raw data'!$G41),"",'raw data'!$G41)</f>
        <v>1804</v>
      </c>
      <c r="D13" s="65"/>
      <c r="E13" s="66"/>
    </row>
    <row r="14" ht="13.800000000000001" customHeight="1">
      <c r="A14" s="35" t="str">
        <f>description!B$31</f>
        <v>T4</v>
      </c>
      <c r="B14" s="64">
        <f>'raw data'!$E20</f>
        <v>62.430007594578242</v>
      </c>
      <c r="C14" s="36">
        <f>IF(ISTEXT('raw data'!$E42),"",'raw data'!$E42)</f>
        <v>1744</v>
      </c>
      <c r="D14" s="65">
        <f>AVERAGE((C14:C16))</f>
        <v>1800.6666666666667</v>
      </c>
      <c r="E14" s="66"/>
    </row>
    <row r="15" ht="13.800000000000001" customHeight="1">
      <c r="A15" s="35" t="str">
        <f>description!B$31</f>
        <v>T4</v>
      </c>
      <c r="B15" s="64">
        <f>'raw data'!$F20</f>
        <v>62.430007594578242</v>
      </c>
      <c r="C15" s="36">
        <f>IF(ISTEXT('raw data'!$F42),"",'raw data'!$F42)</f>
        <v>1836</v>
      </c>
      <c r="D15" s="65"/>
      <c r="E15" s="66"/>
    </row>
    <row r="16" ht="13.800000000000001" customHeight="1">
      <c r="A16" s="35" t="str">
        <f>description!B$31</f>
        <v>T4</v>
      </c>
      <c r="B16" s="64">
        <f>'raw data'!$G20</f>
        <v>62.430007594578242</v>
      </c>
      <c r="C16" s="36">
        <f>IF(ISTEXT('raw data'!$G42),"",'raw data'!$G42)</f>
        <v>1822</v>
      </c>
      <c r="D16" s="65"/>
      <c r="E16" s="66"/>
    </row>
    <row r="17" ht="13.800000000000001" customHeight="1">
      <c r="A17" s="35" t="str">
        <f>description!B$31</f>
        <v>T4</v>
      </c>
      <c r="B17" s="64">
        <f>'raw data'!$E21</f>
        <v>249.72003037831297</v>
      </c>
      <c r="C17" s="36">
        <f>IF(ISTEXT('raw data'!$E43),"",'raw data'!$E43)</f>
        <v>1748</v>
      </c>
      <c r="D17" s="65">
        <f>AVERAGE((C17:C19))</f>
        <v>1786.6666666666667</v>
      </c>
      <c r="E17" s="66"/>
    </row>
    <row r="18" ht="13.800000000000001" customHeight="1">
      <c r="A18" s="35" t="str">
        <f>description!B$31</f>
        <v>T4</v>
      </c>
      <c r="B18" s="64">
        <f>'raw data'!$F21</f>
        <v>249.72003037831297</v>
      </c>
      <c r="C18" s="36">
        <f>IF(ISTEXT('raw data'!$F43),"",'raw data'!$F43)</f>
        <v>1809</v>
      </c>
      <c r="D18" s="65"/>
      <c r="E18" s="66"/>
    </row>
    <row r="19" ht="13.800000000000001" customHeight="1">
      <c r="A19" s="35" t="str">
        <f>description!B$31</f>
        <v>T4</v>
      </c>
      <c r="B19" s="64">
        <f>'raw data'!$G21</f>
        <v>249.72003037831297</v>
      </c>
      <c r="C19" s="36">
        <f>IF(ISTEXT('raw data'!$G43),"",'raw data'!$G43)</f>
        <v>1803</v>
      </c>
      <c r="D19" s="65"/>
      <c r="E19" s="66"/>
    </row>
    <row r="20" ht="13.800000000000001" customHeight="1">
      <c r="A20" s="35" t="str">
        <f>description!B$31</f>
        <v>T4</v>
      </c>
      <c r="B20" s="64">
        <f>'raw data'!$E22</f>
        <v>998.88012151325188</v>
      </c>
      <c r="C20" s="36">
        <f>IF(ISTEXT('raw data'!$E44),"",'raw data'!$E44)</f>
        <v>1710</v>
      </c>
      <c r="D20" s="65">
        <f>AVERAGE((C20:C22))</f>
        <v>1763</v>
      </c>
      <c r="E20" s="66"/>
    </row>
    <row r="21" ht="13.800000000000001" customHeight="1">
      <c r="A21" s="35" t="str">
        <f>description!B$31</f>
        <v>T4</v>
      </c>
      <c r="B21" s="64">
        <f>'raw data'!$F22</f>
        <v>998.88012151325188</v>
      </c>
      <c r="C21" s="36">
        <f>IF(ISTEXT('raw data'!$F44),"",'raw data'!$F44)</f>
        <v>1810</v>
      </c>
      <c r="D21" s="65"/>
      <c r="E21" s="66"/>
    </row>
    <row r="22" ht="13.800000000000001" customHeight="1">
      <c r="A22" s="35" t="str">
        <f>description!B$31</f>
        <v>T4</v>
      </c>
      <c r="B22" s="64">
        <f>'raw data'!$G22</f>
        <v>998.88012151325188</v>
      </c>
      <c r="C22" s="36">
        <f>IF(ISTEXT('raw data'!$G44),"",'raw data'!$G44)</f>
        <v>1769</v>
      </c>
      <c r="D22" s="65"/>
      <c r="E22" s="66"/>
    </row>
    <row r="23" ht="13.800000000000001" customHeight="1">
      <c r="A23" s="35" t="str">
        <f>description!B$31</f>
        <v>T4</v>
      </c>
      <c r="B23" s="64">
        <f>'raw data'!$E23</f>
        <v>3995.5204860530075</v>
      </c>
      <c r="C23" s="36">
        <f>IF(ISTEXT('raw data'!$E45),"",'raw data'!$E45)</f>
        <v>1726</v>
      </c>
      <c r="D23" s="65">
        <f>AVERAGE((C23:C25))</f>
        <v>1718.6666666666667</v>
      </c>
      <c r="E23" s="66"/>
    </row>
    <row r="24" ht="13.800000000000001" customHeight="1">
      <c r="A24" s="35" t="str">
        <f>description!B$31</f>
        <v>T4</v>
      </c>
      <c r="B24" s="64">
        <f>'raw data'!$F23</f>
        <v>3995.5204860530075</v>
      </c>
      <c r="C24" s="36">
        <f>IF(ISTEXT('raw data'!$F45),"",'raw data'!$F45)</f>
        <v>1724</v>
      </c>
      <c r="D24" s="65"/>
      <c r="E24" s="66"/>
    </row>
    <row r="25" ht="13.800000000000001" customHeight="1">
      <c r="A25" s="35" t="str">
        <f>description!B$31</f>
        <v>T4</v>
      </c>
      <c r="B25" s="64">
        <f>'raw data'!$G23</f>
        <v>3995.5204860530075</v>
      </c>
      <c r="C25" s="36">
        <f>IF(ISTEXT('raw data'!$G45),"",'raw data'!$G45)</f>
        <v>1706</v>
      </c>
      <c r="D25" s="65"/>
      <c r="E25" s="66"/>
    </row>
    <row r="26" ht="13.800000000000001" customHeight="1">
      <c r="B26" s="66"/>
      <c r="D26" s="66"/>
      <c r="E26" s="66"/>
    </row>
    <row r="27" ht="13.800000000000001" customHeight="1">
      <c r="B27" s="66"/>
      <c r="D27" s="66"/>
      <c r="E27" s="66"/>
    </row>
    <row r="28" ht="13.800000000000001" customHeight="1">
      <c r="A28" s="62" t="s">
        <v>97</v>
      </c>
      <c r="B28" s="63" t="str">
        <f>IF(ISNUMBER(description!$B$21),"conc. (nM)","conc. (ug/L)")</f>
        <v xml:space="preserve">conc. (ug/L)</v>
      </c>
      <c r="C28" t="s">
        <v>82</v>
      </c>
      <c r="D28" s="71" t="s">
        <v>98</v>
      </c>
      <c r="E28" s="66"/>
      <c r="F28" s="4" t="s">
        <v>99</v>
      </c>
      <c r="G28" s="2" t="str">
        <f>description!$B$20</f>
        <v>53</v>
      </c>
    </row>
    <row r="29" ht="13.800000000000001" customHeight="1">
      <c r="A29" s="41" t="str">
        <f>description!C$31</f>
        <v>53</v>
      </c>
      <c r="B29" s="72">
        <f t="shared" ref="B29:B31" si="11">B32/1000</f>
        <v>0.0050000000000000001</v>
      </c>
      <c r="C29" s="42">
        <f t="shared" ref="C29:C31" si="12">C2</f>
        <v>1714</v>
      </c>
      <c r="D29" s="73">
        <f>AVERAGE(C29:C31)</f>
        <v>1768.3333333333333</v>
      </c>
      <c r="E29" s="66"/>
      <c r="F29" t="s">
        <v>100</v>
      </c>
      <c r="G29" s="67">
        <f>D29</f>
        <v>1768.3333333333333</v>
      </c>
      <c r="H29" s="63"/>
      <c r="I29" s="63"/>
    </row>
    <row r="30" ht="13.800000000000001" customHeight="1">
      <c r="A30" s="41" t="str">
        <f>description!C$31</f>
        <v>53</v>
      </c>
      <c r="B30" s="72">
        <f t="shared" si="11"/>
        <v>0.0050000000000000001</v>
      </c>
      <c r="C30" s="42">
        <f t="shared" si="12"/>
        <v>1808</v>
      </c>
      <c r="D30" s="73"/>
      <c r="E30" s="66"/>
      <c r="F30" t="s">
        <v>101</v>
      </c>
      <c r="G30" s="67">
        <f>MIN(D29:D50)</f>
        <v>1762.3333333333333</v>
      </c>
      <c r="H30" s="63"/>
    </row>
    <row r="31" ht="13.800000000000001" customHeight="1">
      <c r="A31" s="41" t="str">
        <f>description!C$31</f>
        <v>53</v>
      </c>
      <c r="B31" s="72">
        <f t="shared" si="11"/>
        <v>0.0050000000000000001</v>
      </c>
      <c r="C31" s="42">
        <f t="shared" si="12"/>
        <v>1783</v>
      </c>
      <c r="D31" s="73"/>
      <c r="E31" s="66"/>
      <c r="F31" t="s">
        <v>102</v>
      </c>
      <c r="G31" s="67">
        <f>MAX(D29:D50)</f>
        <v>1789.6666666666667</v>
      </c>
      <c r="H31" s="63"/>
      <c r="I31" s="63"/>
    </row>
    <row r="32" ht="13.800000000000001" customHeight="1">
      <c r="A32" s="41" t="str">
        <f>description!C$31</f>
        <v>53</v>
      </c>
      <c r="B32" s="72">
        <f>'raw data'!$K17</f>
        <v>5</v>
      </c>
      <c r="C32" s="42">
        <f>IF(ISTEXT('raw data'!$K39),"",'raw data'!$K39)</f>
        <v>1708</v>
      </c>
      <c r="D32" s="73">
        <f>AVERAGE(C32:C34)</f>
        <v>1765</v>
      </c>
      <c r="E32" s="66"/>
      <c r="H32" s="63"/>
      <c r="I32" s="63"/>
    </row>
    <row r="33" ht="13.800000000000001" customHeight="1">
      <c r="A33" s="41" t="str">
        <f>description!C$31</f>
        <v>53</v>
      </c>
      <c r="B33" s="72">
        <f>'raw data'!$L17</f>
        <v>5</v>
      </c>
      <c r="C33" s="42">
        <f>IF(ISTEXT('raw data'!$L39),"",'raw data'!$L39)</f>
        <v>1846</v>
      </c>
      <c r="D33" s="73"/>
      <c r="E33" s="66"/>
      <c r="F33" t="s">
        <v>103</v>
      </c>
      <c r="G33" s="68">
        <f>(G31-G30)/G29</f>
        <v>0.015457115928369548</v>
      </c>
      <c r="H33" s="43" t="str">
        <f>IF(G33&gt;_parameters!$B$24,"REJECT!","ACCEPT")</f>
        <v>ACCEPT</v>
      </c>
      <c r="I33" s="69" t="str">
        <f>_xlfn.CONCAT("Should be less than or equal to ",_parameters!$B$24)</f>
        <v xml:space="preserve">Should be less than or equal to 0.2</v>
      </c>
      <c r="J33" s="70" t="str">
        <f>_xlfn.CONCAT("According to ",_parameters!$B$39,", section 8.2.6: Autofluorescence and quenching by test item (7.7).")</f>
        <v xml:space="preserve">According to SOP01-TTRfitc_v5, section 8.2.6: Autofluorescence and quenching by test item (7.7).</v>
      </c>
    </row>
    <row r="34" ht="13.800000000000001" customHeight="1">
      <c r="A34" s="41" t="str">
        <f>description!C$31</f>
        <v>53</v>
      </c>
      <c r="B34" s="72">
        <f>'raw data'!$M17</f>
        <v>5</v>
      </c>
      <c r="C34" s="42">
        <f>IF(ISTEXT('raw data'!$M39),"",'raw data'!$M39)</f>
        <v>1741</v>
      </c>
      <c r="D34" s="73"/>
      <c r="E34" s="66"/>
      <c r="H34" s="43"/>
    </row>
    <row r="35" ht="13.800000000000001" customHeight="1">
      <c r="A35" s="41" t="str">
        <f>description!C$31</f>
        <v>53</v>
      </c>
      <c r="B35" s="72">
        <f>'raw data'!$K18</f>
        <v>15</v>
      </c>
      <c r="C35" s="42">
        <f>IF(ISTEXT('raw data'!$K40),"",'raw data'!$K40)</f>
        <v>1710</v>
      </c>
      <c r="D35" s="73">
        <f>AVERAGE(C35:C37)</f>
        <v>1774.6666666666667</v>
      </c>
      <c r="E35" s="66"/>
      <c r="H35" s="43"/>
      <c r="K35" s="43"/>
    </row>
    <row r="36" ht="13.800000000000001" customHeight="1">
      <c r="A36" s="41" t="str">
        <f>description!C$31</f>
        <v>53</v>
      </c>
      <c r="B36" s="72">
        <f>'raw data'!$L18</f>
        <v>15</v>
      </c>
      <c r="C36" s="42">
        <f>IF(ISTEXT('raw data'!$L40),"",'raw data'!$L40)</f>
        <v>1855</v>
      </c>
      <c r="D36" s="73"/>
      <c r="E36" s="66"/>
      <c r="I36" s="63"/>
    </row>
    <row r="37" ht="13.800000000000001" customHeight="1">
      <c r="A37" s="41" t="str">
        <f>description!C$31</f>
        <v>53</v>
      </c>
      <c r="B37" s="72">
        <f>'raw data'!$M18</f>
        <v>15</v>
      </c>
      <c r="C37" s="42">
        <f>IF(ISTEXT('raw data'!$M40),"",'raw data'!$M40)</f>
        <v>1759</v>
      </c>
      <c r="D37" s="73"/>
      <c r="E37" s="66"/>
    </row>
    <row r="38" ht="13.800000000000001" customHeight="1">
      <c r="A38" s="41" t="str">
        <f>description!C$31</f>
        <v>53</v>
      </c>
      <c r="B38" s="72">
        <f>'raw data'!$K19</f>
        <v>50</v>
      </c>
      <c r="C38" s="42">
        <f>IF(ISTEXT('raw data'!$K41),"",'raw data'!$K41)</f>
        <v>1722</v>
      </c>
      <c r="D38" s="73">
        <f>AVERAGE(C38:C40)</f>
        <v>1770.6666666666667</v>
      </c>
      <c r="E38" s="66"/>
    </row>
    <row r="39" ht="13.800000000000001" customHeight="1">
      <c r="A39" s="41" t="str">
        <f>description!C$31</f>
        <v>53</v>
      </c>
      <c r="B39" s="72">
        <f>'raw data'!$L19</f>
        <v>50</v>
      </c>
      <c r="C39" s="42">
        <f>IF(ISTEXT('raw data'!$L41),"",'raw data'!$L41)</f>
        <v>1794</v>
      </c>
      <c r="D39" s="73"/>
      <c r="E39" s="66"/>
    </row>
    <row r="40" ht="13.800000000000001" customHeight="1">
      <c r="A40" s="41" t="str">
        <f>description!C$31</f>
        <v>53</v>
      </c>
      <c r="B40" s="72">
        <f>'raw data'!$M19</f>
        <v>50</v>
      </c>
      <c r="C40" s="42">
        <f>IF(ISTEXT('raw data'!$M41),"",'raw data'!$M41)</f>
        <v>1796</v>
      </c>
      <c r="D40" s="73"/>
      <c r="E40" s="66"/>
    </row>
    <row r="41" ht="13.800000000000001" customHeight="1">
      <c r="A41" s="41" t="str">
        <f>description!C$31</f>
        <v>53</v>
      </c>
      <c r="B41" s="72">
        <f>'raw data'!$K20</f>
        <v>150</v>
      </c>
      <c r="C41" s="42">
        <f>IF(ISTEXT('raw data'!$K42),"",'raw data'!$K42)</f>
        <v>1697</v>
      </c>
      <c r="D41" s="73">
        <f>AVERAGE(C41:C43)</f>
        <v>1762.3333333333333</v>
      </c>
      <c r="E41" s="66"/>
    </row>
    <row r="42" ht="13.800000000000001" customHeight="1">
      <c r="A42" s="41" t="str">
        <f>description!C$31</f>
        <v>53</v>
      </c>
      <c r="B42" s="72">
        <f>'raw data'!$L20</f>
        <v>150</v>
      </c>
      <c r="C42" s="42">
        <f>IF(ISTEXT('raw data'!$L42),"",'raw data'!$L42)</f>
        <v>1845</v>
      </c>
      <c r="D42" s="73"/>
      <c r="E42" s="66"/>
    </row>
    <row r="43" ht="13.800000000000001" customHeight="1">
      <c r="A43" s="41" t="str">
        <f>description!C$31</f>
        <v>53</v>
      </c>
      <c r="B43" s="72">
        <f>'raw data'!$M20</f>
        <v>150</v>
      </c>
      <c r="C43" s="42">
        <f>IF(ISTEXT('raw data'!$M42),"",'raw data'!$M42)</f>
        <v>1745</v>
      </c>
      <c r="D43" s="73"/>
      <c r="E43" s="66"/>
    </row>
    <row r="44" ht="13.800000000000001" customHeight="1">
      <c r="A44" s="41" t="str">
        <f>description!C$31</f>
        <v>53</v>
      </c>
      <c r="B44" s="72">
        <f>'raw data'!$K21</f>
        <v>500</v>
      </c>
      <c r="C44" s="42">
        <f>IF(ISTEXT('raw data'!$K43),"",'raw data'!$K43)</f>
        <v>1742</v>
      </c>
      <c r="D44" s="73">
        <f>AVERAGE(C44:C46)</f>
        <v>1789.6666666666667</v>
      </c>
      <c r="E44" s="66"/>
    </row>
    <row r="45" ht="13.800000000000001" customHeight="1">
      <c r="A45" s="41" t="str">
        <f>description!C$31</f>
        <v>53</v>
      </c>
      <c r="B45" s="72">
        <f>'raw data'!$L21</f>
        <v>500</v>
      </c>
      <c r="C45" s="42">
        <f>IF(ISTEXT('raw data'!$L43),"",'raw data'!$L43)</f>
        <v>1878</v>
      </c>
      <c r="D45" s="73"/>
      <c r="E45" s="66"/>
    </row>
    <row r="46" ht="13.800000000000001" customHeight="1">
      <c r="A46" s="41" t="str">
        <f>description!C$31</f>
        <v>53</v>
      </c>
      <c r="B46" s="72">
        <f>'raw data'!$M21</f>
        <v>500</v>
      </c>
      <c r="C46" s="42">
        <f>IF(ISTEXT('raw data'!$M43),"",'raw data'!$M43)</f>
        <v>1749</v>
      </c>
      <c r="D46" s="73"/>
      <c r="E46" s="66"/>
    </row>
    <row r="47" ht="13.800000000000001" customHeight="1">
      <c r="A47" s="41" t="str">
        <f>description!C$31</f>
        <v>53</v>
      </c>
      <c r="B47" s="72">
        <f>'raw data'!$K22</f>
        <v>1500</v>
      </c>
      <c r="C47" s="42">
        <f>IF(ISTEXT('raw data'!$K44),"",'raw data'!$K44)</f>
        <v>1751</v>
      </c>
      <c r="D47" s="73">
        <f>AVERAGE(C47:C49)</f>
        <v>1785.6666666666667</v>
      </c>
      <c r="E47" s="66"/>
    </row>
    <row r="48" ht="13.800000000000001" customHeight="1">
      <c r="A48" s="41" t="str">
        <f>description!C$31</f>
        <v>53</v>
      </c>
      <c r="B48" s="72">
        <f>'raw data'!$L22</f>
        <v>1500</v>
      </c>
      <c r="C48" s="42">
        <f>IF(ISTEXT('raw data'!$L44),"",'raw data'!$L44)</f>
        <v>1795</v>
      </c>
      <c r="D48" s="73"/>
      <c r="E48" s="66"/>
    </row>
    <row r="49" ht="13.800000000000001" customHeight="1">
      <c r="A49" s="41" t="str">
        <f>description!C$31</f>
        <v>53</v>
      </c>
      <c r="B49" s="72">
        <f>'raw data'!$M22</f>
        <v>1500</v>
      </c>
      <c r="C49" s="42">
        <f>IF(ISTEXT('raw data'!$M44),"",'raw data'!$M44)</f>
        <v>1811</v>
      </c>
      <c r="D49" s="73"/>
      <c r="E49" s="66"/>
    </row>
    <row r="50" ht="13.800000000000001" customHeight="1">
      <c r="A50" s="41" t="str">
        <f>description!C$31</f>
        <v>53</v>
      </c>
      <c r="B50" s="72">
        <f>'raw data'!$K23</f>
        <v>5000</v>
      </c>
      <c r="C50" s="42">
        <f>IF(ISTEXT('raw data'!$K45),"",'raw data'!$K45)</f>
        <v>1728</v>
      </c>
      <c r="D50" s="73">
        <f>AVERAGE(C50:C52)</f>
        <v>1783.6666666666667</v>
      </c>
      <c r="E50" s="66"/>
    </row>
    <row r="51" ht="13.800000000000001" customHeight="1">
      <c r="A51" s="41" t="str">
        <f>description!C$31</f>
        <v>53</v>
      </c>
      <c r="B51" s="72">
        <f>'raw data'!$L23</f>
        <v>5000</v>
      </c>
      <c r="C51" s="42">
        <f>IF(ISTEXT('raw data'!$L45),"",'raw data'!$L45)</f>
        <v>1843</v>
      </c>
      <c r="D51" s="73"/>
      <c r="E51" s="66"/>
    </row>
    <row r="52" ht="13.800000000000001" customHeight="1">
      <c r="A52" s="41" t="str">
        <f>description!C$31</f>
        <v>53</v>
      </c>
      <c r="B52" s="72">
        <f>'raw data'!$M23</f>
        <v>5000</v>
      </c>
      <c r="C52" s="42">
        <f>IF(ISTEXT('raw data'!$M45),"",'raw data'!$M45)</f>
        <v>1780</v>
      </c>
      <c r="D52" s="73"/>
      <c r="E52" s="66"/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printOptions headings="0" gridLines="0"/>
  <pageMargins left="0.69999999999999996" right="0.69999999999999996" top="0.75" bottom="0.75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topLeftCell="A1" zoomScale="100" workbookViewId="0">
      <pane ySplit="1" topLeftCell="A2" activePane="bottomLeft" state="frozen"/>
      <selection activeCell="U40" activeCellId="0" sqref="U40"/>
    </sheetView>
  </sheetViews>
  <sheetFormatPr baseColWidth="10" defaultRowHeight="15"/>
  <cols>
    <col customWidth="1" min="1" max="1" width="10.99"/>
    <col customWidth="1" min="2" max="2" width="11.539999999999999"/>
    <col customWidth="1" min="3" max="3" width="15.27"/>
    <col customWidth="1" min="4" max="4" width="14.539999999999999"/>
    <col customWidth="1" min="5" max="5" width="14.449999999999999"/>
    <col customWidth="1" min="6" max="6" width="11.109999999999999"/>
    <col customWidth="1" min="7" max="8" width="10.539999999999999"/>
    <col customWidth="1" min="11" max="11" width="11.539999999999999"/>
    <col customWidth="1" min="12" max="12" width="21.899999999999999"/>
    <col customWidth="1" min="13" max="13" width="9.0899999999999999"/>
    <col customWidth="1" min="15" max="15" width="9.0899999999999999"/>
  </cols>
  <sheetData>
    <row r="1" ht="13.800000000000001" customHeight="1">
      <c r="A1" s="62" t="s">
        <v>104</v>
      </c>
      <c r="B1" s="62" t="s">
        <v>105</v>
      </c>
      <c r="C1" s="62" t="s">
        <v>97</v>
      </c>
      <c r="D1" s="63" t="str">
        <f>IF(ISNUMBER(description!$B$19),"competitor (nM)","competitor (μg/L)")</f>
        <v xml:space="preserve">competitor (nM)</v>
      </c>
      <c r="E1" s="62" t="s">
        <v>90</v>
      </c>
      <c r="F1" s="62" t="s">
        <v>106</v>
      </c>
      <c r="G1" s="62" t="s">
        <v>107</v>
      </c>
    </row>
    <row r="2" ht="13.800000000000001" customHeight="1">
      <c r="A2" s="52">
        <f>description!$F$32</f>
        <v>30</v>
      </c>
      <c r="B2" s="52">
        <f>description!$E$32</f>
        <v>110</v>
      </c>
      <c r="C2" s="35" t="str">
        <f>description!$B$31</f>
        <v>T4</v>
      </c>
      <c r="D2" s="74">
        <f t="shared" ref="D2:D4" si="13">D5/100</f>
        <v>0.0097546886866528501</v>
      </c>
      <c r="E2" s="65">
        <f>'raw data'!$B27</f>
        <v>638.66666666666674</v>
      </c>
      <c r="F2" s="65">
        <f t="shared" ref="F2:F4" si="14">$K$4</f>
        <v>0</v>
      </c>
      <c r="G2" s="65">
        <f t="shared" ref="G2:G9" si="15">IF(ISERROR(E2-F2),"",(E2-F2)^2)</f>
        <v>407895.11111111118</v>
      </c>
      <c r="H2" s="75"/>
      <c r="I2" s="4" t="s">
        <v>108</v>
      </c>
    </row>
    <row r="3" ht="13.800000000000001" customHeight="1">
      <c r="A3" s="52">
        <f>description!$F$32</f>
        <v>30</v>
      </c>
      <c r="B3" s="52">
        <f>description!$E$32</f>
        <v>110</v>
      </c>
      <c r="C3" s="35" t="str">
        <f>description!$B$31</f>
        <v>T4</v>
      </c>
      <c r="D3" s="74">
        <f t="shared" si="13"/>
        <v>0.0097546886866528501</v>
      </c>
      <c r="E3" s="65">
        <f>'raw data'!$C27</f>
        <v>788.66666666666674</v>
      </c>
      <c r="F3" s="65">
        <f t="shared" si="14"/>
        <v>0</v>
      </c>
      <c r="G3" s="65">
        <f t="shared" si="15"/>
        <v>621995.11111111124</v>
      </c>
      <c r="H3" s="75"/>
      <c r="I3" s="12" t="s">
        <v>99</v>
      </c>
      <c r="J3" s="76" t="s">
        <v>101</v>
      </c>
      <c r="K3" s="76" t="s">
        <v>102</v>
      </c>
      <c r="L3" s="76" t="s">
        <v>109</v>
      </c>
      <c r="M3" s="76" t="s">
        <v>110</v>
      </c>
      <c r="N3" s="76" t="s">
        <v>111</v>
      </c>
    </row>
    <row r="4" ht="13.800000000000001" customHeight="1">
      <c r="A4" s="52">
        <f>description!$F$32</f>
        <v>30</v>
      </c>
      <c r="B4" s="52">
        <f>description!$E$32</f>
        <v>110</v>
      </c>
      <c r="C4" s="35" t="str">
        <f>description!$B$31</f>
        <v>T4</v>
      </c>
      <c r="D4" s="74">
        <f t="shared" si="13"/>
        <v>0.0097546886866528501</v>
      </c>
      <c r="E4" s="65">
        <f>'raw data'!$D27</f>
        <v>738.66666666666674</v>
      </c>
      <c r="F4" s="65">
        <f t="shared" si="14"/>
        <v>0</v>
      </c>
      <c r="G4" s="65">
        <f t="shared" si="15"/>
        <v>545628.44444444461</v>
      </c>
      <c r="H4" s="75"/>
      <c r="I4" s="62" t="str">
        <f>description!B18</f>
        <v>T4</v>
      </c>
      <c r="J4" s="77"/>
      <c r="K4" s="77"/>
      <c r="L4" s="78"/>
      <c r="M4" s="79"/>
      <c r="N4" s="80">
        <f>SUM(G2:G25)</f>
        <v>6413221.6666666651</v>
      </c>
      <c r="P4" t="s">
        <v>82</v>
      </c>
      <c r="Q4" t="s">
        <v>112</v>
      </c>
    </row>
    <row r="5" ht="13.800000000000001" customHeight="1">
      <c r="A5" s="52">
        <f>description!$F$32</f>
        <v>30</v>
      </c>
      <c r="B5" s="52">
        <f>description!$E$32</f>
        <v>110</v>
      </c>
      <c r="C5" s="35" t="str">
        <f>description!$B$31</f>
        <v>T4</v>
      </c>
      <c r="D5" s="74">
        <f>'raw data'!$B17</f>
        <v>0.97546886866528504</v>
      </c>
      <c r="E5" s="65">
        <f>'raw data'!$B28</f>
        <v>616</v>
      </c>
      <c r="F5" s="65">
        <f t="shared" ref="F5:F9" si="16">$J$4+(($K$4-$J$4)/(1+($L$4/D5)^$M$4))</f>
        <v>0</v>
      </c>
      <c r="G5" s="65">
        <f t="shared" si="15"/>
        <v>379456</v>
      </c>
      <c r="H5" s="75"/>
      <c r="I5" s="62" t="str">
        <f>description!B20</f>
        <v>53</v>
      </c>
      <c r="J5" s="77"/>
      <c r="K5" s="77"/>
      <c r="L5" s="78"/>
      <c r="M5" s="79"/>
      <c r="N5" s="80">
        <f>SUM(G29:G52)</f>
        <v>4721684.9999999991</v>
      </c>
      <c r="P5" t="s">
        <v>113</v>
      </c>
      <c r="Q5" t="s">
        <v>114</v>
      </c>
    </row>
    <row r="6" ht="13.800000000000001" customHeight="1">
      <c r="A6" s="52">
        <f>description!$F$32</f>
        <v>30</v>
      </c>
      <c r="B6" s="52">
        <f>description!$E$32</f>
        <v>110</v>
      </c>
      <c r="C6" s="35" t="str">
        <f>description!$B$31</f>
        <v>T4</v>
      </c>
      <c r="D6" s="74">
        <f>'raw data'!$C17</f>
        <v>0.97546886866528504</v>
      </c>
      <c r="E6" s="65">
        <f>'raw data'!$C28</f>
        <v>741</v>
      </c>
      <c r="F6" s="65">
        <f t="shared" si="16"/>
        <v>0</v>
      </c>
      <c r="G6" s="65">
        <f t="shared" si="15"/>
        <v>549081</v>
      </c>
      <c r="H6" s="75"/>
      <c r="P6" t="s">
        <v>115</v>
      </c>
      <c r="Q6" t="s">
        <v>116</v>
      </c>
    </row>
    <row r="7" ht="13.800000000000001" customHeight="1">
      <c r="A7" s="52">
        <f>description!$F$32</f>
        <v>30</v>
      </c>
      <c r="B7" s="52">
        <f>description!$E$32</f>
        <v>110</v>
      </c>
      <c r="C7" s="35" t="str">
        <f>description!$B$31</f>
        <v>T4</v>
      </c>
      <c r="D7" s="74">
        <f>'raw data'!$D17</f>
        <v>0.97546886866528504</v>
      </c>
      <c r="E7" s="65">
        <f>'raw data'!$D28</f>
        <v>788</v>
      </c>
      <c r="F7" s="65">
        <f t="shared" si="16"/>
        <v>0</v>
      </c>
      <c r="G7" s="65">
        <f t="shared" si="15"/>
        <v>620944</v>
      </c>
      <c r="H7" s="75"/>
      <c r="P7" t="s">
        <v>109</v>
      </c>
      <c r="Q7" t="s">
        <v>117</v>
      </c>
    </row>
    <row r="8" ht="13.800000000000001" customHeight="1">
      <c r="A8" s="52">
        <f>description!$F$32</f>
        <v>30</v>
      </c>
      <c r="B8" s="52">
        <f>description!$E$32</f>
        <v>110</v>
      </c>
      <c r="C8" s="35" t="str">
        <f>description!$B$31</f>
        <v>T4</v>
      </c>
      <c r="D8" s="74">
        <f>'raw data'!$B18</f>
        <v>3.9018754746611402</v>
      </c>
      <c r="E8" s="65">
        <f>'raw data'!$B29</f>
        <v>717.33333333333326</v>
      </c>
      <c r="F8" s="65">
        <f t="shared" si="16"/>
        <v>0</v>
      </c>
      <c r="G8" s="65">
        <f t="shared" si="15"/>
        <v>514567.11111111101</v>
      </c>
      <c r="H8" s="75"/>
      <c r="P8" t="s">
        <v>110</v>
      </c>
      <c r="Q8" t="s">
        <v>118</v>
      </c>
    </row>
    <row r="9" ht="13.800000000000001" customHeight="1">
      <c r="A9" s="52">
        <f>description!$F$32</f>
        <v>30</v>
      </c>
      <c r="B9" s="52">
        <f>description!$E$32</f>
        <v>110</v>
      </c>
      <c r="C9" s="35" t="str">
        <f>description!$B$31</f>
        <v>T4</v>
      </c>
      <c r="D9" s="74">
        <f>'raw data'!$C18</f>
        <v>3.9018754746611402</v>
      </c>
      <c r="E9" s="65">
        <f>'raw data'!$C29</f>
        <v>644.33333333333326</v>
      </c>
      <c r="F9" s="65">
        <f t="shared" si="16"/>
        <v>0</v>
      </c>
      <c r="G9" s="65">
        <f t="shared" si="15"/>
        <v>415165.44444444432</v>
      </c>
      <c r="H9" s="75"/>
      <c r="P9" t="s">
        <v>111</v>
      </c>
      <c r="Q9" t="s">
        <v>119</v>
      </c>
    </row>
    <row r="10" ht="13.800000000000001" customHeight="1">
      <c r="A10" s="52">
        <f>description!$F$32</f>
        <v>30</v>
      </c>
      <c r="B10" s="52">
        <f>description!$E$32</f>
        <v>110</v>
      </c>
      <c r="C10" s="35" t="str">
        <f>description!$B$31</f>
        <v>T4</v>
      </c>
      <c r="D10" s="74">
        <f>'raw data'!$D18</f>
        <v>3.9018754746611402</v>
      </c>
      <c r="E10" s="65">
        <f>'raw data'!$D29</f>
        <v>682.33333333333326</v>
      </c>
      <c r="F10" s="65">
        <f t="shared" ref="F10:F25" si="17">$J$4+(($K$4-$J$4)/(1+($L$4/D10)^$M$4))</f>
        <v>0</v>
      </c>
      <c r="G10" s="65">
        <f t="shared" ref="G10:G52" si="18">IF(ISERROR(E10-F10),"",(E10-F10)^2)</f>
        <v>465578.77777777769</v>
      </c>
      <c r="H10" s="75"/>
      <c r="P10" t="s">
        <v>120</v>
      </c>
      <c r="Q10" t="s">
        <v>121</v>
      </c>
    </row>
    <row r="11" ht="13.800000000000001" customHeight="1">
      <c r="A11" s="52">
        <f>description!$F$32</f>
        <v>30</v>
      </c>
      <c r="B11" s="52">
        <f>description!$E$32</f>
        <v>110</v>
      </c>
      <c r="C11" s="35" t="str">
        <f>description!$B$31</f>
        <v>T4</v>
      </c>
      <c r="D11" s="74">
        <f>'raw data'!$B19</f>
        <v>15.607501898644561</v>
      </c>
      <c r="E11" s="65">
        <f>'raw data'!$B30</f>
        <v>526.33333333333326</v>
      </c>
      <c r="F11" s="65">
        <f t="shared" si="17"/>
        <v>0</v>
      </c>
      <c r="G11" s="65">
        <f t="shared" si="18"/>
        <v>277026.77777777769</v>
      </c>
      <c r="H11" s="75"/>
    </row>
    <row r="12" ht="13.800000000000001" customHeight="1">
      <c r="A12" s="52">
        <f>description!$F$32</f>
        <v>30</v>
      </c>
      <c r="B12" s="52">
        <f>description!$E$32</f>
        <v>110</v>
      </c>
      <c r="C12" s="35" t="str">
        <f>description!$B$31</f>
        <v>T4</v>
      </c>
      <c r="D12" s="74">
        <f>'raw data'!$C19</f>
        <v>15.607501898644561</v>
      </c>
      <c r="E12" s="65">
        <f>'raw data'!$C30</f>
        <v>617.33333333333326</v>
      </c>
      <c r="F12" s="65">
        <f t="shared" si="17"/>
        <v>0</v>
      </c>
      <c r="G12" s="65">
        <f t="shared" si="18"/>
        <v>381100.44444444438</v>
      </c>
      <c r="H12" s="75"/>
    </row>
    <row r="13" ht="13.800000000000001" customHeight="1">
      <c r="A13" s="52">
        <f>description!$F$32</f>
        <v>30</v>
      </c>
      <c r="B13" s="52">
        <f>description!$E$32</f>
        <v>110</v>
      </c>
      <c r="C13" s="35" t="str">
        <f>description!$B$31</f>
        <v>T4</v>
      </c>
      <c r="D13" s="74">
        <f>'raw data'!$D19</f>
        <v>15.607501898644561</v>
      </c>
      <c r="E13" s="65">
        <f>'raw data'!$D30</f>
        <v>591.33333333333326</v>
      </c>
      <c r="F13" s="65">
        <f t="shared" si="17"/>
        <v>0</v>
      </c>
      <c r="G13" s="65">
        <f t="shared" si="18"/>
        <v>349675.11111111101</v>
      </c>
      <c r="H13" s="75"/>
    </row>
    <row r="14" ht="13.800000000000001" customHeight="1">
      <c r="A14" s="52">
        <f>description!$F$32</f>
        <v>30</v>
      </c>
      <c r="B14" s="52">
        <f>description!$E$32</f>
        <v>110</v>
      </c>
      <c r="C14" s="35" t="str">
        <f>description!$B$31</f>
        <v>T4</v>
      </c>
      <c r="D14" s="74">
        <f>'raw data'!$B20</f>
        <v>62.430007594578242</v>
      </c>
      <c r="E14" s="65">
        <f>'raw data'!$B31</f>
        <v>408.33333333333326</v>
      </c>
      <c r="F14" s="65">
        <f t="shared" si="17"/>
        <v>0</v>
      </c>
      <c r="G14" s="65">
        <f t="shared" si="18"/>
        <v>166736.11111111104</v>
      </c>
      <c r="H14" s="75"/>
    </row>
    <row r="15" ht="13.800000000000001" customHeight="1">
      <c r="A15" s="52">
        <f>description!$F$32</f>
        <v>30</v>
      </c>
      <c r="B15" s="52">
        <f>description!$E$32</f>
        <v>110</v>
      </c>
      <c r="C15" s="35" t="str">
        <f>description!$B$31</f>
        <v>T4</v>
      </c>
      <c r="D15" s="74">
        <f>'raw data'!$C20</f>
        <v>62.430007594578242</v>
      </c>
      <c r="E15" s="65">
        <f>'raw data'!$C31</f>
        <v>514.33333333333326</v>
      </c>
      <c r="F15" s="65">
        <f t="shared" si="17"/>
        <v>0</v>
      </c>
      <c r="G15" s="65">
        <f t="shared" si="18"/>
        <v>264538.77777777769</v>
      </c>
      <c r="H15" s="75"/>
    </row>
    <row r="16" ht="13.800000000000001" customHeight="1">
      <c r="A16" s="52">
        <f>description!$F$32</f>
        <v>30</v>
      </c>
      <c r="B16" s="52">
        <f>description!$E$32</f>
        <v>110</v>
      </c>
      <c r="C16" s="35" t="str">
        <f>description!$B$31</f>
        <v>T4</v>
      </c>
      <c r="D16" s="74">
        <f>'raw data'!$D20</f>
        <v>62.430007594578242</v>
      </c>
      <c r="E16" s="65">
        <f>'raw data'!$D31</f>
        <v>584.33333333333326</v>
      </c>
      <c r="F16" s="65">
        <f t="shared" si="17"/>
        <v>0</v>
      </c>
      <c r="G16" s="65">
        <f t="shared" si="18"/>
        <v>341445.44444444438</v>
      </c>
      <c r="H16" s="75"/>
    </row>
    <row r="17" ht="13.800000000000001" customHeight="1">
      <c r="A17" s="52">
        <f>description!$F$32</f>
        <v>30</v>
      </c>
      <c r="B17" s="52">
        <f>description!$E$32</f>
        <v>110</v>
      </c>
      <c r="C17" s="35" t="str">
        <f>description!$B$31</f>
        <v>T4</v>
      </c>
      <c r="D17" s="74">
        <f>'raw data'!$B21</f>
        <v>249.72003037831297</v>
      </c>
      <c r="E17" s="65">
        <f>'raw data'!$B32</f>
        <v>106.33333333333326</v>
      </c>
      <c r="F17" s="65">
        <f t="shared" si="17"/>
        <v>0</v>
      </c>
      <c r="G17" s="65">
        <f t="shared" si="18"/>
        <v>11306.777777777761</v>
      </c>
      <c r="H17" s="75"/>
    </row>
    <row r="18" ht="13.800000000000001" customHeight="1">
      <c r="A18" s="52">
        <f>description!$F$32</f>
        <v>30</v>
      </c>
      <c r="B18" s="52">
        <f>description!$E$32</f>
        <v>110</v>
      </c>
      <c r="C18" s="35" t="str">
        <f>description!$B$31</f>
        <v>T4</v>
      </c>
      <c r="D18" s="74">
        <f>'raw data'!$C21</f>
        <v>249.72003037831297</v>
      </c>
      <c r="E18" s="65">
        <f>'raw data'!$C32</f>
        <v>258.33333333333326</v>
      </c>
      <c r="F18" s="65">
        <f t="shared" si="17"/>
        <v>0</v>
      </c>
      <c r="G18" s="65">
        <f t="shared" si="18"/>
        <v>66736.111111111066</v>
      </c>
      <c r="H18" s="75"/>
    </row>
    <row r="19" ht="13.800000000000001" customHeight="1">
      <c r="A19" s="52">
        <f>description!$F$32</f>
        <v>30</v>
      </c>
      <c r="B19" s="52">
        <f>description!$E$32</f>
        <v>110</v>
      </c>
      <c r="C19" s="35" t="str">
        <f>description!$B$31</f>
        <v>T4</v>
      </c>
      <c r="D19" s="74">
        <f>'raw data'!$D21</f>
        <v>249.72003037831297</v>
      </c>
      <c r="E19" s="65">
        <f>'raw data'!$D32</f>
        <v>173.33333333333326</v>
      </c>
      <c r="F19" s="65">
        <f t="shared" si="17"/>
        <v>0</v>
      </c>
      <c r="G19" s="65">
        <f t="shared" si="18"/>
        <v>30044.44444444442</v>
      </c>
      <c r="H19" s="75"/>
    </row>
    <row r="20" ht="13.800000000000001" customHeight="1">
      <c r="A20" s="52">
        <f>description!$F$32</f>
        <v>30</v>
      </c>
      <c r="B20" s="52">
        <f>description!$E$32</f>
        <v>110</v>
      </c>
      <c r="C20" s="35" t="str">
        <f>description!$B$31</f>
        <v>T4</v>
      </c>
      <c r="D20" s="74">
        <f>'raw data'!$B22</f>
        <v>998.88012151325188</v>
      </c>
      <c r="E20" s="65">
        <f>'raw data'!$B33</f>
        <v>-33</v>
      </c>
      <c r="F20" s="65">
        <f t="shared" si="17"/>
        <v>0</v>
      </c>
      <c r="G20" s="65">
        <f t="shared" si="18"/>
        <v>1089</v>
      </c>
      <c r="H20" s="75"/>
    </row>
    <row r="21" ht="13.800000000000001" customHeight="1">
      <c r="A21" s="52">
        <f>description!$F$32</f>
        <v>30</v>
      </c>
      <c r="B21" s="52">
        <f>description!$E$32</f>
        <v>110</v>
      </c>
      <c r="C21" s="35" t="str">
        <f>description!$B$31</f>
        <v>T4</v>
      </c>
      <c r="D21" s="74">
        <f>'raw data'!$C22</f>
        <v>998.88012151325188</v>
      </c>
      <c r="E21" s="65">
        <f>'raw data'!$C33</f>
        <v>4</v>
      </c>
      <c r="F21" s="65">
        <f t="shared" si="17"/>
        <v>0</v>
      </c>
      <c r="G21" s="65">
        <f t="shared" si="18"/>
        <v>16</v>
      </c>
      <c r="H21" s="75"/>
    </row>
    <row r="22" ht="13.800000000000001" customHeight="1">
      <c r="A22" s="52">
        <f>description!$F$32</f>
        <v>30</v>
      </c>
      <c r="B22" s="52">
        <f>description!$E$32</f>
        <v>110</v>
      </c>
      <c r="C22" s="35" t="str">
        <f>description!$B$31</f>
        <v>T4</v>
      </c>
      <c r="D22" s="74">
        <f>'raw data'!$D22</f>
        <v>998.88012151325188</v>
      </c>
      <c r="E22" s="65">
        <f>'raw data'!$D33</f>
        <v>-8</v>
      </c>
      <c r="F22" s="65">
        <f t="shared" si="17"/>
        <v>0</v>
      </c>
      <c r="G22" s="65">
        <f t="shared" si="18"/>
        <v>64</v>
      </c>
      <c r="H22" s="75"/>
    </row>
    <row r="23" ht="13.800000000000001" customHeight="1">
      <c r="A23" s="52">
        <f>description!$F$32</f>
        <v>30</v>
      </c>
      <c r="B23" s="52">
        <f>description!$E$32</f>
        <v>110</v>
      </c>
      <c r="C23" s="35" t="str">
        <f>description!$B$31</f>
        <v>T4</v>
      </c>
      <c r="D23" s="74">
        <f>'raw data'!$B23</f>
        <v>3995.5204860530075</v>
      </c>
      <c r="E23" s="65">
        <f>'raw data'!$B34</f>
        <v>-29.666666666666742</v>
      </c>
      <c r="F23" s="65">
        <f t="shared" si="17"/>
        <v>0</v>
      </c>
      <c r="G23" s="65">
        <f t="shared" si="18"/>
        <v>880.11111111111563</v>
      </c>
      <c r="H23" s="75"/>
    </row>
    <row r="24" ht="13.800000000000001" customHeight="1">
      <c r="A24" s="52">
        <f>description!$F$32</f>
        <v>30</v>
      </c>
      <c r="B24" s="52">
        <f>description!$E$32</f>
        <v>110</v>
      </c>
      <c r="C24" s="35" t="str">
        <f>description!$B$31</f>
        <v>T4</v>
      </c>
      <c r="D24" s="74">
        <f>'raw data'!$C23</f>
        <v>3995.5204860530075</v>
      </c>
      <c r="E24" s="65">
        <f>'raw data'!$C34</f>
        <v>3.3333333333332575</v>
      </c>
      <c r="F24" s="65">
        <f t="shared" si="17"/>
        <v>0</v>
      </c>
      <c r="G24" s="65">
        <f t="shared" si="18"/>
        <v>11.111111111110606</v>
      </c>
      <c r="H24" s="75"/>
    </row>
    <row r="25" ht="13.800000000000001" customHeight="1">
      <c r="A25" s="52">
        <f>description!$F$32</f>
        <v>30</v>
      </c>
      <c r="B25" s="52">
        <f>description!$E$32</f>
        <v>110</v>
      </c>
      <c r="C25" s="35" t="str">
        <f>description!$B$31</f>
        <v>T4</v>
      </c>
      <c r="D25" s="74">
        <f>'raw data'!$D23</f>
        <v>3995.5204860530075</v>
      </c>
      <c r="E25" s="65">
        <f>'raw data'!$D34</f>
        <v>47.333333333333258</v>
      </c>
      <c r="F25" s="65">
        <f t="shared" si="17"/>
        <v>0</v>
      </c>
      <c r="G25" s="65">
        <f t="shared" si="18"/>
        <v>2240.4444444444371</v>
      </c>
      <c r="H25" s="75"/>
    </row>
    <row r="26" ht="13.800000000000001" customHeight="1">
      <c r="A26" s="62"/>
      <c r="B26" s="62"/>
      <c r="C26" s="62"/>
      <c r="D26" s="62"/>
      <c r="E26" s="81"/>
      <c r="F26" s="81"/>
      <c r="G26" s="81"/>
      <c r="H26" s="75"/>
    </row>
    <row r="27" ht="13.800000000000001" customHeight="1">
      <c r="A27" s="62"/>
      <c r="B27" s="62"/>
      <c r="C27" s="62"/>
      <c r="D27" s="62"/>
      <c r="E27" s="81"/>
      <c r="F27" s="81"/>
      <c r="G27" s="81"/>
      <c r="H27" s="75"/>
    </row>
    <row r="28" ht="13.800000000000001" customHeight="1">
      <c r="A28" s="62" t="s">
        <v>104</v>
      </c>
      <c r="B28" s="62" t="s">
        <v>105</v>
      </c>
      <c r="C28" s="62" t="s">
        <v>97</v>
      </c>
      <c r="D28" s="63" t="str">
        <f>IF(ISNUMBER(description!$B$21),"competitor (nM)","competitor (μg/L)")</f>
        <v xml:space="preserve">competitor (μg/L)</v>
      </c>
      <c r="E28" s="62" t="s">
        <v>90</v>
      </c>
      <c r="F28" s="62" t="s">
        <v>106</v>
      </c>
      <c r="G28" s="62" t="s">
        <v>107</v>
      </c>
      <c r="H28" s="75"/>
    </row>
    <row r="29" ht="13.800000000000001" customHeight="1">
      <c r="A29" s="48">
        <f>description!$F$32</f>
        <v>30</v>
      </c>
      <c r="B29" s="48">
        <f>description!$E$32</f>
        <v>110</v>
      </c>
      <c r="C29" s="41" t="str">
        <f>description!$C$31</f>
        <v>53</v>
      </c>
      <c r="D29" s="41">
        <f t="shared" ref="D29:D31" si="19">D32/1000</f>
        <v>0.0050000000000000001</v>
      </c>
      <c r="E29" s="73">
        <f>'raw data'!$B27</f>
        <v>638.66666666666674</v>
      </c>
      <c r="F29" s="73">
        <f t="shared" ref="F29:F31" si="20">$K$5</f>
        <v>0</v>
      </c>
      <c r="G29" s="73">
        <f t="shared" si="18"/>
        <v>407895.11111111118</v>
      </c>
      <c r="H29" s="75"/>
    </row>
    <row r="30" ht="13.800000000000001" customHeight="1">
      <c r="A30" s="48">
        <f>description!$F$32</f>
        <v>30</v>
      </c>
      <c r="B30" s="48">
        <f>description!$E$32</f>
        <v>110</v>
      </c>
      <c r="C30" s="41" t="str">
        <f>description!$C$31</f>
        <v>53</v>
      </c>
      <c r="D30" s="41">
        <f t="shared" si="19"/>
        <v>0.0050000000000000001</v>
      </c>
      <c r="E30" s="73">
        <f>'raw data'!$C27</f>
        <v>788.66666666666674</v>
      </c>
      <c r="F30" s="73">
        <f t="shared" si="20"/>
        <v>0</v>
      </c>
      <c r="G30" s="73">
        <f t="shared" si="18"/>
        <v>621995.11111111124</v>
      </c>
      <c r="H30" s="75"/>
    </row>
    <row r="31" ht="13.800000000000001" customHeight="1">
      <c r="A31" s="48">
        <f>description!$F$32</f>
        <v>30</v>
      </c>
      <c r="B31" s="48">
        <f>description!$E$32</f>
        <v>110</v>
      </c>
      <c r="C31" s="41" t="str">
        <f>description!$C$31</f>
        <v>53</v>
      </c>
      <c r="D31" s="41">
        <f t="shared" si="19"/>
        <v>0.0050000000000000001</v>
      </c>
      <c r="E31" s="73">
        <f>'raw data'!$D27</f>
        <v>738.66666666666674</v>
      </c>
      <c r="F31" s="73">
        <f t="shared" si="20"/>
        <v>0</v>
      </c>
      <c r="G31" s="73">
        <f t="shared" si="18"/>
        <v>545628.44444444461</v>
      </c>
      <c r="H31" s="75"/>
    </row>
    <row r="32" ht="13.800000000000001" customHeight="1">
      <c r="A32" s="48">
        <f>description!$F$32</f>
        <v>30</v>
      </c>
      <c r="B32" s="48">
        <f>description!$E$32</f>
        <v>110</v>
      </c>
      <c r="C32" s="41" t="str">
        <f>description!$C$31</f>
        <v>53</v>
      </c>
      <c r="D32" s="48">
        <f>'raw data'!$H17</f>
        <v>5</v>
      </c>
      <c r="E32" s="73">
        <f>'raw data'!$H28</f>
        <v>610</v>
      </c>
      <c r="F32" s="73">
        <f t="shared" ref="F32:F52" si="21">$J$5+(($K$5-$J$5)/(1+($L$5/D32)^$M$5))</f>
        <v>0</v>
      </c>
      <c r="G32" s="73">
        <f t="shared" si="18"/>
        <v>372100</v>
      </c>
      <c r="H32" s="75"/>
    </row>
    <row r="33" ht="13.800000000000001" customHeight="1">
      <c r="A33" s="48">
        <f>description!$F$32</f>
        <v>30</v>
      </c>
      <c r="B33" s="48">
        <f>description!$E$32</f>
        <v>110</v>
      </c>
      <c r="C33" s="41" t="str">
        <f>description!$C$31</f>
        <v>53</v>
      </c>
      <c r="D33" s="48">
        <f>'raw data'!$I17</f>
        <v>5</v>
      </c>
      <c r="E33" s="73">
        <f>'raw data'!$I28</f>
        <v>876</v>
      </c>
      <c r="F33" s="73">
        <f t="shared" si="21"/>
        <v>0</v>
      </c>
      <c r="G33" s="73">
        <f t="shared" si="18"/>
        <v>767376</v>
      </c>
      <c r="H33" s="75"/>
    </row>
    <row r="34" ht="13.800000000000001" customHeight="1">
      <c r="A34" s="48">
        <f>description!$F$32</f>
        <v>30</v>
      </c>
      <c r="B34" s="48">
        <f>description!$E$32</f>
        <v>110</v>
      </c>
      <c r="C34" s="41" t="str">
        <f>description!$C$31</f>
        <v>53</v>
      </c>
      <c r="D34" s="48">
        <f>'raw data'!$J17</f>
        <v>5</v>
      </c>
      <c r="E34" s="73">
        <f>'raw data'!$J28</f>
        <v>764</v>
      </c>
      <c r="F34" s="73">
        <f t="shared" si="21"/>
        <v>0</v>
      </c>
      <c r="G34" s="73">
        <f t="shared" si="18"/>
        <v>583696</v>
      </c>
      <c r="H34" s="75"/>
    </row>
    <row r="35" ht="13.800000000000001" customHeight="1">
      <c r="A35" s="48">
        <f>description!$F$32</f>
        <v>30</v>
      </c>
      <c r="B35" s="48">
        <f>description!$E$32</f>
        <v>110</v>
      </c>
      <c r="C35" s="41" t="str">
        <f>description!$C$31</f>
        <v>53</v>
      </c>
      <c r="D35" s="48">
        <f>'raw data'!$H18</f>
        <v>15</v>
      </c>
      <c r="E35" s="73">
        <f>'raw data'!$H29</f>
        <v>398.33333333333326</v>
      </c>
      <c r="F35" s="73">
        <f t="shared" si="21"/>
        <v>0</v>
      </c>
      <c r="G35" s="73">
        <f t="shared" si="18"/>
        <v>158669.44444444438</v>
      </c>
      <c r="H35" s="75"/>
    </row>
    <row r="36" ht="13.800000000000001" customHeight="1">
      <c r="A36" s="48">
        <f>description!$F$32</f>
        <v>30</v>
      </c>
      <c r="B36" s="48">
        <f>description!$E$32</f>
        <v>110</v>
      </c>
      <c r="C36" s="41" t="str">
        <f>description!$C$31</f>
        <v>53</v>
      </c>
      <c r="D36" s="48">
        <f>'raw data'!$I18</f>
        <v>15</v>
      </c>
      <c r="E36" s="73">
        <f>'raw data'!$I29</f>
        <v>603.33333333333326</v>
      </c>
      <c r="F36" s="73">
        <f t="shared" si="21"/>
        <v>0</v>
      </c>
      <c r="G36" s="73">
        <f t="shared" si="18"/>
        <v>364011.11111111101</v>
      </c>
      <c r="H36" s="75"/>
    </row>
    <row r="37" ht="13.800000000000001" customHeight="1">
      <c r="A37" s="48">
        <f>description!$F$32</f>
        <v>30</v>
      </c>
      <c r="B37" s="48">
        <f>description!$E$32</f>
        <v>110</v>
      </c>
      <c r="C37" s="41" t="str">
        <f>description!$C$31</f>
        <v>53</v>
      </c>
      <c r="D37" s="48">
        <f>'raw data'!$J18</f>
        <v>15</v>
      </c>
      <c r="E37" s="73">
        <f>'raw data'!$J29</f>
        <v>626.33333333333326</v>
      </c>
      <c r="F37" s="73">
        <f t="shared" si="21"/>
        <v>0</v>
      </c>
      <c r="G37" s="73">
        <f t="shared" si="18"/>
        <v>392293.44444444432</v>
      </c>
      <c r="H37" s="75"/>
    </row>
    <row r="38" ht="13.800000000000001" customHeight="1">
      <c r="A38" s="48">
        <f>description!$F$32</f>
        <v>30</v>
      </c>
      <c r="B38" s="48">
        <f>description!$E$32</f>
        <v>110</v>
      </c>
      <c r="C38" s="41" t="str">
        <f>description!$C$31</f>
        <v>53</v>
      </c>
      <c r="D38" s="48">
        <f>'raw data'!$H19</f>
        <v>50</v>
      </c>
      <c r="E38" s="73">
        <f>'raw data'!$H30</f>
        <v>253.33333333333326</v>
      </c>
      <c r="F38" s="73">
        <f t="shared" si="21"/>
        <v>0</v>
      </c>
      <c r="G38" s="73">
        <f t="shared" si="18"/>
        <v>64177.777777777737</v>
      </c>
      <c r="H38" s="75"/>
    </row>
    <row r="39" ht="13.800000000000001" customHeight="1">
      <c r="A39" s="48">
        <f>description!$F$32</f>
        <v>30</v>
      </c>
      <c r="B39" s="48">
        <f>description!$E$32</f>
        <v>110</v>
      </c>
      <c r="C39" s="41" t="str">
        <f>description!$C$31</f>
        <v>53</v>
      </c>
      <c r="D39" s="48">
        <f>'raw data'!$I19</f>
        <v>50</v>
      </c>
      <c r="E39" s="73">
        <f>'raw data'!$I30</f>
        <v>355.33333333333326</v>
      </c>
      <c r="F39" s="73">
        <f t="shared" si="21"/>
        <v>0</v>
      </c>
      <c r="G39" s="73">
        <f t="shared" si="18"/>
        <v>126261.77777777772</v>
      </c>
      <c r="H39" s="75"/>
    </row>
    <row r="40" ht="13.800000000000001" customHeight="1">
      <c r="A40" s="48">
        <f>description!$F$32</f>
        <v>30</v>
      </c>
      <c r="B40" s="48">
        <f>description!$E$32</f>
        <v>110</v>
      </c>
      <c r="C40" s="41" t="str">
        <f>description!$C$31</f>
        <v>53</v>
      </c>
      <c r="D40" s="48">
        <f>'raw data'!$J19</f>
        <v>50</v>
      </c>
      <c r="E40" s="73">
        <f>'raw data'!$J30</f>
        <v>370.33333333333326</v>
      </c>
      <c r="F40" s="73">
        <f t="shared" si="21"/>
        <v>0</v>
      </c>
      <c r="G40" s="73">
        <f t="shared" si="18"/>
        <v>137146.77777777772</v>
      </c>
      <c r="H40" s="75"/>
    </row>
    <row r="41" ht="13.800000000000001" customHeight="1">
      <c r="A41" s="48">
        <f>description!$F$32</f>
        <v>30</v>
      </c>
      <c r="B41" s="48">
        <f>description!$E$32</f>
        <v>110</v>
      </c>
      <c r="C41" s="41" t="str">
        <f>description!$C$31</f>
        <v>53</v>
      </c>
      <c r="D41" s="48">
        <f>'raw data'!$H20</f>
        <v>150</v>
      </c>
      <c r="E41" s="73">
        <f>'raw data'!$H31</f>
        <v>132.66666666666674</v>
      </c>
      <c r="F41" s="73">
        <f t="shared" si="21"/>
        <v>0</v>
      </c>
      <c r="G41" s="73">
        <f t="shared" si="18"/>
        <v>17600.444444444463</v>
      </c>
      <c r="H41" s="75"/>
    </row>
    <row r="42" ht="13.800000000000001" customHeight="1">
      <c r="A42" s="48">
        <f>description!$F$32</f>
        <v>30</v>
      </c>
      <c r="B42" s="48">
        <f>description!$E$32</f>
        <v>110</v>
      </c>
      <c r="C42" s="41" t="str">
        <f>description!$C$31</f>
        <v>53</v>
      </c>
      <c r="D42" s="48">
        <f>'raw data'!$I20</f>
        <v>150</v>
      </c>
      <c r="E42" s="73">
        <f>'raw data'!$I31</f>
        <v>239.66666666666674</v>
      </c>
      <c r="F42" s="73">
        <f t="shared" si="21"/>
        <v>0</v>
      </c>
      <c r="G42" s="73">
        <f t="shared" si="18"/>
        <v>57440.111111111146</v>
      </c>
      <c r="H42" s="75"/>
    </row>
    <row r="43" ht="13.800000000000001" customHeight="1">
      <c r="A43" s="48">
        <f>description!$F$32</f>
        <v>30</v>
      </c>
      <c r="B43" s="48">
        <f>description!$E$32</f>
        <v>110</v>
      </c>
      <c r="C43" s="41" t="str">
        <f>description!$C$31</f>
        <v>53</v>
      </c>
      <c r="D43" s="48">
        <f>'raw data'!$J20</f>
        <v>150</v>
      </c>
      <c r="E43" s="73">
        <f>'raw data'!$J31</f>
        <v>224.66666666666674</v>
      </c>
      <c r="F43" s="73">
        <f t="shared" si="21"/>
        <v>0</v>
      </c>
      <c r="G43" s="73">
        <f t="shared" si="18"/>
        <v>50475.111111111146</v>
      </c>
      <c r="H43" s="75"/>
    </row>
    <row r="44" ht="13.800000000000001" customHeight="1">
      <c r="A44" s="48">
        <f>description!$F$32</f>
        <v>30</v>
      </c>
      <c r="B44" s="48">
        <f>description!$E$32</f>
        <v>110</v>
      </c>
      <c r="C44" s="41" t="str">
        <f>description!$C$31</f>
        <v>53</v>
      </c>
      <c r="D44" s="48">
        <f>'raw data'!$H21</f>
        <v>500</v>
      </c>
      <c r="E44" s="73">
        <f>'raw data'!$H32</f>
        <v>14.333333333333258</v>
      </c>
      <c r="F44" s="73">
        <f t="shared" si="21"/>
        <v>0</v>
      </c>
      <c r="G44" s="73">
        <f t="shared" si="18"/>
        <v>205.44444444444227</v>
      </c>
      <c r="H44" s="75"/>
    </row>
    <row r="45" ht="13.800000000000001" customHeight="1">
      <c r="A45" s="48">
        <f>description!$F$32</f>
        <v>30</v>
      </c>
      <c r="B45" s="48">
        <f>description!$E$32</f>
        <v>110</v>
      </c>
      <c r="C45" s="41" t="str">
        <f>description!$C$31</f>
        <v>53</v>
      </c>
      <c r="D45" s="48">
        <f>'raw data'!$I21</f>
        <v>500</v>
      </c>
      <c r="E45" s="73">
        <f>'raw data'!$I32</f>
        <v>123.33333333333326</v>
      </c>
      <c r="F45" s="73">
        <f t="shared" si="21"/>
        <v>0</v>
      </c>
      <c r="G45" s="73">
        <f t="shared" si="18"/>
        <v>15211.111111111093</v>
      </c>
      <c r="H45" s="75"/>
    </row>
    <row r="46" ht="13.800000000000001" customHeight="1">
      <c r="A46" s="48">
        <f>description!$F$32</f>
        <v>30</v>
      </c>
      <c r="B46" s="48">
        <f>description!$E$32</f>
        <v>110</v>
      </c>
      <c r="C46" s="41" t="str">
        <f>description!$C$31</f>
        <v>53</v>
      </c>
      <c r="D46" s="48">
        <f>'raw data'!$J21</f>
        <v>500</v>
      </c>
      <c r="E46" s="73">
        <f>'raw data'!$J32</f>
        <v>102.33333333333326</v>
      </c>
      <c r="F46" s="73">
        <f t="shared" si="21"/>
        <v>0</v>
      </c>
      <c r="G46" s="73">
        <f t="shared" si="18"/>
        <v>10472.111111111095</v>
      </c>
      <c r="H46" s="75"/>
    </row>
    <row r="47" ht="13.800000000000001" customHeight="1">
      <c r="A47" s="48">
        <f>description!$F$32</f>
        <v>30</v>
      </c>
      <c r="B47" s="48">
        <f>description!$E$32</f>
        <v>110</v>
      </c>
      <c r="C47" s="41" t="str">
        <f>description!$C$31</f>
        <v>53</v>
      </c>
      <c r="D47" s="48">
        <f>'raw data'!$H22</f>
        <v>1500</v>
      </c>
      <c r="E47" s="73">
        <f>'raw data'!$H33</f>
        <v>-29.666666666666742</v>
      </c>
      <c r="F47" s="73">
        <f t="shared" si="21"/>
        <v>0</v>
      </c>
      <c r="G47" s="73">
        <f t="shared" si="18"/>
        <v>880.11111111111563</v>
      </c>
      <c r="H47" s="75"/>
    </row>
    <row r="48" ht="13.800000000000001" customHeight="1">
      <c r="A48" s="48">
        <f>description!$F$32</f>
        <v>30</v>
      </c>
      <c r="B48" s="48">
        <f>description!$E$32</f>
        <v>110</v>
      </c>
      <c r="C48" s="41" t="str">
        <f>description!$C$31</f>
        <v>53</v>
      </c>
      <c r="D48" s="48">
        <f>'raw data'!$I22</f>
        <v>1500</v>
      </c>
      <c r="E48" s="73">
        <f>'raw data'!$I33</f>
        <v>100.33333333333326</v>
      </c>
      <c r="F48" s="73">
        <f t="shared" si="21"/>
        <v>0</v>
      </c>
      <c r="G48" s="73">
        <f t="shared" si="18"/>
        <v>10066.777777777763</v>
      </c>
      <c r="H48" s="75"/>
    </row>
    <row r="49" ht="13.800000000000001" customHeight="1">
      <c r="A49" s="48">
        <f>description!$F$32</f>
        <v>30</v>
      </c>
      <c r="B49" s="48">
        <f>description!$E$32</f>
        <v>110</v>
      </c>
      <c r="C49" s="41" t="str">
        <f>description!$C$31</f>
        <v>53</v>
      </c>
      <c r="D49" s="48">
        <f>'raw data'!$J22</f>
        <v>1500</v>
      </c>
      <c r="E49" s="73">
        <f>'raw data'!$J33</f>
        <v>81.333333333333258</v>
      </c>
      <c r="F49" s="73">
        <f t="shared" si="21"/>
        <v>0</v>
      </c>
      <c r="G49" s="73">
        <f t="shared" si="18"/>
        <v>6615.1111111110986</v>
      </c>
      <c r="H49" s="75"/>
    </row>
    <row r="50" ht="13.800000000000001" customHeight="1">
      <c r="A50" s="48">
        <f>description!$F$32</f>
        <v>30</v>
      </c>
      <c r="B50" s="48">
        <f>description!$E$32</f>
        <v>110</v>
      </c>
      <c r="C50" s="41" t="str">
        <f>description!$C$31</f>
        <v>53</v>
      </c>
      <c r="D50" s="48">
        <f>'raw data'!$H23</f>
        <v>5000</v>
      </c>
      <c r="E50" s="73">
        <f>'raw data'!$H34</f>
        <v>-47.666666666666742</v>
      </c>
      <c r="F50" s="73">
        <f t="shared" si="21"/>
        <v>0</v>
      </c>
      <c r="G50" s="73">
        <f t="shared" si="18"/>
        <v>2272.1111111111181</v>
      </c>
      <c r="H50" s="75"/>
    </row>
    <row r="51" ht="13.800000000000001" customHeight="1">
      <c r="A51" s="48">
        <f>description!$F$32</f>
        <v>30</v>
      </c>
      <c r="B51" s="48">
        <f>description!$E$32</f>
        <v>110</v>
      </c>
      <c r="C51" s="41" t="str">
        <f>description!$C$31</f>
        <v>53</v>
      </c>
      <c r="D51" s="48">
        <f>'raw data'!$I23</f>
        <v>5000</v>
      </c>
      <c r="E51" s="73">
        <f>'raw data'!$I34</f>
        <v>75.333333333333258</v>
      </c>
      <c r="F51" s="73">
        <f t="shared" si="21"/>
        <v>0</v>
      </c>
      <c r="G51" s="73">
        <f t="shared" si="18"/>
        <v>5675.1111111110995</v>
      </c>
      <c r="H51" s="75"/>
    </row>
    <row r="52" ht="13.800000000000001" customHeight="1">
      <c r="A52" s="48">
        <f>description!$F$32</f>
        <v>30</v>
      </c>
      <c r="B52" s="48">
        <f>description!$E$32</f>
        <v>110</v>
      </c>
      <c r="C52" s="41" t="str">
        <f>description!$C$31</f>
        <v>53</v>
      </c>
      <c r="D52" s="48">
        <f>'raw data'!$J23</f>
        <v>5000</v>
      </c>
      <c r="E52" s="73">
        <f>'raw data'!$J34</f>
        <v>59.333333333333258</v>
      </c>
      <c r="F52" s="73">
        <f t="shared" si="21"/>
        <v>0</v>
      </c>
      <c r="G52" s="73">
        <f t="shared" si="18"/>
        <v>3520.4444444444352</v>
      </c>
      <c r="H52" s="75"/>
    </row>
    <row r="53" ht="13.800000000000001" customHeight="1">
      <c r="F53" s="82"/>
      <c r="G53" s="82"/>
      <c r="H53" s="75"/>
    </row>
    <row r="54" ht="13.800000000000001" customHeight="1">
      <c r="F54" s="82"/>
      <c r="G54" s="82"/>
      <c r="H54" s="75"/>
    </row>
    <row r="55" ht="13.800000000000001" customHeight="1">
      <c r="F55" s="82"/>
      <c r="G55" s="82"/>
      <c r="H55" s="75"/>
    </row>
    <row r="56" ht="13.800000000000001" customHeight="1">
      <c r="F56" s="82"/>
      <c r="G56" s="82"/>
      <c r="H56" s="75"/>
    </row>
    <row r="57" ht="13.800000000000001" customHeight="1">
      <c r="F57" s="82"/>
      <c r="G57" s="82"/>
      <c r="H57" s="75"/>
    </row>
    <row r="58" ht="13.800000000000001" customHeight="1">
      <c r="F58" s="82"/>
      <c r="G58" s="82"/>
      <c r="H58" s="75"/>
    </row>
    <row r="59" ht="13.800000000000001" customHeight="1">
      <c r="F59" s="82"/>
      <c r="G59" s="82"/>
      <c r="H59" s="75"/>
    </row>
    <row r="60" ht="13.800000000000001" customHeight="1">
      <c r="F60" s="82"/>
      <c r="G60" s="82"/>
      <c r="H60" s="75"/>
    </row>
    <row r="61" ht="13.800000000000001" customHeight="1">
      <c r="F61" s="82"/>
      <c r="G61" s="82"/>
      <c r="H61" s="75"/>
    </row>
    <row r="62" ht="13.800000000000001" customHeight="1">
      <c r="F62" s="82"/>
      <c r="G62" s="82"/>
      <c r="H62" s="75"/>
    </row>
    <row r="63" ht="13.800000000000001" customHeight="1">
      <c r="F63" s="82"/>
      <c r="G63" s="82"/>
      <c r="H63" s="75"/>
    </row>
    <row r="64" ht="13.800000000000001" customHeight="1">
      <c r="F64" s="82"/>
      <c r="G64" s="82"/>
      <c r="H64" s="75"/>
    </row>
    <row r="65" ht="13.800000000000001" customHeight="1">
      <c r="F65" s="82"/>
      <c r="G65" s="82"/>
      <c r="H65" s="75"/>
    </row>
    <row r="66" ht="13.800000000000001" customHeight="1">
      <c r="F66" s="82"/>
      <c r="G66" s="82"/>
      <c r="H66" s="75"/>
    </row>
    <row r="67" ht="13.800000000000001" customHeight="1">
      <c r="F67" s="82"/>
      <c r="G67" s="82"/>
      <c r="H67" s="75"/>
    </row>
    <row r="68" ht="13.800000000000001" customHeight="1">
      <c r="F68" s="82"/>
      <c r="G68" s="82"/>
      <c r="H68" s="75"/>
    </row>
    <row r="69" ht="13.800000000000001" customHeight="1">
      <c r="F69" s="82"/>
      <c r="G69" s="82"/>
      <c r="H69" s="75"/>
    </row>
    <row r="70" ht="13.800000000000001" customHeight="1">
      <c r="F70" s="82"/>
      <c r="G70" s="82"/>
      <c r="H70" s="75"/>
    </row>
    <row r="71" ht="13.800000000000001" customHeight="1">
      <c r="F71" s="82"/>
      <c r="G71" s="82"/>
      <c r="H71" s="75"/>
    </row>
    <row r="72" ht="13.800000000000001" customHeight="1">
      <c r="F72" s="82"/>
      <c r="G72" s="82"/>
      <c r="H72" s="75"/>
    </row>
    <row r="73" ht="13.800000000000001" customHeight="1">
      <c r="F73" s="82"/>
      <c r="G73" s="82"/>
      <c r="H73" s="75"/>
    </row>
    <row r="74" ht="13.800000000000001" customHeight="1">
      <c r="F74" s="82"/>
      <c r="G74" s="82"/>
      <c r="H74" s="75"/>
    </row>
    <row r="75" ht="13.800000000000001" customHeight="1">
      <c r="F75" s="82"/>
      <c r="G75" s="82"/>
      <c r="H75" s="75"/>
    </row>
    <row r="76" ht="13.800000000000001" customHeight="1">
      <c r="F76" s="82"/>
      <c r="G76" s="82"/>
      <c r="H76" s="75"/>
    </row>
    <row r="77" ht="13.800000000000001" customHeight="1">
      <c r="F77" s="82"/>
      <c r="G77" s="82"/>
      <c r="H77" s="75"/>
    </row>
    <row r="78" ht="13.800000000000001" customHeight="1">
      <c r="F78" s="82"/>
      <c r="G78" s="82"/>
      <c r="H78" s="75"/>
    </row>
    <row r="79" ht="13.800000000000001" customHeight="1">
      <c r="F79" s="82"/>
      <c r="G79" s="82"/>
      <c r="H79" s="75"/>
    </row>
    <row r="80" ht="13.800000000000001" customHeight="1">
      <c r="F80" s="82"/>
      <c r="G80" s="82"/>
      <c r="H80" s="75"/>
    </row>
    <row r="81" ht="13.800000000000001" customHeight="1">
      <c r="F81" s="82"/>
      <c r="G81" s="82"/>
      <c r="H81" s="75"/>
    </row>
    <row r="82" ht="13.800000000000001" customHeight="1">
      <c r="F82" s="82"/>
      <c r="G82" s="82"/>
      <c r="H82" s="75"/>
    </row>
    <row r="83" ht="13.800000000000001" customHeight="1">
      <c r="F83" s="82"/>
      <c r="G83" s="82"/>
      <c r="H83" s="75"/>
    </row>
    <row r="84" ht="13.800000000000001" customHeight="1">
      <c r="F84" s="82"/>
      <c r="G84" s="82"/>
      <c r="H84" s="75"/>
    </row>
    <row r="85" ht="13.800000000000001" customHeight="1">
      <c r="F85" s="82"/>
      <c r="G85" s="82"/>
      <c r="H85" s="75"/>
    </row>
    <row r="86" ht="13.800000000000001" customHeight="1">
      <c r="F86" s="82"/>
      <c r="G86" s="82"/>
      <c r="H86" s="75"/>
    </row>
    <row r="87" ht="13.800000000000001" customHeight="1">
      <c r="F87" s="82"/>
      <c r="G87" s="82"/>
      <c r="H87" s="75"/>
    </row>
    <row r="88" ht="13.800000000000001" customHeight="1">
      <c r="F88" s="82"/>
      <c r="G88" s="82"/>
      <c r="H88" s="75"/>
    </row>
    <row r="89" ht="13.800000000000001" customHeight="1">
      <c r="F89" s="82"/>
      <c r="G89" s="82"/>
      <c r="H89" s="75"/>
    </row>
    <row r="90" ht="13.800000000000001" customHeight="1">
      <c r="F90" s="82"/>
      <c r="G90" s="82"/>
      <c r="H90" s="75"/>
    </row>
    <row r="91" ht="13.800000000000001" customHeight="1">
      <c r="F91" s="82"/>
      <c r="G91" s="82"/>
      <c r="H91" s="75"/>
    </row>
    <row r="92" ht="13.800000000000001" customHeight="1">
      <c r="F92" s="82"/>
      <c r="G92" s="82"/>
      <c r="H92" s="75"/>
    </row>
    <row r="93" ht="13.800000000000001" customHeight="1">
      <c r="F93" s="82"/>
      <c r="G93" s="82"/>
      <c r="H93" s="75"/>
    </row>
    <row r="94" ht="13.800000000000001" customHeight="1">
      <c r="F94" s="82"/>
      <c r="G94" s="82"/>
      <c r="H94" s="75"/>
    </row>
    <row r="95" ht="13.800000000000001" customHeight="1">
      <c r="F95" s="82"/>
      <c r="G95" s="82"/>
      <c r="H95" s="75"/>
    </row>
    <row r="96" ht="13.800000000000001" customHeight="1">
      <c r="F96" s="82"/>
      <c r="G96" s="82"/>
      <c r="H96" s="75"/>
    </row>
    <row r="97" ht="13.800000000000001" customHeight="1">
      <c r="F97" s="82"/>
      <c r="G97" s="82"/>
      <c r="H97" s="75"/>
    </row>
    <row r="98" ht="13.800000000000001" customHeight="1">
      <c r="F98" s="82"/>
      <c r="G98" s="82"/>
      <c r="H98" s="75"/>
    </row>
    <row r="99" ht="13.800000000000001" customHeight="1">
      <c r="F99" s="82"/>
      <c r="G99" s="82"/>
      <c r="H99" s="75"/>
    </row>
    <row r="100" ht="13.800000000000001" customHeight="1">
      <c r="F100" s="82"/>
      <c r="G100" s="82"/>
      <c r="H100" s="75"/>
    </row>
  </sheetData>
  <printOptions headings="0" gridLines="0"/>
  <pageMargins left="0.69999999999999996" right="0.69999999999999996" top="0.75" bottom="0.75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topLeftCell="A1" zoomScale="100" workbookViewId="0">
      <selection activeCell="C25" activeCellId="0" sqref="C25"/>
    </sheetView>
  </sheetViews>
  <sheetFormatPr baseColWidth="10" defaultRowHeight="15"/>
  <cols>
    <col customWidth="1" min="2" max="2" width="41.18"/>
    <col customWidth="1" min="3" max="3" width="11.91"/>
    <col customWidth="1" min="4" max="4" width="15.449999999999999"/>
  </cols>
  <sheetData>
    <row r="1" ht="18.75" customHeight="1">
      <c r="A1" s="1" t="s">
        <v>122</v>
      </c>
    </row>
    <row r="2" ht="14.25" customHeight="1">
      <c r="A2" s="3" t="s">
        <v>123</v>
      </c>
    </row>
    <row r="4" ht="13.800000000000001" customHeight="1">
      <c r="B4" s="62" t="str">
        <f>description!$B$18</f>
        <v>T4</v>
      </c>
      <c r="C4" t="str">
        <f>IF(ISNUMBER(description!$B$19),"IC50 (nM)","IC50 (ug/L)")</f>
        <v xml:space="preserve">IC50 (nM)</v>
      </c>
      <c r="D4" s="58">
        <f>'concentration response'!$L$4</f>
        <v>0</v>
      </c>
    </row>
    <row r="5" ht="13.800000000000001" customHeight="1">
      <c r="B5" s="62" t="str">
        <f>description!$B$20</f>
        <v>53</v>
      </c>
      <c r="C5" t="str">
        <f>IF(ISNUMBER(description!$B$21),"IC50 (nM)","IC50 (ug/L)")</f>
        <v xml:space="preserve">IC50 (ug/L)</v>
      </c>
      <c r="D5" s="83">
        <f>'concentration response'!$L$5</f>
        <v>0</v>
      </c>
    </row>
    <row r="6" ht="13.800000000000001" customHeight="1">
      <c r="B6" s="62" t="str">
        <f>description!$B$18</f>
        <v>T4</v>
      </c>
      <c r="C6" t="s">
        <v>124</v>
      </c>
      <c r="D6" s="58">
        <f>'concentration response'!$M$4</f>
        <v>0</v>
      </c>
    </row>
    <row r="7" ht="13.800000000000001" customHeight="1">
      <c r="B7" s="62" t="str">
        <f>description!$B$20</f>
        <v>53</v>
      </c>
      <c r="C7" t="s">
        <v>124</v>
      </c>
      <c r="D7" s="58">
        <f>'concentration response'!$M$5</f>
        <v>0</v>
      </c>
    </row>
    <row r="8" ht="13.800000000000001" customHeight="1">
      <c r="B8" s="62"/>
    </row>
    <row r="9" ht="13.800000000000001" customHeight="1">
      <c r="B9" s="62" t="s">
        <v>125</v>
      </c>
      <c r="C9" s="63" t="s">
        <v>126</v>
      </c>
      <c r="D9" s="84"/>
    </row>
    <row r="10" ht="13.800000000000001" customHeight="1">
      <c r="B10" s="62" t="str">
        <f>description!$B$18</f>
        <v>T4</v>
      </c>
      <c r="C10" t="str">
        <f>IF(ISNUMBER(description!$B$19),"ICx (nM)","ICx (ug/L)")</f>
        <v xml:space="preserve">ICx (nM)</v>
      </c>
      <c r="D10" s="58" t="e">
        <f>$D$4*((100-$D$9)/$D$9)^(1/$D$6)</f>
        <v>#DIV/0!</v>
      </c>
    </row>
    <row r="11" ht="13.800000000000001" customHeight="1">
      <c r="B11" s="62" t="str">
        <f>description!$B$20</f>
        <v>53</v>
      </c>
      <c r="C11" t="str">
        <f>IF(ISNUMBER(description!$B$21),"ICx (nM)","ICx (ug/L)")</f>
        <v xml:space="preserve">ICx (ug/L)</v>
      </c>
      <c r="D11" s="83" t="e">
        <f>$D$5*((100-$D$9)/$D$9)^(1/$D$7)</f>
        <v>#DIV/0!</v>
      </c>
    </row>
    <row r="12" ht="13.800000000000001" customHeight="1">
      <c r="B12" s="62"/>
    </row>
    <row r="13" ht="13.800000000000001" customHeight="1">
      <c r="B13" s="62" t="s">
        <v>68</v>
      </c>
      <c r="C13" t="s">
        <v>127</v>
      </c>
      <c r="D13" s="77"/>
    </row>
    <row r="14" ht="13.800000000000001" customHeight="1">
      <c r="B14" t="s">
        <v>128</v>
      </c>
      <c r="C14" t="s">
        <v>129</v>
      </c>
      <c r="D14" s="85">
        <f>_parameters!B3</f>
        <v>110</v>
      </c>
    </row>
    <row r="15" ht="13.800000000000001" customHeight="1">
      <c r="B15" t="s">
        <v>130</v>
      </c>
      <c r="C15" t="s">
        <v>131</v>
      </c>
      <c r="D15" s="85">
        <f>_parameters!B4</f>
        <v>30</v>
      </c>
    </row>
    <row r="17" ht="13.800000000000001" customHeight="1">
      <c r="B17" t="s">
        <v>132</v>
      </c>
      <c r="C17" t="s">
        <v>133</v>
      </c>
      <c r="D17" s="58">
        <f>(($D$13+$D$14+$D$15)-SQRT(($D$13+$D$14+$D$15)^2-(4*$D$15*$D$14)))/2</f>
        <v>30</v>
      </c>
    </row>
    <row r="18" ht="13.800000000000001" customHeight="1">
      <c r="B18" t="s">
        <v>134</v>
      </c>
      <c r="C18" t="s">
        <v>135</v>
      </c>
      <c r="D18" s="58">
        <f>((100-$D$9)/100)*$D$17</f>
        <v>30</v>
      </c>
    </row>
    <row r="19" ht="13.800000000000001" customHeight="1">
      <c r="B19" t="s">
        <v>136</v>
      </c>
      <c r="C19" t="s">
        <v>137</v>
      </c>
      <c r="D19" s="58">
        <f>$D$14-$D$18</f>
        <v>80</v>
      </c>
    </row>
    <row r="20" ht="13.800000000000001" customHeight="1">
      <c r="B20" t="s">
        <v>138</v>
      </c>
      <c r="C20" t="s">
        <v>139</v>
      </c>
      <c r="D20" s="58">
        <f>$D$13*$D$18/$D$19</f>
        <v>0</v>
      </c>
    </row>
    <row r="21" ht="13.800000000000001" customHeight="1">
      <c r="B21" t="s">
        <v>140</v>
      </c>
      <c r="C21" t="s">
        <v>141</v>
      </c>
      <c r="D21" s="58">
        <f>$D$15-$D$20-$D$18</f>
        <v>0</v>
      </c>
    </row>
    <row r="22" ht="13.800000000000001" customHeight="1">
      <c r="A22" s="62" t="str">
        <f>description!$B$31</f>
        <v>T4</v>
      </c>
      <c r="B22" t="s">
        <v>142</v>
      </c>
      <c r="C22" t="s">
        <v>143</v>
      </c>
      <c r="D22" s="58" t="e">
        <f>IF(ISNUMBER(description!$B$19),$D$10-$D$21,"")</f>
        <v>#DIV/0!</v>
      </c>
      <c r="F22" s="3" t="str">
        <f>IF(ISNUMBER(description!$B$19),"","Not applicable (unknown molar mass)")</f>
        <v/>
      </c>
    </row>
    <row r="23" ht="13.800000000000001" customHeight="1">
      <c r="A23" s="62" t="str">
        <f>description!$B$20</f>
        <v>53</v>
      </c>
      <c r="B23" t="s">
        <v>142</v>
      </c>
      <c r="C23" t="s">
        <v>143</v>
      </c>
      <c r="D23" s="83" t="str">
        <f>IF(ISNUMBER(description!$B$21),$D$11-$D$21,"")</f>
        <v/>
      </c>
      <c r="F23" s="3" t="str">
        <f>IF(ISNUMBER(description!$B$21),"","Not applicable (unknown molar mass)")</f>
        <v xml:space="preserve">Not applicable (unknown molar mass)</v>
      </c>
    </row>
    <row r="24" ht="13.800000000000001" customHeight="1">
      <c r="A24" s="62"/>
      <c r="D24" s="58"/>
    </row>
    <row r="25" ht="13.800000000000001" customHeight="1">
      <c r="A25" s="62" t="str">
        <f>description!$B$31</f>
        <v>T4</v>
      </c>
      <c r="B25" t="s">
        <v>144</v>
      </c>
      <c r="C25" t="s">
        <v>145</v>
      </c>
      <c r="D25" s="58" t="e">
        <f>IF(ISNUMBER(description!$B$19),$D$20*$D$22/$D$21,"")</f>
        <v>#DIV/0!</v>
      </c>
      <c r="F25" s="3" t="str">
        <f>IF(ISNUMBER(description!$B$19),"","Not applicable (unknown molar mass)")</f>
        <v/>
      </c>
    </row>
    <row r="26" ht="13.800000000000001" customHeight="1">
      <c r="A26" s="62" t="str">
        <f>description!$B$20</f>
        <v>53</v>
      </c>
      <c r="B26" t="s">
        <v>144</v>
      </c>
      <c r="C26" t="s">
        <v>145</v>
      </c>
      <c r="D26" s="83" t="str">
        <f>IF(ISNUMBER(description!$B$21),$D$20*$D$23/$D$21,"")</f>
        <v/>
      </c>
      <c r="F26" s="3" t="str">
        <f>IF(ISNUMBER(description!$B$21),"","Not applicable (unknown molar mass)")</f>
        <v xml:space="preserve">Not applicable (unknown molar mass)</v>
      </c>
    </row>
    <row r="27" ht="13.800000000000001" customHeight="1">
      <c r="A27" s="62"/>
    </row>
    <row r="28" ht="13.800000000000001" customHeight="1">
      <c r="A28" s="62"/>
    </row>
    <row r="29" ht="13.800000000000001" customHeight="1">
      <c r="A29" s="62"/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printOptions headings="0" gridLines="0"/>
  <pageMargins left="0.69999999999999996" right="0.69999999999999996" top="0.75" bottom="0.75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zoomScale="100" workbookViewId="0">
      <selection activeCell="C22" activeCellId="0" sqref="C22"/>
    </sheetView>
  </sheetViews>
  <sheetFormatPr baseColWidth="10" defaultRowHeight="14.25"/>
  <cols>
    <col customWidth="1" min="1" max="1" width="78.579999999999998"/>
    <col customWidth="1" min="2" max="2" width="10.279999999999999"/>
  </cols>
  <sheetData>
    <row r="1" ht="18.75" customHeight="1">
      <c r="A1" s="1" t="s">
        <v>146</v>
      </c>
    </row>
    <row r="2" ht="13.800000000000001" customHeight="1">
      <c r="A2" s="3" t="str">
        <f>_xlfn.CONCAT("Please refer to section 7.6 in ",_parameters!$B$39," for definitions of the terms and calculations used below")</f>
        <v xml:space="preserve">Please refer to section 7.6 in SOP01-TTRfitc_v5 for definitions of the terms and calculations used below</v>
      </c>
    </row>
    <row r="3" ht="13.800000000000001" customHeight="1">
      <c r="A3" s="3" t="s">
        <v>147</v>
      </c>
    </row>
    <row r="4" ht="13.800000000000001" customHeight="1">
      <c r="J4" s="86" t="str">
        <f>_xlfn.CONCAT("Reference in ",_parameters!$B$39,", section 8.2")</f>
        <v xml:space="preserve">Reference in SOP01-TTRfitc_v5, section 8.2</v>
      </c>
    </row>
    <row r="5" ht="13.800000000000001" customHeight="1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ht="16.5" customHeight="1">
      <c r="A6" s="87" t="str">
        <f>IF(description!$B$18="T4",_xlfn.CONCAT("Reference plate in experiment ",description!$B$11),"Not applicable in case of two test item plate layout")</f>
        <v xml:space="preserve">Reference plate in experiment TTRfitc-020</v>
      </c>
    </row>
    <row r="7" ht="13.800000000000001" customHeight="1">
      <c r="A7" s="88"/>
    </row>
    <row r="8" ht="13.800000000000001" customHeight="1">
      <c r="A8" s="12" t="s">
        <v>148</v>
      </c>
      <c r="C8" s="89">
        <f>IF(description!$B$18="T4",IF(ISTEXT('raw data'!B$38),"",'raw data'!B$38),"")</f>
        <v>2407</v>
      </c>
      <c r="D8" s="89">
        <f>IF(description!$B$18="T4",IF(ISTEXT('raw data'!C$38),"",'raw data'!C$38),"")</f>
        <v>2557</v>
      </c>
      <c r="E8" s="89">
        <f>IF(description!$B$18="T4",IF(ISTEXT('raw data'!D$38),"",'raw data'!D$38),"")</f>
        <v>2507</v>
      </c>
    </row>
    <row r="9" ht="13.800000000000001" customHeight="1">
      <c r="A9" s="12" t="s">
        <v>149</v>
      </c>
      <c r="C9" s="89">
        <f>IF(description!$B$18="T4",IF(ISTEXT('raw data'!E$38),"",'raw data'!E$38),"")</f>
        <v>1714</v>
      </c>
      <c r="D9" s="89">
        <f>IF(description!$B$18="T4",IF(ISTEXT('raw data'!F$38),"",'raw data'!F$38),"")</f>
        <v>1808</v>
      </c>
      <c r="E9" s="89">
        <f>IF(description!$B$18="T4",IF(ISTEXT('raw data'!G$38),"",'raw data'!G$38),"")</f>
        <v>1783</v>
      </c>
    </row>
    <row r="10" ht="13.800000000000001" customHeight="1">
      <c r="A10" s="4" t="s">
        <v>150</v>
      </c>
      <c r="C10" s="90">
        <f>IF(description!$B$18="T4",AVERAGE(C8:E8)-AVERAGE(C9:E9),"")</f>
        <v>722.00000000000023</v>
      </c>
      <c r="D10" s="67"/>
      <c r="E10" s="67"/>
      <c r="F10" s="69" t="str">
        <f>IF(description!$B$18="T4","","Not applicable")</f>
        <v/>
      </c>
    </row>
    <row r="11" ht="13.800000000000001" customHeight="1">
      <c r="A11" s="12"/>
      <c r="F11" s="67"/>
      <c r="G11" s="67"/>
      <c r="H11" s="67"/>
    </row>
    <row r="12" ht="13.800000000000001" customHeight="1">
      <c r="A12" s="12" t="s">
        <v>151</v>
      </c>
      <c r="C12" s="89">
        <f>IF(description!$B$18="T4",IF(ISTEXT('raw data'!B$42),"",'raw data'!B$42),"")</f>
        <v>2209</v>
      </c>
      <c r="D12" s="89">
        <f>IF(description!$B$18="T4",IF(ISTEXT('raw data'!C$42),"",'raw data'!C$42),"")</f>
        <v>2315</v>
      </c>
      <c r="E12" s="89">
        <f>IF(description!$B$18="T4",IF(ISTEXT('raw data'!D$42),"",'raw data'!D$42),"")</f>
        <v>2385</v>
      </c>
    </row>
    <row r="13" ht="13.800000000000001" customHeight="1">
      <c r="A13" s="12" t="s">
        <v>152</v>
      </c>
      <c r="C13" s="89">
        <f>IF(description!$B$18="T4",IF(ISTEXT('raw data'!E$42),"",'raw data'!E$42),"")</f>
        <v>1744</v>
      </c>
      <c r="D13" s="89">
        <f>IF(description!$B$18="T4",IF(ISTEXT('raw data'!F$42),"",'raw data'!F$42),"")</f>
        <v>1836</v>
      </c>
      <c r="E13" s="89">
        <f>IF(description!$B$18="T4",IF(ISTEXT('raw data'!G$42),"",'raw data'!G$42),"")</f>
        <v>1822</v>
      </c>
    </row>
    <row r="14" ht="13.800000000000001" customHeight="1">
      <c r="A14" s="4" t="s">
        <v>153</v>
      </c>
      <c r="C14" s="90">
        <f>IF(description!$B$18="T4",AVERAGE(C12:E12)-AVERAGE(C13:E13),"")</f>
        <v>502.33333333333326</v>
      </c>
      <c r="F14" s="69" t="str">
        <f>IF(description!$B$18="T4","","Not applicable")</f>
        <v/>
      </c>
    </row>
    <row r="15" ht="13.800000000000001" customHeight="1">
      <c r="A15" s="12"/>
    </row>
    <row r="16" ht="13.800000000000001" customHeight="1">
      <c r="A16" s="12" t="s">
        <v>154</v>
      </c>
      <c r="C16" s="89">
        <f>IF(description!$B$18="T4",IF(ISTEXT('raw data'!H$38),"",'raw data'!H$38),"")</f>
        <v>1714</v>
      </c>
      <c r="D16" s="89">
        <f>IF(description!$B$18="T4",IF(ISTEXT('raw data'!I$38),"",'raw data'!I$38),"")</f>
        <v>1829</v>
      </c>
      <c r="E16" s="89">
        <f>IF(description!$B$18="T4",IF(ISTEXT('raw data'!J$38),"",'raw data'!J$38),"")</f>
        <v>1791</v>
      </c>
    </row>
    <row r="17" ht="13.800000000000001" customHeight="1">
      <c r="A17" s="12" t="s">
        <v>155</v>
      </c>
      <c r="C17" s="89">
        <f>IF(description!$B$18="T4",IF(ISTEXT('raw data'!K$38),"",'raw data'!K$38),"")</f>
        <v>1647</v>
      </c>
      <c r="D17" s="89">
        <f>IF(description!$B$18="T4",IF(ISTEXT('raw data'!L$38),"",'raw data'!L$38),"")</f>
        <v>1762</v>
      </c>
      <c r="E17" s="89">
        <f>IF(description!$B$18="T4",IF(ISTEXT('raw data'!M$38),"",'raw data'!M$38),"")</f>
        <v>1761</v>
      </c>
    </row>
    <row r="18" ht="13.800000000000001" customHeight="1">
      <c r="A18" s="4" t="s">
        <v>156</v>
      </c>
      <c r="C18" s="90">
        <f>IF(description!$B$18="T4",AVERAGE(C16:E16)-AVERAGE(C17:E17),"")</f>
        <v>54.666666666666742</v>
      </c>
      <c r="F18" s="69" t="str">
        <f>IF(description!$B$18="T4","","Not applicable")</f>
        <v/>
      </c>
    </row>
    <row r="19" ht="13.800000000000001" customHeight="1">
      <c r="A19" s="4"/>
      <c r="C19" s="67"/>
      <c r="F19" s="69"/>
    </row>
    <row r="20" ht="13.800000000000001" customHeight="1">
      <c r="A20" s="4" t="s">
        <v>157</v>
      </c>
      <c r="C20" s="91">
        <f>IF(description!B18="T4",100*C18/C10,"")</f>
        <v>7.5715604801477463</v>
      </c>
      <c r="D20" s="10" t="s">
        <v>158</v>
      </c>
      <c r="F20" s="69" t="str">
        <f>IF(description!$B$18="T4",_xlfn.CONCAT("Should be between ",_parameters!B31,"% and ",_parameters!B32,"%"),"Not applicable")</f>
        <v xml:space="preserve">Should be between -10% and 10%</v>
      </c>
      <c r="J20" s="69" t="s">
        <v>159</v>
      </c>
    </row>
    <row r="21" ht="13.800000000000001" customHeight="1">
      <c r="A21" s="4"/>
      <c r="C21" s="58"/>
      <c r="F21" s="69"/>
    </row>
    <row r="22" ht="13.800000000000001" customHeight="1">
      <c r="A22" s="4" t="s">
        <v>160</v>
      </c>
      <c r="C22" s="91">
        <f>IF(description!$B$18="T4",1-((3*STDEV('raw data'!B27:D27)+3*STDEV('raw data'!H27:J27))/(ABS(AVERAGE('raw data'!B27:D27)-AVERAGE('raw data'!H27:J27)))),"")</f>
        <v>0.39325043508799939</v>
      </c>
      <c r="F22" s="69" t="str">
        <f>IF(description!$B$18="T4","Not documented in SOP","Not applicable")</f>
        <v xml:space="preserve">Not documented in SOP</v>
      </c>
    </row>
    <row r="23" ht="13.800000000000001" customHeight="1">
      <c r="C23" s="58"/>
      <c r="F23" s="69"/>
    </row>
    <row r="24" ht="13.800000000000001" customHeight="1">
      <c r="A24" s="12"/>
      <c r="B24" s="12"/>
      <c r="C24" s="58"/>
      <c r="D24" s="12"/>
      <c r="E24" s="12"/>
      <c r="F24" s="8"/>
      <c r="G24" s="12"/>
      <c r="H24" s="12"/>
      <c r="I24" s="12"/>
      <c r="J24" s="12"/>
      <c r="K24" s="12"/>
      <c r="L24" s="12"/>
      <c r="M24" s="12"/>
      <c r="N24" s="12"/>
    </row>
    <row r="25" ht="16.5" customHeight="1">
      <c r="A25" s="87" t="str">
        <f>IF(NOT(description!$B$18="T4"),_xlfn.CONCAT("Two test item plate in experiment ",description!$B$11),"Not applicable in case of reference (T4) + one test item plate layout")</f>
        <v xml:space="preserve">Not applicable in case of reference (T4) + one test item plate layout</v>
      </c>
      <c r="C25" s="67"/>
      <c r="F25" s="69"/>
    </row>
    <row r="26" ht="13.800000000000001" customHeight="1">
      <c r="A26" s="88"/>
      <c r="C26" s="67"/>
      <c r="F26" s="69"/>
    </row>
    <row r="27" ht="13.800000000000001" customHeight="1">
      <c r="A27" s="4" t="s">
        <v>150</v>
      </c>
      <c r="C27" s="77"/>
      <c r="F27" s="69" t="str">
        <f>IF(description!$B$18="T4","Not applicable","Copy value from reference plate here")</f>
        <v xml:space="preserve">Not applicable</v>
      </c>
    </row>
    <row r="28" ht="13.800000000000001" customHeight="1">
      <c r="A28" s="4" t="s">
        <v>153</v>
      </c>
      <c r="C28" s="77"/>
      <c r="F28" s="69" t="str">
        <f>IF(description!$B$18="T4","Not applicable","Copy value from reference plate here")</f>
        <v xml:space="preserve">Not applicable</v>
      </c>
    </row>
    <row r="29" ht="13.800000000000001" customHeight="1">
      <c r="A29" s="92"/>
      <c r="C29" s="67"/>
    </row>
    <row r="30" ht="13.800000000000001" customHeight="1">
      <c r="A30" s="12" t="s">
        <v>161</v>
      </c>
      <c r="C30" s="89" t="str">
        <f>IF(NOT(description!$B$18="T4"),IF(ISTEXT('raw data'!B$38),"",'raw data'!B$38),"")</f>
        <v/>
      </c>
      <c r="D30" s="89" t="str">
        <f>IF(NOT(description!$B$18="T4"),IF(ISTEXT('raw data'!C$38),"",'raw data'!C$38),"")</f>
        <v/>
      </c>
      <c r="E30" s="89" t="str">
        <f>IF(NOT(description!$B$18="T4"),IF(ISTEXT('raw data'!D$38),"",'raw data'!D$38),"")</f>
        <v/>
      </c>
    </row>
    <row r="31" ht="13.800000000000001" customHeight="1">
      <c r="A31" s="12" t="s">
        <v>162</v>
      </c>
      <c r="C31" s="89" t="str">
        <f>IF(NOT(description!$B$18="T4"),IF(ISTEXT('raw data'!E$38),"",'raw data'!E$38),"")</f>
        <v/>
      </c>
      <c r="D31" s="89" t="str">
        <f>IF(NOT(description!$B$18="T4"),IF(ISTEXT('raw data'!F$38),"",'raw data'!F$38),"")</f>
        <v/>
      </c>
      <c r="E31" s="89" t="str">
        <f>IF(NOT(description!$B$18="T4"),IF(ISTEXT('raw data'!G$38),"",'raw data'!G$38),"")</f>
        <v/>
      </c>
    </row>
    <row r="32" ht="13.800000000000001" customHeight="1">
      <c r="A32" s="4" t="s">
        <v>163</v>
      </c>
      <c r="C32" s="90" t="str">
        <f>IF(NOT(description!$B$18="T4"),AVERAGE(C30:E30)-AVERAGE(C31:E31),"")</f>
        <v/>
      </c>
      <c r="F32" s="69" t="str">
        <f>IF(description!$B$18="T4","Not applicable","")</f>
        <v xml:space="preserve">Not applicable</v>
      </c>
    </row>
    <row r="33" ht="13.800000000000001" customHeight="1">
      <c r="A33" s="92"/>
      <c r="C33" s="67"/>
    </row>
    <row r="34" ht="13.800000000000001" customHeight="1">
      <c r="A34" s="12" t="s">
        <v>164</v>
      </c>
      <c r="C34" s="89" t="str">
        <f>IF(NOT(description!$B$18="T4"),IF(ISTEXT('raw data'!H$38),"",'raw data'!H$38),"")</f>
        <v/>
      </c>
      <c r="D34" s="89" t="str">
        <f>IF(NOT(description!$B$18="T4"),IF(ISTEXT('raw data'!I$38),"",'raw data'!I$38),"")</f>
        <v/>
      </c>
      <c r="E34" s="89" t="str">
        <f>IF(NOT(description!$B$18="T4"),IF(ISTEXT('raw data'!J$38),"",'raw data'!J$38),"")</f>
        <v/>
      </c>
    </row>
    <row r="35" ht="13.800000000000001" customHeight="1">
      <c r="A35" s="12" t="s">
        <v>165</v>
      </c>
      <c r="C35" s="89" t="str">
        <f>IF(NOT(description!$B$18="T4"),IF(ISTEXT('raw data'!K$38),"",'raw data'!K$38),"")</f>
        <v/>
      </c>
      <c r="D35" s="89" t="str">
        <f>IF(NOT(description!$B$18="T4"),IF(ISTEXT('raw data'!L$38),"",'raw data'!L$38),"")</f>
        <v/>
      </c>
      <c r="E35" s="89" t="str">
        <f>IF(NOT(description!$B$18="T4"),IF(ISTEXT('raw data'!M$38),"",'raw data'!M$38),"")</f>
        <v/>
      </c>
    </row>
    <row r="36" ht="13.800000000000001" customHeight="1">
      <c r="A36" s="4" t="s">
        <v>166</v>
      </c>
      <c r="C36" s="90" t="str">
        <f>IF(NOT(description!$B$18="T4"),AVERAGE(C34:E34)-AVERAGE(C35:E35),"")</f>
        <v/>
      </c>
      <c r="F36" s="69" t="str">
        <f>IF(description!$B$18="T4","Not applicable","")</f>
        <v xml:space="preserve">Not applicable</v>
      </c>
    </row>
    <row r="37" ht="13.800000000000001" customHeight="1">
      <c r="A37" s="4"/>
      <c r="C37" s="67"/>
    </row>
    <row r="38" ht="13.800000000000001" customHeight="1">
      <c r="A38" s="4" t="s">
        <v>167</v>
      </c>
      <c r="C38" s="90" t="str">
        <f>IF(NOT(description!$B$18="T4"),100*C32/C27,"")</f>
        <v/>
      </c>
      <c r="D38" s="10" t="s">
        <v>158</v>
      </c>
      <c r="F38" s="69" t="str">
        <f>IF(description!$B$18="T4","Not applicable",_xlfn.CONCAT("Should be between ",_parameters!B27,"% and ",_parameters!B28,"%"))</f>
        <v xml:space="preserve">Not applicable</v>
      </c>
      <c r="J38" s="69" t="s">
        <v>168</v>
      </c>
    </row>
    <row r="39" ht="13.800000000000001" customHeight="1">
      <c r="A39" s="4" t="s">
        <v>169</v>
      </c>
      <c r="C39" s="90" t="str">
        <f>IF(NOT(description!$B$18="T4"),100*C36/C28,"")</f>
        <v/>
      </c>
      <c r="D39" s="10" t="s">
        <v>158</v>
      </c>
      <c r="F39" s="69" t="str">
        <f>IF(description!$B$18="T4","Not applicable",_xlfn.CONCAT("Should be between ",_parameters!B35,"% and ",_parameters!B36,"%"))</f>
        <v xml:space="preserve">Not applicable</v>
      </c>
      <c r="J39" s="69" t="s">
        <v>170</v>
      </c>
    </row>
    <row r="40" ht="13.800000000000001" customHeight="1">
      <c r="F40" s="58"/>
    </row>
    <row r="41" ht="13.800000000000001" customHeight="1">
      <c r="A41" s="4"/>
      <c r="C41" s="58"/>
      <c r="F41" s="69"/>
    </row>
    <row r="43" ht="13.800000000000001" customHeight="1">
      <c r="A43" s="4"/>
    </row>
    <row r="47" ht="13.800000000000001" customHeight="1">
      <c r="A47" s="4"/>
    </row>
    <row r="51" ht="13.800000000000001" customHeight="1">
      <c r="A51" s="4"/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rintOptions headings="0" gridLines="0"/>
  <pageMargins left="0.69999999999999996" right="0.69999999999999996" top="0.75" bottom="0.75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topLeftCell="A86" zoomScale="100" workbookViewId="0">
      <selection activeCell="A71" activeCellId="0" sqref="A71"/>
    </sheetView>
  </sheetViews>
  <sheetFormatPr baseColWidth="10" defaultRowHeight="14.25"/>
  <cols>
    <col customWidth="1" min="2" max="13" width="11.640000000000001"/>
  </cols>
  <sheetData>
    <row r="1" ht="13.800000000000001" customHeight="1">
      <c r="A1" s="4" t="s">
        <v>171</v>
      </c>
      <c r="B1" s="43">
        <v>1</v>
      </c>
      <c r="C1" s="43">
        <v>2</v>
      </c>
      <c r="D1" s="43">
        <v>3</v>
      </c>
      <c r="E1" s="43">
        <v>4</v>
      </c>
      <c r="F1" s="43">
        <v>5</v>
      </c>
      <c r="G1" s="43">
        <v>6</v>
      </c>
      <c r="H1" s="43">
        <v>7</v>
      </c>
      <c r="I1" s="43">
        <v>8</v>
      </c>
      <c r="J1" s="43">
        <v>9</v>
      </c>
      <c r="K1" s="43">
        <v>10</v>
      </c>
      <c r="L1" s="43">
        <v>11</v>
      </c>
      <c r="M1" s="43">
        <v>12</v>
      </c>
    </row>
    <row r="2" ht="13.800000000000001" customHeight="1">
      <c r="A2" t="s">
        <v>70</v>
      </c>
      <c r="B2" s="63">
        <f>'raw data'!B38</f>
        <v>2407</v>
      </c>
      <c r="C2" s="63">
        <f>'raw data'!C38</f>
        <v>2557</v>
      </c>
      <c r="D2" s="63">
        <f>'raw data'!D38</f>
        <v>2507</v>
      </c>
      <c r="E2" s="63">
        <f>'raw data'!E38</f>
        <v>1714</v>
      </c>
      <c r="F2" s="63">
        <f>'raw data'!F38</f>
        <v>1808</v>
      </c>
      <c r="G2" s="63">
        <f>'raw data'!G38</f>
        <v>1783</v>
      </c>
      <c r="H2" s="63">
        <f>'raw data'!H38</f>
        <v>1714</v>
      </c>
      <c r="I2" s="63">
        <f>'raw data'!I38</f>
        <v>1829</v>
      </c>
      <c r="J2" s="63">
        <f>'raw data'!J38</f>
        <v>1791</v>
      </c>
      <c r="K2" s="63">
        <f>'raw data'!K38</f>
        <v>1647</v>
      </c>
      <c r="L2" s="63">
        <f>'raw data'!L38</f>
        <v>1762</v>
      </c>
      <c r="M2" s="63">
        <f>'raw data'!M38</f>
        <v>1761</v>
      </c>
    </row>
    <row r="3" ht="13.800000000000001" customHeight="1">
      <c r="A3" t="s">
        <v>71</v>
      </c>
      <c r="B3" s="63">
        <f>'raw data'!B39</f>
        <v>2398</v>
      </c>
      <c r="C3" s="63">
        <f>'raw data'!C39</f>
        <v>2523</v>
      </c>
      <c r="D3" s="63">
        <f>'raw data'!D39</f>
        <v>2570</v>
      </c>
      <c r="E3" s="63">
        <f>'raw data'!E39</f>
        <v>1712</v>
      </c>
      <c r="F3" s="63">
        <f>'raw data'!F39</f>
        <v>1851</v>
      </c>
      <c r="G3" s="63">
        <f>'raw data'!G39</f>
        <v>1783</v>
      </c>
      <c r="H3" s="63">
        <f>'raw data'!H39</f>
        <v>2375</v>
      </c>
      <c r="I3" s="63">
        <f>'raw data'!I39</f>
        <v>2641</v>
      </c>
      <c r="J3" s="63">
        <f>'raw data'!J39</f>
        <v>2529</v>
      </c>
      <c r="K3" s="63">
        <f>'raw data'!K39</f>
        <v>1708</v>
      </c>
      <c r="L3" s="63">
        <f>'raw data'!L39</f>
        <v>1846</v>
      </c>
      <c r="M3" s="63">
        <f>'raw data'!M39</f>
        <v>1741</v>
      </c>
    </row>
    <row r="4" ht="13.800000000000001" customHeight="1">
      <c r="A4" t="s">
        <v>72</v>
      </c>
      <c r="B4" s="63">
        <f>'raw data'!B40</f>
        <v>2506</v>
      </c>
      <c r="C4" s="63">
        <f>'raw data'!C40</f>
        <v>2433</v>
      </c>
      <c r="D4" s="63">
        <f>'raw data'!D40</f>
        <v>2471</v>
      </c>
      <c r="E4" s="63">
        <f>'raw data'!E40</f>
        <v>1753</v>
      </c>
      <c r="F4" s="63">
        <f>'raw data'!F40</f>
        <v>1825</v>
      </c>
      <c r="G4" s="63">
        <f>'raw data'!G40</f>
        <v>1788</v>
      </c>
      <c r="H4" s="63">
        <f>'raw data'!H40</f>
        <v>2173</v>
      </c>
      <c r="I4" s="63">
        <f>'raw data'!I40</f>
        <v>2378</v>
      </c>
      <c r="J4" s="63">
        <f>'raw data'!J40</f>
        <v>2401</v>
      </c>
      <c r="K4" s="63">
        <f>'raw data'!K40</f>
        <v>1710</v>
      </c>
      <c r="L4" s="63">
        <f>'raw data'!L40</f>
        <v>1855</v>
      </c>
      <c r="M4" s="63">
        <f>'raw data'!M40</f>
        <v>1759</v>
      </c>
    </row>
    <row r="5" ht="13.800000000000001" customHeight="1">
      <c r="A5" t="s">
        <v>73</v>
      </c>
      <c r="B5" s="63">
        <f>'raw data'!B41</f>
        <v>2306</v>
      </c>
      <c r="C5" s="63">
        <f>'raw data'!C41</f>
        <v>2397</v>
      </c>
      <c r="D5" s="63">
        <f>'raw data'!D41</f>
        <v>2371</v>
      </c>
      <c r="E5" s="63">
        <f>'raw data'!E41</f>
        <v>1717</v>
      </c>
      <c r="F5" s="63">
        <f>'raw data'!F41</f>
        <v>1818</v>
      </c>
      <c r="G5" s="63">
        <f>'raw data'!G41</f>
        <v>1804</v>
      </c>
      <c r="H5" s="63">
        <f>'raw data'!H41</f>
        <v>2024</v>
      </c>
      <c r="I5" s="63">
        <f>'raw data'!I41</f>
        <v>2126</v>
      </c>
      <c r="J5" s="63">
        <f>'raw data'!J41</f>
        <v>2141</v>
      </c>
      <c r="K5" s="63">
        <f>'raw data'!K41</f>
        <v>1722</v>
      </c>
      <c r="L5" s="63">
        <f>'raw data'!L41</f>
        <v>1794</v>
      </c>
      <c r="M5" s="63">
        <f>'raw data'!M41</f>
        <v>1796</v>
      </c>
    </row>
    <row r="6" ht="13.800000000000001" customHeight="1">
      <c r="A6" t="s">
        <v>74</v>
      </c>
      <c r="B6" s="63">
        <f>'raw data'!B42</f>
        <v>2209</v>
      </c>
      <c r="C6" s="63">
        <f>'raw data'!C42</f>
        <v>2315</v>
      </c>
      <c r="D6" s="63">
        <f>'raw data'!D42</f>
        <v>2385</v>
      </c>
      <c r="E6" s="63">
        <f>'raw data'!E42</f>
        <v>1744</v>
      </c>
      <c r="F6" s="63">
        <f>'raw data'!F42</f>
        <v>1836</v>
      </c>
      <c r="G6" s="63">
        <f>'raw data'!G42</f>
        <v>1822</v>
      </c>
      <c r="H6" s="63">
        <f>'raw data'!H42</f>
        <v>1895</v>
      </c>
      <c r="I6" s="63">
        <f>'raw data'!I42</f>
        <v>2002</v>
      </c>
      <c r="J6" s="63">
        <f>'raw data'!J42</f>
        <v>1987</v>
      </c>
      <c r="K6" s="63">
        <f>'raw data'!K42</f>
        <v>1697</v>
      </c>
      <c r="L6" s="63">
        <f>'raw data'!L42</f>
        <v>1845</v>
      </c>
      <c r="M6" s="63">
        <f>'raw data'!M42</f>
        <v>1745</v>
      </c>
    </row>
    <row r="7" ht="13.800000000000001" customHeight="1">
      <c r="A7" t="s">
        <v>75</v>
      </c>
      <c r="B7" s="63">
        <f>'raw data'!B43</f>
        <v>1893</v>
      </c>
      <c r="C7" s="63">
        <f>'raw data'!C43</f>
        <v>2045</v>
      </c>
      <c r="D7" s="63">
        <f>'raw data'!D43</f>
        <v>1960</v>
      </c>
      <c r="E7" s="63">
        <f>'raw data'!E43</f>
        <v>1748</v>
      </c>
      <c r="F7" s="63">
        <f>'raw data'!F43</f>
        <v>1809</v>
      </c>
      <c r="G7" s="63">
        <f>'raw data'!G43</f>
        <v>1803</v>
      </c>
      <c r="H7" s="63">
        <f>'raw data'!H43</f>
        <v>1804</v>
      </c>
      <c r="I7" s="63">
        <f>'raw data'!I43</f>
        <v>1913</v>
      </c>
      <c r="J7" s="63">
        <f>'raw data'!J43</f>
        <v>1892</v>
      </c>
      <c r="K7" s="63">
        <f>'raw data'!K43</f>
        <v>1742</v>
      </c>
      <c r="L7" s="63">
        <f>'raw data'!L43</f>
        <v>1878</v>
      </c>
      <c r="M7" s="63">
        <f>'raw data'!M43</f>
        <v>1749</v>
      </c>
    </row>
    <row r="8" ht="13.800000000000001" customHeight="1">
      <c r="A8" t="s">
        <v>76</v>
      </c>
      <c r="B8" s="63">
        <f>'raw data'!B44</f>
        <v>1730</v>
      </c>
      <c r="C8" s="63">
        <f>'raw data'!C44</f>
        <v>1767</v>
      </c>
      <c r="D8" s="63">
        <f>'raw data'!D44</f>
        <v>1755</v>
      </c>
      <c r="E8" s="63">
        <f>'raw data'!E44</f>
        <v>1710</v>
      </c>
      <c r="F8" s="63">
        <f>'raw data'!F44</f>
        <v>1810</v>
      </c>
      <c r="G8" s="63">
        <f>'raw data'!G44</f>
        <v>1769</v>
      </c>
      <c r="H8" s="63">
        <f>'raw data'!H44</f>
        <v>1756</v>
      </c>
      <c r="I8" s="63">
        <f>'raw data'!I44</f>
        <v>1886</v>
      </c>
      <c r="J8" s="63">
        <f>'raw data'!J44</f>
        <v>1867</v>
      </c>
      <c r="K8" s="63">
        <f>'raw data'!K44</f>
        <v>1751</v>
      </c>
      <c r="L8" s="63">
        <f>'raw data'!L44</f>
        <v>1795</v>
      </c>
      <c r="M8" s="63">
        <f>'raw data'!M44</f>
        <v>1811</v>
      </c>
    </row>
    <row r="9" ht="13.800000000000001" customHeight="1">
      <c r="A9" t="s">
        <v>77</v>
      </c>
      <c r="B9" s="63">
        <f>'raw data'!B45</f>
        <v>1689</v>
      </c>
      <c r="C9" s="63">
        <f>'raw data'!C45</f>
        <v>1722</v>
      </c>
      <c r="D9" s="63">
        <f>'raw data'!D45</f>
        <v>1766</v>
      </c>
      <c r="E9" s="63">
        <f>'raw data'!E45</f>
        <v>1726</v>
      </c>
      <c r="F9" s="63">
        <f>'raw data'!F45</f>
        <v>1724</v>
      </c>
      <c r="G9" s="63">
        <f>'raw data'!G45</f>
        <v>1706</v>
      </c>
      <c r="H9" s="63">
        <f>'raw data'!H45</f>
        <v>1736</v>
      </c>
      <c r="I9" s="63">
        <f>'raw data'!I45</f>
        <v>1859</v>
      </c>
      <c r="J9" s="63">
        <f>'raw data'!J45</f>
        <v>1843</v>
      </c>
      <c r="K9" s="63">
        <f>'raw data'!K45</f>
        <v>1728</v>
      </c>
      <c r="L9" s="63">
        <f>'raw data'!L45</f>
        <v>1843</v>
      </c>
      <c r="M9" s="63">
        <f>'raw data'!M45</f>
        <v>1780</v>
      </c>
    </row>
    <row r="11" ht="13.800000000000001" customHeight="1">
      <c r="A11" s="4" t="s">
        <v>172</v>
      </c>
      <c r="B11" s="43">
        <v>1</v>
      </c>
      <c r="C11" s="43">
        <v>2</v>
      </c>
      <c r="D11" s="43">
        <v>3</v>
      </c>
      <c r="E11" s="43">
        <v>4</v>
      </c>
      <c r="F11" s="43">
        <v>5</v>
      </c>
      <c r="G11" s="43">
        <v>6</v>
      </c>
      <c r="H11" s="43">
        <v>7</v>
      </c>
      <c r="I11" s="43">
        <v>8</v>
      </c>
      <c r="J11" s="43">
        <v>9</v>
      </c>
      <c r="K11" s="43">
        <v>10</v>
      </c>
      <c r="L11" s="43">
        <v>11</v>
      </c>
      <c r="M11" s="43">
        <v>12</v>
      </c>
    </row>
    <row r="12" ht="13.800000000000001" customHeight="1">
      <c r="A12" t="s">
        <v>70</v>
      </c>
      <c r="B12" s="93">
        <f>'raw data'!B16</f>
        <v>0</v>
      </c>
      <c r="C12" s="93">
        <f>'raw data'!C16</f>
        <v>0</v>
      </c>
      <c r="D12" s="93">
        <f>'raw data'!D16</f>
        <v>0</v>
      </c>
      <c r="E12" s="93">
        <f>'raw data'!E16</f>
        <v>0</v>
      </c>
      <c r="F12" s="93">
        <f>'raw data'!F16</f>
        <v>0</v>
      </c>
      <c r="G12" s="93">
        <f>'raw data'!G16</f>
        <v>0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</row>
    <row r="13" ht="13.800000000000001" customHeight="1">
      <c r="A13" t="s">
        <v>71</v>
      </c>
      <c r="B13" s="93">
        <f>'raw data'!B17</f>
        <v>0.97546886866528504</v>
      </c>
      <c r="C13" s="93">
        <f>'raw data'!C17</f>
        <v>0.97546886866528504</v>
      </c>
      <c r="D13" s="93">
        <f>'raw data'!D17</f>
        <v>0.97546886866528504</v>
      </c>
      <c r="E13" s="93">
        <f>'raw data'!E17</f>
        <v>0.97546886866528504</v>
      </c>
      <c r="F13" s="93">
        <f>'raw data'!F17</f>
        <v>0.97546886866528504</v>
      </c>
      <c r="G13" s="93">
        <f>'raw data'!G17</f>
        <v>0.97546886866528504</v>
      </c>
      <c r="H13" s="93">
        <v>0</v>
      </c>
      <c r="I13" s="93">
        <v>0</v>
      </c>
      <c r="J13" s="93">
        <v>0</v>
      </c>
      <c r="K13" s="93">
        <v>0</v>
      </c>
      <c r="L13" s="93">
        <v>0</v>
      </c>
      <c r="M13" s="93">
        <v>0</v>
      </c>
    </row>
    <row r="14" ht="13.800000000000001" customHeight="1">
      <c r="A14" t="s">
        <v>72</v>
      </c>
      <c r="B14" s="93">
        <f>'raw data'!B18</f>
        <v>3.9018754746611402</v>
      </c>
      <c r="C14" s="93">
        <f>'raw data'!C18</f>
        <v>3.9018754746611402</v>
      </c>
      <c r="D14" s="93">
        <f>'raw data'!D18</f>
        <v>3.9018754746611402</v>
      </c>
      <c r="E14" s="93">
        <f>'raw data'!E18</f>
        <v>3.9018754746611402</v>
      </c>
      <c r="F14" s="93">
        <f>'raw data'!F18</f>
        <v>3.9018754746611402</v>
      </c>
      <c r="G14" s="93">
        <f>'raw data'!G18</f>
        <v>3.9018754746611402</v>
      </c>
      <c r="H14" s="93">
        <v>0</v>
      </c>
      <c r="I14" s="93">
        <v>0</v>
      </c>
      <c r="J14" s="93">
        <v>0</v>
      </c>
      <c r="K14" s="93">
        <v>0</v>
      </c>
      <c r="L14" s="93">
        <v>0</v>
      </c>
      <c r="M14" s="93">
        <v>0</v>
      </c>
    </row>
    <row r="15" ht="13.800000000000001" customHeight="1">
      <c r="A15" t="s">
        <v>73</v>
      </c>
      <c r="B15" s="93">
        <f>'raw data'!B19</f>
        <v>15.607501898644561</v>
      </c>
      <c r="C15" s="93">
        <f>'raw data'!C19</f>
        <v>15.607501898644561</v>
      </c>
      <c r="D15" s="93">
        <f>'raw data'!D19</f>
        <v>15.607501898644561</v>
      </c>
      <c r="E15" s="93">
        <f>'raw data'!E19</f>
        <v>15.607501898644561</v>
      </c>
      <c r="F15" s="93">
        <f>'raw data'!F19</f>
        <v>15.607501898644561</v>
      </c>
      <c r="G15" s="93">
        <f>'raw data'!G19</f>
        <v>15.607501898644561</v>
      </c>
      <c r="H15" s="93">
        <v>0</v>
      </c>
      <c r="I15" s="93">
        <v>0</v>
      </c>
      <c r="J15" s="93">
        <v>0</v>
      </c>
      <c r="K15" s="93">
        <v>0</v>
      </c>
      <c r="L15" s="93">
        <v>0</v>
      </c>
      <c r="M15" s="93">
        <v>0</v>
      </c>
    </row>
    <row r="16" ht="13.800000000000001" customHeight="1">
      <c r="A16" t="s">
        <v>74</v>
      </c>
      <c r="B16" s="93">
        <f>'raw data'!B20</f>
        <v>62.430007594578242</v>
      </c>
      <c r="C16" s="93">
        <f>'raw data'!C20</f>
        <v>62.430007594578242</v>
      </c>
      <c r="D16" s="93">
        <f>'raw data'!D20</f>
        <v>62.430007594578242</v>
      </c>
      <c r="E16" s="93">
        <f>'raw data'!E20</f>
        <v>62.430007594578242</v>
      </c>
      <c r="F16" s="93">
        <f>'raw data'!F20</f>
        <v>62.430007594578242</v>
      </c>
      <c r="G16" s="93">
        <f>'raw data'!G20</f>
        <v>62.430007594578242</v>
      </c>
      <c r="H16" s="93">
        <v>0</v>
      </c>
      <c r="I16" s="93">
        <v>0</v>
      </c>
      <c r="J16" s="93">
        <v>0</v>
      </c>
      <c r="K16" s="93">
        <v>0</v>
      </c>
      <c r="L16" s="93">
        <v>0</v>
      </c>
      <c r="M16" s="93">
        <v>0</v>
      </c>
    </row>
    <row r="17" ht="13.800000000000001" customHeight="1">
      <c r="A17" t="s">
        <v>75</v>
      </c>
      <c r="B17" s="93">
        <f>'raw data'!B21</f>
        <v>249.72003037831297</v>
      </c>
      <c r="C17" s="93">
        <f>'raw data'!C21</f>
        <v>249.72003037831297</v>
      </c>
      <c r="D17" s="93">
        <f>'raw data'!D21</f>
        <v>249.72003037831297</v>
      </c>
      <c r="E17" s="93">
        <f>'raw data'!E21</f>
        <v>249.72003037831297</v>
      </c>
      <c r="F17" s="93">
        <f>'raw data'!F21</f>
        <v>249.72003037831297</v>
      </c>
      <c r="G17" s="93">
        <f>'raw data'!G21</f>
        <v>249.72003037831297</v>
      </c>
      <c r="H17" s="93">
        <v>0</v>
      </c>
      <c r="I17" s="93">
        <v>0</v>
      </c>
      <c r="J17" s="93">
        <v>0</v>
      </c>
      <c r="K17" s="93">
        <v>0</v>
      </c>
      <c r="L17" s="93">
        <v>0</v>
      </c>
      <c r="M17" s="93">
        <v>0</v>
      </c>
    </row>
    <row r="18" ht="13.800000000000001" customHeight="1">
      <c r="A18" t="s">
        <v>76</v>
      </c>
      <c r="B18" s="93">
        <f>'raw data'!B22</f>
        <v>998.88012151325188</v>
      </c>
      <c r="C18" s="93">
        <f>'raw data'!C22</f>
        <v>998.88012151325188</v>
      </c>
      <c r="D18" s="93">
        <f>'raw data'!D22</f>
        <v>998.88012151325188</v>
      </c>
      <c r="E18" s="93">
        <f>'raw data'!E22</f>
        <v>998.88012151325188</v>
      </c>
      <c r="F18" s="93">
        <f>'raw data'!F22</f>
        <v>998.88012151325188</v>
      </c>
      <c r="G18" s="93">
        <f>'raw data'!G22</f>
        <v>998.88012151325188</v>
      </c>
      <c r="H18" s="93">
        <v>0</v>
      </c>
      <c r="I18" s="93">
        <v>0</v>
      </c>
      <c r="J18" s="93">
        <v>0</v>
      </c>
      <c r="K18" s="93">
        <v>0</v>
      </c>
      <c r="L18" s="93">
        <v>0</v>
      </c>
      <c r="M18" s="93">
        <v>0</v>
      </c>
    </row>
    <row r="19" ht="13.800000000000001" customHeight="1">
      <c r="A19" t="s">
        <v>77</v>
      </c>
      <c r="B19" s="93">
        <f>'raw data'!B23</f>
        <v>3995.5204860530075</v>
      </c>
      <c r="C19" s="93">
        <f>'raw data'!C23</f>
        <v>3995.5204860530075</v>
      </c>
      <c r="D19" s="93">
        <f>'raw data'!D23</f>
        <v>3995.5204860530075</v>
      </c>
      <c r="E19" s="93">
        <f>'raw data'!E23</f>
        <v>3995.5204860530075</v>
      </c>
      <c r="F19" s="93">
        <f>'raw data'!F23</f>
        <v>3995.5204860530075</v>
      </c>
      <c r="G19" s="93">
        <f>'raw data'!G23</f>
        <v>3995.5204860530075</v>
      </c>
      <c r="H19" s="93">
        <v>0</v>
      </c>
      <c r="I19" s="93">
        <v>0</v>
      </c>
      <c r="J19" s="93">
        <v>0</v>
      </c>
      <c r="K19" s="93">
        <v>0</v>
      </c>
      <c r="L19" s="93">
        <v>0</v>
      </c>
      <c r="M19" s="93">
        <v>0</v>
      </c>
    </row>
    <row r="21" ht="13.800000000000001" customHeight="1">
      <c r="A21" s="4" t="s">
        <v>173</v>
      </c>
      <c r="B21" s="43">
        <v>1</v>
      </c>
      <c r="C21" s="43">
        <v>2</v>
      </c>
      <c r="D21" s="43">
        <v>3</v>
      </c>
      <c r="E21" s="43">
        <v>4</v>
      </c>
      <c r="F21" s="43">
        <v>5</v>
      </c>
      <c r="G21" s="43">
        <v>6</v>
      </c>
      <c r="H21" s="43">
        <v>7</v>
      </c>
      <c r="I21" s="43">
        <v>8</v>
      </c>
      <c r="J21" s="43">
        <v>9</v>
      </c>
      <c r="K21" s="43">
        <v>10</v>
      </c>
      <c r="L21" s="43">
        <v>11</v>
      </c>
      <c r="M21" s="43">
        <v>12</v>
      </c>
    </row>
    <row r="22" ht="13.800000000000001" customHeight="1">
      <c r="A22" t="s">
        <v>70</v>
      </c>
      <c r="B22" s="94">
        <v>0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4">
        <f>'raw data'!H16</f>
        <v>0</v>
      </c>
      <c r="I22" s="94">
        <f>'raw data'!I16</f>
        <v>0</v>
      </c>
      <c r="J22" s="94">
        <f>'raw data'!J16</f>
        <v>0</v>
      </c>
      <c r="K22" s="94">
        <f>'raw data'!K16</f>
        <v>0</v>
      </c>
      <c r="L22" s="94">
        <f>'raw data'!L16</f>
        <v>0</v>
      </c>
      <c r="M22" s="94">
        <f>'raw data'!M16</f>
        <v>0</v>
      </c>
    </row>
    <row r="23" ht="13.800000000000001" customHeight="1">
      <c r="A23" t="s">
        <v>71</v>
      </c>
      <c r="B23" s="94">
        <v>0</v>
      </c>
      <c r="C23" s="94">
        <v>0</v>
      </c>
      <c r="D23" s="94">
        <v>0</v>
      </c>
      <c r="E23" s="94">
        <v>0</v>
      </c>
      <c r="F23" s="94">
        <v>0</v>
      </c>
      <c r="G23" s="94">
        <v>0</v>
      </c>
      <c r="H23" s="94">
        <f>'raw data'!H17</f>
        <v>5</v>
      </c>
      <c r="I23" s="94">
        <f>'raw data'!I17</f>
        <v>5</v>
      </c>
      <c r="J23" s="94">
        <f>'raw data'!J17</f>
        <v>5</v>
      </c>
      <c r="K23" s="94">
        <f>'raw data'!K17</f>
        <v>5</v>
      </c>
      <c r="L23" s="94">
        <f>'raw data'!L17</f>
        <v>5</v>
      </c>
      <c r="M23" s="94">
        <f>'raw data'!M17</f>
        <v>5</v>
      </c>
    </row>
    <row r="24" ht="13.800000000000001" customHeight="1">
      <c r="A24" t="s">
        <v>72</v>
      </c>
      <c r="B24" s="94">
        <v>0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f>'raw data'!H18</f>
        <v>15</v>
      </c>
      <c r="I24" s="94">
        <f>'raw data'!I18</f>
        <v>15</v>
      </c>
      <c r="J24" s="94">
        <f>'raw data'!J18</f>
        <v>15</v>
      </c>
      <c r="K24" s="94">
        <f>'raw data'!K18</f>
        <v>15</v>
      </c>
      <c r="L24" s="94">
        <f>'raw data'!L18</f>
        <v>15</v>
      </c>
      <c r="M24" s="94">
        <f>'raw data'!M18</f>
        <v>15</v>
      </c>
    </row>
    <row r="25" ht="13.800000000000001" customHeight="1">
      <c r="A25" t="s">
        <v>73</v>
      </c>
      <c r="B25" s="94">
        <v>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f>'raw data'!H19</f>
        <v>50</v>
      </c>
      <c r="I25" s="94">
        <f>'raw data'!I19</f>
        <v>50</v>
      </c>
      <c r="J25" s="94">
        <f>'raw data'!J19</f>
        <v>50</v>
      </c>
      <c r="K25" s="94">
        <f>'raw data'!K19</f>
        <v>50</v>
      </c>
      <c r="L25" s="94">
        <f>'raw data'!L19</f>
        <v>50</v>
      </c>
      <c r="M25" s="94">
        <f>'raw data'!M19</f>
        <v>50</v>
      </c>
    </row>
    <row r="26" ht="13.800000000000001" customHeight="1">
      <c r="A26" t="s">
        <v>74</v>
      </c>
      <c r="B26" s="94">
        <v>0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f>'raw data'!H20</f>
        <v>150</v>
      </c>
      <c r="I26" s="94">
        <f>'raw data'!I20</f>
        <v>150</v>
      </c>
      <c r="J26" s="94">
        <f>'raw data'!J20</f>
        <v>150</v>
      </c>
      <c r="K26" s="94">
        <f>'raw data'!K20</f>
        <v>150</v>
      </c>
      <c r="L26" s="94">
        <f>'raw data'!L20</f>
        <v>150</v>
      </c>
      <c r="M26" s="94">
        <f>'raw data'!M20</f>
        <v>150</v>
      </c>
    </row>
    <row r="27" ht="13.800000000000001" customHeight="1">
      <c r="A27" t="s">
        <v>75</v>
      </c>
      <c r="B27" s="94">
        <v>0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f>'raw data'!H21</f>
        <v>500</v>
      </c>
      <c r="I27" s="94">
        <f>'raw data'!I21</f>
        <v>500</v>
      </c>
      <c r="J27" s="94">
        <f>'raw data'!J21</f>
        <v>500</v>
      </c>
      <c r="K27" s="94">
        <f>'raw data'!K21</f>
        <v>500</v>
      </c>
      <c r="L27" s="94">
        <f>'raw data'!L21</f>
        <v>500</v>
      </c>
      <c r="M27" s="94">
        <f>'raw data'!M21</f>
        <v>500</v>
      </c>
    </row>
    <row r="28" ht="13.800000000000001" customHeight="1">
      <c r="A28" t="s">
        <v>76</v>
      </c>
      <c r="B28" s="94">
        <v>0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f>'raw data'!H22</f>
        <v>1500</v>
      </c>
      <c r="I28" s="94">
        <f>'raw data'!I22</f>
        <v>1500</v>
      </c>
      <c r="J28" s="94">
        <f>'raw data'!J22</f>
        <v>1500</v>
      </c>
      <c r="K28" s="94">
        <f>'raw data'!K22</f>
        <v>1500</v>
      </c>
      <c r="L28" s="94">
        <f>'raw data'!L22</f>
        <v>1500</v>
      </c>
      <c r="M28" s="94">
        <f>'raw data'!M22</f>
        <v>1500</v>
      </c>
    </row>
    <row r="29" ht="13.800000000000001" customHeight="1">
      <c r="A29" t="s">
        <v>77</v>
      </c>
      <c r="B29" s="94">
        <v>0</v>
      </c>
      <c r="C29" s="94">
        <v>0</v>
      </c>
      <c r="D29" s="94">
        <v>0</v>
      </c>
      <c r="E29" s="94">
        <v>0</v>
      </c>
      <c r="F29" s="94">
        <v>0</v>
      </c>
      <c r="G29" s="94">
        <v>0</v>
      </c>
      <c r="H29" s="94">
        <f>'raw data'!H23</f>
        <v>5000</v>
      </c>
      <c r="I29" s="94">
        <f>'raw data'!I23</f>
        <v>5000</v>
      </c>
      <c r="J29" s="94">
        <f>'raw data'!J23</f>
        <v>5000</v>
      </c>
      <c r="K29" s="94">
        <f>'raw data'!K23</f>
        <v>5000</v>
      </c>
      <c r="L29" s="94">
        <f>'raw data'!L23</f>
        <v>5000</v>
      </c>
      <c r="M29" s="94">
        <f>'raw data'!M23</f>
        <v>5000</v>
      </c>
    </row>
    <row r="31" ht="13.800000000000001" customHeight="1">
      <c r="A31" s="4" t="str">
        <f>description!F31</f>
        <v>TTR</v>
      </c>
      <c r="B31" s="43">
        <v>1</v>
      </c>
      <c r="C31" s="43">
        <v>2</v>
      </c>
      <c r="D31" s="43">
        <v>3</v>
      </c>
      <c r="E31" s="43">
        <v>4</v>
      </c>
      <c r="F31" s="43">
        <v>5</v>
      </c>
      <c r="G31" s="43">
        <v>6</v>
      </c>
      <c r="H31" s="43">
        <v>7</v>
      </c>
      <c r="I31" s="43">
        <v>8</v>
      </c>
      <c r="J31" s="43">
        <v>9</v>
      </c>
      <c r="K31" s="43">
        <v>10</v>
      </c>
      <c r="L31" s="43">
        <v>11</v>
      </c>
      <c r="M31" s="43">
        <v>12</v>
      </c>
    </row>
    <row r="32" ht="13.800000000000001" customHeight="1">
      <c r="A32" t="s">
        <v>70</v>
      </c>
      <c r="B32" s="93">
        <f>description!$F$32</f>
        <v>30</v>
      </c>
      <c r="C32" s="93">
        <f>description!$F$32</f>
        <v>30</v>
      </c>
      <c r="D32" s="93">
        <f>description!$F$32</f>
        <v>30</v>
      </c>
      <c r="E32" s="93">
        <v>0</v>
      </c>
      <c r="F32" s="93">
        <v>0</v>
      </c>
      <c r="G32" s="93">
        <v>0</v>
      </c>
      <c r="H32" s="93">
        <f>description!$F$32</f>
        <v>30</v>
      </c>
      <c r="I32" s="93">
        <f>description!$F$32</f>
        <v>30</v>
      </c>
      <c r="J32" s="93">
        <f>description!$F$32</f>
        <v>30</v>
      </c>
      <c r="K32" s="93">
        <v>0</v>
      </c>
      <c r="L32" s="93">
        <v>0</v>
      </c>
      <c r="M32" s="93">
        <v>0</v>
      </c>
    </row>
    <row r="33" ht="13.800000000000001" customHeight="1">
      <c r="A33" t="s">
        <v>71</v>
      </c>
      <c r="B33" s="93">
        <f>description!$F$32</f>
        <v>30</v>
      </c>
      <c r="C33" s="93">
        <f>description!$F$32</f>
        <v>30</v>
      </c>
      <c r="D33" s="93">
        <f>description!$F$32</f>
        <v>30</v>
      </c>
      <c r="E33" s="93">
        <v>0</v>
      </c>
      <c r="F33" s="93">
        <v>0</v>
      </c>
      <c r="G33" s="93">
        <v>0</v>
      </c>
      <c r="H33" s="93">
        <f>description!$F$32</f>
        <v>30</v>
      </c>
      <c r="I33" s="93">
        <f>description!$F$32</f>
        <v>30</v>
      </c>
      <c r="J33" s="93">
        <f>description!$F$32</f>
        <v>30</v>
      </c>
      <c r="K33" s="93">
        <v>0</v>
      </c>
      <c r="L33" s="93">
        <v>0</v>
      </c>
      <c r="M33" s="93">
        <v>0</v>
      </c>
    </row>
    <row r="34" ht="13.800000000000001" customHeight="1">
      <c r="A34" t="s">
        <v>72</v>
      </c>
      <c r="B34" s="93">
        <f>description!$F$32</f>
        <v>30</v>
      </c>
      <c r="C34" s="93">
        <f>description!$F$32</f>
        <v>30</v>
      </c>
      <c r="D34" s="93">
        <f>description!$F$32</f>
        <v>30</v>
      </c>
      <c r="E34" s="93">
        <v>0</v>
      </c>
      <c r="F34" s="93">
        <v>0</v>
      </c>
      <c r="G34" s="93">
        <v>0</v>
      </c>
      <c r="H34" s="93">
        <f>description!$F$32</f>
        <v>30</v>
      </c>
      <c r="I34" s="93">
        <f>description!$F$32</f>
        <v>30</v>
      </c>
      <c r="J34" s="93">
        <f>description!$F$32</f>
        <v>30</v>
      </c>
      <c r="K34" s="93">
        <v>0</v>
      </c>
      <c r="L34" s="93">
        <v>0</v>
      </c>
      <c r="M34" s="93">
        <v>0</v>
      </c>
    </row>
    <row r="35" ht="13.800000000000001" customHeight="1">
      <c r="A35" t="s">
        <v>73</v>
      </c>
      <c r="B35" s="93">
        <f>description!$F$32</f>
        <v>30</v>
      </c>
      <c r="C35" s="93">
        <f>description!$F$32</f>
        <v>30</v>
      </c>
      <c r="D35" s="93">
        <f>description!$F$32</f>
        <v>30</v>
      </c>
      <c r="E35" s="93">
        <v>0</v>
      </c>
      <c r="F35" s="93">
        <v>0</v>
      </c>
      <c r="G35" s="93">
        <v>0</v>
      </c>
      <c r="H35" s="93">
        <f>description!$F$32</f>
        <v>30</v>
      </c>
      <c r="I35" s="93">
        <f>description!$F$32</f>
        <v>30</v>
      </c>
      <c r="J35" s="93">
        <f>description!$F$32</f>
        <v>30</v>
      </c>
      <c r="K35" s="93">
        <v>0</v>
      </c>
      <c r="L35" s="93">
        <v>0</v>
      </c>
      <c r="M35" s="93">
        <v>0</v>
      </c>
    </row>
    <row r="36" ht="13.800000000000001" customHeight="1">
      <c r="A36" t="s">
        <v>74</v>
      </c>
      <c r="B36" s="93">
        <f>description!$F$32</f>
        <v>30</v>
      </c>
      <c r="C36" s="93">
        <f>description!$F$32</f>
        <v>30</v>
      </c>
      <c r="D36" s="93">
        <f>description!$F$32</f>
        <v>30</v>
      </c>
      <c r="E36" s="93">
        <v>0</v>
      </c>
      <c r="F36" s="93">
        <v>0</v>
      </c>
      <c r="G36" s="93">
        <v>0</v>
      </c>
      <c r="H36" s="93">
        <f>description!$F$32</f>
        <v>30</v>
      </c>
      <c r="I36" s="93">
        <f>description!$F$32</f>
        <v>30</v>
      </c>
      <c r="J36" s="93">
        <f>description!$F$32</f>
        <v>30</v>
      </c>
      <c r="K36" s="93">
        <v>0</v>
      </c>
      <c r="L36" s="93">
        <v>0</v>
      </c>
      <c r="M36" s="93">
        <v>0</v>
      </c>
    </row>
    <row r="37" ht="13.800000000000001" customHeight="1">
      <c r="A37" t="s">
        <v>75</v>
      </c>
      <c r="B37" s="93">
        <f>description!$F$32</f>
        <v>30</v>
      </c>
      <c r="C37" s="93">
        <f>description!$F$32</f>
        <v>30</v>
      </c>
      <c r="D37" s="93">
        <f>description!$F$32</f>
        <v>30</v>
      </c>
      <c r="E37" s="93">
        <v>0</v>
      </c>
      <c r="F37" s="93">
        <v>0</v>
      </c>
      <c r="G37" s="93">
        <v>0</v>
      </c>
      <c r="H37" s="93">
        <f>description!$F$32</f>
        <v>30</v>
      </c>
      <c r="I37" s="93">
        <f>description!$F$32</f>
        <v>30</v>
      </c>
      <c r="J37" s="93">
        <f>description!$F$32</f>
        <v>30</v>
      </c>
      <c r="K37" s="93">
        <v>0</v>
      </c>
      <c r="L37" s="93">
        <v>0</v>
      </c>
      <c r="M37" s="93">
        <v>0</v>
      </c>
    </row>
    <row r="38" ht="13.800000000000001" customHeight="1">
      <c r="A38" t="s">
        <v>76</v>
      </c>
      <c r="B38" s="93">
        <f>description!$F$32</f>
        <v>30</v>
      </c>
      <c r="C38" s="93">
        <f>description!$F$32</f>
        <v>30</v>
      </c>
      <c r="D38" s="93">
        <f>description!$F$32</f>
        <v>30</v>
      </c>
      <c r="E38" s="93">
        <v>0</v>
      </c>
      <c r="F38" s="93">
        <v>0</v>
      </c>
      <c r="G38" s="93">
        <v>0</v>
      </c>
      <c r="H38" s="93">
        <f>description!$F$32</f>
        <v>30</v>
      </c>
      <c r="I38" s="93">
        <f>description!$F$32</f>
        <v>30</v>
      </c>
      <c r="J38" s="93">
        <f>description!$F$32</f>
        <v>30</v>
      </c>
      <c r="K38" s="93">
        <v>0</v>
      </c>
      <c r="L38" s="93">
        <v>0</v>
      </c>
      <c r="M38" s="93">
        <v>0</v>
      </c>
    </row>
    <row r="39" ht="13.800000000000001" customHeight="1">
      <c r="A39" t="s">
        <v>77</v>
      </c>
      <c r="B39" s="93">
        <f>description!$F$32</f>
        <v>30</v>
      </c>
      <c r="C39" s="93">
        <f>description!$F$32</f>
        <v>30</v>
      </c>
      <c r="D39" s="93">
        <f>description!$F$32</f>
        <v>30</v>
      </c>
      <c r="E39" s="93">
        <v>0</v>
      </c>
      <c r="F39" s="93">
        <v>0</v>
      </c>
      <c r="G39" s="93">
        <v>0</v>
      </c>
      <c r="H39" s="93">
        <f>description!$F$32</f>
        <v>30</v>
      </c>
      <c r="I39" s="93">
        <f>description!$F$32</f>
        <v>30</v>
      </c>
      <c r="J39" s="93">
        <f>description!$F$32</f>
        <v>30</v>
      </c>
      <c r="K39" s="93">
        <v>0</v>
      </c>
      <c r="L39" s="93">
        <v>0</v>
      </c>
      <c r="M39" s="93">
        <v>0</v>
      </c>
    </row>
    <row r="41" ht="13.800000000000001" customHeight="1">
      <c r="A41" s="4" t="s">
        <v>174</v>
      </c>
      <c r="B41" s="43">
        <v>1</v>
      </c>
      <c r="C41" s="43">
        <v>2</v>
      </c>
      <c r="D41" s="43">
        <v>3</v>
      </c>
      <c r="E41" s="43">
        <v>4</v>
      </c>
      <c r="F41" s="43">
        <v>5</v>
      </c>
      <c r="G41" s="43">
        <v>6</v>
      </c>
      <c r="H41" s="43">
        <v>7</v>
      </c>
      <c r="I41" s="43">
        <v>8</v>
      </c>
      <c r="J41" s="43">
        <v>9</v>
      </c>
      <c r="K41" s="43">
        <v>10</v>
      </c>
      <c r="L41" s="43">
        <v>11</v>
      </c>
      <c r="M41" s="43">
        <v>12</v>
      </c>
    </row>
    <row r="42" ht="13.800000000000001" customHeight="1">
      <c r="A42" t="s">
        <v>70</v>
      </c>
      <c r="B42" s="94">
        <v>0</v>
      </c>
      <c r="C42" s="94">
        <v>0</v>
      </c>
      <c r="D42" s="94">
        <v>0</v>
      </c>
      <c r="E42" s="94">
        <v>0</v>
      </c>
      <c r="F42" s="94">
        <v>0</v>
      </c>
      <c r="G42" s="94">
        <v>0</v>
      </c>
      <c r="H42" s="94">
        <f>IF(description!$B$18="T4",description!$D$32,0)</f>
        <v>3000</v>
      </c>
      <c r="I42" s="94">
        <f>IF(description!$B$18="T4",description!$D$32,0)</f>
        <v>3000</v>
      </c>
      <c r="J42" s="94">
        <f>IF(description!$B$18="T4",description!$D$32,0)</f>
        <v>3000</v>
      </c>
      <c r="K42" s="94">
        <f>IF(description!$B$18="T4",description!$D$32,0)</f>
        <v>3000</v>
      </c>
      <c r="L42" s="94">
        <f>IF(description!$B$18="T4",description!$D$32,0)</f>
        <v>3000</v>
      </c>
      <c r="M42" s="94">
        <f>IF(description!$B$18="T4",description!$D$32,0)</f>
        <v>3000</v>
      </c>
    </row>
    <row r="43" ht="13.800000000000001" customHeight="1">
      <c r="A43" t="s">
        <v>71</v>
      </c>
      <c r="B43" s="94">
        <v>0</v>
      </c>
      <c r="C43" s="94">
        <v>0</v>
      </c>
      <c r="D43" s="94">
        <v>0</v>
      </c>
      <c r="E43" s="94">
        <v>0</v>
      </c>
      <c r="F43" s="94">
        <v>0</v>
      </c>
      <c r="G43" s="94">
        <v>0</v>
      </c>
      <c r="H43" s="94">
        <v>0</v>
      </c>
      <c r="I43" s="94">
        <v>0</v>
      </c>
      <c r="J43" s="94">
        <v>0</v>
      </c>
      <c r="K43" s="94">
        <v>0</v>
      </c>
      <c r="L43" s="94">
        <v>0</v>
      </c>
      <c r="M43" s="94">
        <v>0</v>
      </c>
    </row>
    <row r="44" ht="13.800000000000001" customHeight="1">
      <c r="A44" t="s">
        <v>72</v>
      </c>
      <c r="B44" s="94">
        <v>0</v>
      </c>
      <c r="C44" s="94">
        <v>0</v>
      </c>
      <c r="D44" s="94">
        <v>0</v>
      </c>
      <c r="E44" s="94">
        <v>0</v>
      </c>
      <c r="F44" s="94">
        <v>0</v>
      </c>
      <c r="G44" s="94">
        <v>0</v>
      </c>
      <c r="H44" s="94">
        <v>0</v>
      </c>
      <c r="I44" s="94">
        <v>0</v>
      </c>
      <c r="J44" s="94">
        <v>0</v>
      </c>
      <c r="K44" s="94">
        <v>0</v>
      </c>
      <c r="L44" s="94">
        <v>0</v>
      </c>
      <c r="M44" s="94">
        <v>0</v>
      </c>
    </row>
    <row r="45" ht="13.800000000000001" customHeight="1">
      <c r="A45" t="s">
        <v>73</v>
      </c>
      <c r="B45" s="94">
        <v>0</v>
      </c>
      <c r="C45" s="94">
        <v>0</v>
      </c>
      <c r="D45" s="94">
        <v>0</v>
      </c>
      <c r="E45" s="94">
        <v>0</v>
      </c>
      <c r="F45" s="94">
        <v>0</v>
      </c>
      <c r="G45" s="94">
        <v>0</v>
      </c>
      <c r="H45" s="94">
        <v>0</v>
      </c>
      <c r="I45" s="94">
        <v>0</v>
      </c>
      <c r="J45" s="94">
        <v>0</v>
      </c>
      <c r="K45" s="94">
        <v>0</v>
      </c>
      <c r="L45" s="94">
        <v>0</v>
      </c>
      <c r="M45" s="94">
        <v>0</v>
      </c>
    </row>
    <row r="46" ht="13.800000000000001" customHeight="1">
      <c r="A46" t="s">
        <v>74</v>
      </c>
      <c r="B46" s="94">
        <v>0</v>
      </c>
      <c r="C46" s="94">
        <v>0</v>
      </c>
      <c r="D46" s="94">
        <v>0</v>
      </c>
      <c r="E46" s="94">
        <v>0</v>
      </c>
      <c r="F46" s="94">
        <v>0</v>
      </c>
      <c r="G46" s="94">
        <v>0</v>
      </c>
      <c r="H46" s="94">
        <v>0</v>
      </c>
      <c r="I46" s="94">
        <v>0</v>
      </c>
      <c r="J46" s="94">
        <v>0</v>
      </c>
      <c r="K46" s="94">
        <v>0</v>
      </c>
      <c r="L46" s="94">
        <v>0</v>
      </c>
      <c r="M46" s="94">
        <v>0</v>
      </c>
    </row>
    <row r="47" ht="13.800000000000001" customHeight="1">
      <c r="A47" t="s">
        <v>75</v>
      </c>
      <c r="B47" s="94">
        <v>0</v>
      </c>
      <c r="C47" s="94">
        <v>0</v>
      </c>
      <c r="D47" s="94">
        <v>0</v>
      </c>
      <c r="E47" s="94">
        <v>0</v>
      </c>
      <c r="F47" s="94">
        <v>0</v>
      </c>
      <c r="G47" s="94">
        <v>0</v>
      </c>
      <c r="H47" s="94">
        <v>0</v>
      </c>
      <c r="I47" s="94">
        <v>0</v>
      </c>
      <c r="J47" s="94">
        <v>0</v>
      </c>
      <c r="K47" s="94">
        <v>0</v>
      </c>
      <c r="L47" s="94">
        <v>0</v>
      </c>
      <c r="M47" s="94">
        <v>0</v>
      </c>
    </row>
    <row r="48" ht="13.800000000000001" customHeight="1">
      <c r="A48" t="s">
        <v>76</v>
      </c>
      <c r="B48" s="94">
        <v>0</v>
      </c>
      <c r="C48" s="94">
        <v>0</v>
      </c>
      <c r="D48" s="94">
        <v>0</v>
      </c>
      <c r="E48" s="94">
        <v>0</v>
      </c>
      <c r="F48" s="94">
        <v>0</v>
      </c>
      <c r="G48" s="94">
        <v>0</v>
      </c>
      <c r="H48" s="94">
        <v>0</v>
      </c>
      <c r="I48" s="94">
        <v>0</v>
      </c>
      <c r="J48" s="94">
        <v>0</v>
      </c>
      <c r="K48" s="94">
        <v>0</v>
      </c>
      <c r="L48" s="94">
        <v>0</v>
      </c>
      <c r="M48" s="94">
        <v>0</v>
      </c>
    </row>
    <row r="49" ht="13.800000000000001" customHeight="1">
      <c r="A49" t="s">
        <v>77</v>
      </c>
      <c r="B49" s="94">
        <v>0</v>
      </c>
      <c r="C49" s="94">
        <v>0</v>
      </c>
      <c r="D49" s="94">
        <v>0</v>
      </c>
      <c r="E49" s="94">
        <v>0</v>
      </c>
      <c r="F49" s="94">
        <v>0</v>
      </c>
      <c r="G49" s="94">
        <v>0</v>
      </c>
      <c r="H49" s="94">
        <v>0</v>
      </c>
      <c r="I49" s="94">
        <v>0</v>
      </c>
      <c r="J49" s="94">
        <v>0</v>
      </c>
      <c r="K49" s="94">
        <v>0</v>
      </c>
      <c r="L49" s="94">
        <v>0</v>
      </c>
      <c r="M49" s="94">
        <v>0</v>
      </c>
    </row>
    <row r="50" ht="13.800000000000001" customHeight="1"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</row>
    <row r="51" ht="13.800000000000001" customHeight="1">
      <c r="A51" s="4" t="s">
        <v>175</v>
      </c>
      <c r="B51" s="43">
        <v>1</v>
      </c>
      <c r="C51" s="43">
        <v>2</v>
      </c>
      <c r="D51" s="43">
        <v>3</v>
      </c>
      <c r="E51" s="43">
        <v>4</v>
      </c>
      <c r="F51" s="43">
        <v>5</v>
      </c>
      <c r="G51" s="43">
        <v>6</v>
      </c>
      <c r="H51" s="43">
        <v>7</v>
      </c>
      <c r="I51" s="43">
        <v>8</v>
      </c>
      <c r="J51" s="43">
        <v>9</v>
      </c>
      <c r="K51" s="43">
        <v>10</v>
      </c>
      <c r="L51" s="43">
        <v>11</v>
      </c>
      <c r="M51" s="43">
        <v>12</v>
      </c>
    </row>
    <row r="52" ht="13.800000000000001" customHeight="1">
      <c r="A52" t="s">
        <v>70</v>
      </c>
      <c r="B52" s="94">
        <v>0</v>
      </c>
      <c r="C52" s="94">
        <v>0</v>
      </c>
      <c r="D52" s="94">
        <v>0</v>
      </c>
      <c r="E52" s="94">
        <v>0</v>
      </c>
      <c r="F52" s="94">
        <v>0</v>
      </c>
      <c r="G52" s="94">
        <v>0</v>
      </c>
      <c r="H52" s="94">
        <f>IF(description!$B$18="T4",0,description!$D$32)</f>
        <v>0</v>
      </c>
      <c r="I52" s="94">
        <f>IF(description!$B$18="T4",0,description!$D$32)</f>
        <v>0</v>
      </c>
      <c r="J52" s="94">
        <f>IF(description!$B$18="T4",0,description!$D$32)</f>
        <v>0</v>
      </c>
      <c r="K52" s="94">
        <f>IF(description!$B$18="T4",0,description!$D$32)</f>
        <v>0</v>
      </c>
      <c r="L52" s="94">
        <f>IF(description!$B$18="T4",0,description!$D$32)</f>
        <v>0</v>
      </c>
      <c r="M52" s="94">
        <f>IF(description!$B$18="T4",0,description!$D$32)</f>
        <v>0</v>
      </c>
    </row>
    <row r="53" ht="13.800000000000001" customHeight="1">
      <c r="A53" t="s">
        <v>71</v>
      </c>
      <c r="B53" s="94">
        <v>0</v>
      </c>
      <c r="C53" s="94">
        <v>0</v>
      </c>
      <c r="D53" s="94">
        <v>0</v>
      </c>
      <c r="E53" s="94">
        <v>0</v>
      </c>
      <c r="F53" s="94">
        <v>0</v>
      </c>
      <c r="G53" s="94">
        <v>0</v>
      </c>
      <c r="H53" s="94">
        <v>0</v>
      </c>
      <c r="I53" s="94">
        <v>0</v>
      </c>
      <c r="J53" s="94">
        <v>0</v>
      </c>
      <c r="K53" s="94">
        <v>0</v>
      </c>
      <c r="L53" s="94">
        <v>0</v>
      </c>
      <c r="M53" s="94">
        <v>0</v>
      </c>
    </row>
    <row r="54" ht="13.800000000000001" customHeight="1">
      <c r="A54" t="s">
        <v>72</v>
      </c>
      <c r="B54" s="94">
        <v>0</v>
      </c>
      <c r="C54" s="94">
        <v>0</v>
      </c>
      <c r="D54" s="94">
        <v>0</v>
      </c>
      <c r="E54" s="94">
        <v>0</v>
      </c>
      <c r="F54" s="94">
        <v>0</v>
      </c>
      <c r="G54" s="94">
        <v>0</v>
      </c>
      <c r="H54" s="94">
        <v>0</v>
      </c>
      <c r="I54" s="94">
        <v>0</v>
      </c>
      <c r="J54" s="94">
        <v>0</v>
      </c>
      <c r="K54" s="94">
        <v>0</v>
      </c>
      <c r="L54" s="94">
        <v>0</v>
      </c>
      <c r="M54" s="94">
        <v>0</v>
      </c>
    </row>
    <row r="55" ht="13.800000000000001" customHeight="1">
      <c r="A55" t="s">
        <v>73</v>
      </c>
      <c r="B55" s="94">
        <v>0</v>
      </c>
      <c r="C55" s="94">
        <v>0</v>
      </c>
      <c r="D55" s="94">
        <v>0</v>
      </c>
      <c r="E55" s="94">
        <v>0</v>
      </c>
      <c r="F55" s="94">
        <v>0</v>
      </c>
      <c r="G55" s="94">
        <v>0</v>
      </c>
      <c r="H55" s="94">
        <v>0</v>
      </c>
      <c r="I55" s="94">
        <v>0</v>
      </c>
      <c r="J55" s="94">
        <v>0</v>
      </c>
      <c r="K55" s="94">
        <v>0</v>
      </c>
      <c r="L55" s="94">
        <v>0</v>
      </c>
      <c r="M55" s="94">
        <v>0</v>
      </c>
    </row>
    <row r="56" ht="13.800000000000001" customHeight="1">
      <c r="A56" t="s">
        <v>74</v>
      </c>
      <c r="B56" s="94">
        <v>0</v>
      </c>
      <c r="C56" s="94">
        <v>0</v>
      </c>
      <c r="D56" s="94">
        <v>0</v>
      </c>
      <c r="E56" s="94">
        <v>0</v>
      </c>
      <c r="F56" s="94">
        <v>0</v>
      </c>
      <c r="G56" s="94">
        <v>0</v>
      </c>
      <c r="H56" s="94">
        <v>0</v>
      </c>
      <c r="I56" s="94">
        <v>0</v>
      </c>
      <c r="J56" s="94">
        <v>0</v>
      </c>
      <c r="K56" s="94">
        <v>0</v>
      </c>
      <c r="L56" s="94">
        <v>0</v>
      </c>
      <c r="M56" s="94">
        <v>0</v>
      </c>
    </row>
    <row r="57" ht="13.800000000000001" customHeight="1">
      <c r="A57" t="s">
        <v>75</v>
      </c>
      <c r="B57" s="94">
        <v>0</v>
      </c>
      <c r="C57" s="94">
        <v>0</v>
      </c>
      <c r="D57" s="94">
        <v>0</v>
      </c>
      <c r="E57" s="94">
        <v>0</v>
      </c>
      <c r="F57" s="94">
        <v>0</v>
      </c>
      <c r="G57" s="94">
        <v>0</v>
      </c>
      <c r="H57" s="94">
        <v>0</v>
      </c>
      <c r="I57" s="94">
        <v>0</v>
      </c>
      <c r="J57" s="94">
        <v>0</v>
      </c>
      <c r="K57" s="94">
        <v>0</v>
      </c>
      <c r="L57" s="94">
        <v>0</v>
      </c>
      <c r="M57" s="94">
        <v>0</v>
      </c>
    </row>
    <row r="58" ht="13.800000000000001" customHeight="1">
      <c r="A58" t="s">
        <v>76</v>
      </c>
      <c r="B58" s="94">
        <v>0</v>
      </c>
      <c r="C58" s="94">
        <v>0</v>
      </c>
      <c r="D58" s="94">
        <v>0</v>
      </c>
      <c r="E58" s="94">
        <v>0</v>
      </c>
      <c r="F58" s="94">
        <v>0</v>
      </c>
      <c r="G58" s="94">
        <v>0</v>
      </c>
      <c r="H58" s="94">
        <v>0</v>
      </c>
      <c r="I58" s="94">
        <v>0</v>
      </c>
      <c r="J58" s="94">
        <v>0</v>
      </c>
      <c r="K58" s="94">
        <v>0</v>
      </c>
      <c r="L58" s="94">
        <v>0</v>
      </c>
      <c r="M58" s="94">
        <v>0</v>
      </c>
    </row>
    <row r="59" ht="13.800000000000001" customHeight="1">
      <c r="A59" t="s">
        <v>77</v>
      </c>
      <c r="B59" s="94">
        <v>0</v>
      </c>
      <c r="C59" s="94">
        <v>0</v>
      </c>
      <c r="D59" s="94">
        <v>0</v>
      </c>
      <c r="E59" s="94">
        <v>0</v>
      </c>
      <c r="F59" s="94">
        <v>0</v>
      </c>
      <c r="G59" s="94">
        <v>0</v>
      </c>
      <c r="H59" s="94">
        <v>0</v>
      </c>
      <c r="I59" s="94">
        <v>0</v>
      </c>
      <c r="J59" s="94">
        <v>0</v>
      </c>
      <c r="K59" s="94">
        <v>0</v>
      </c>
      <c r="L59" s="94">
        <v>0</v>
      </c>
      <c r="M59" s="94">
        <v>0</v>
      </c>
    </row>
    <row r="61" ht="13.800000000000001" customHeight="1">
      <c r="A61" s="4" t="s">
        <v>176</v>
      </c>
      <c r="B61" s="43">
        <v>1</v>
      </c>
      <c r="C61" s="43">
        <v>2</v>
      </c>
      <c r="D61" s="43">
        <v>3</v>
      </c>
      <c r="E61" s="43">
        <v>4</v>
      </c>
      <c r="F61" s="43">
        <v>5</v>
      </c>
      <c r="G61" s="43">
        <v>6</v>
      </c>
      <c r="H61" s="43">
        <v>7</v>
      </c>
      <c r="I61" s="43">
        <v>8</v>
      </c>
      <c r="J61" s="43">
        <v>9</v>
      </c>
      <c r="K61" s="43">
        <v>10</v>
      </c>
      <c r="L61" s="43">
        <v>11</v>
      </c>
      <c r="M61" s="43">
        <v>12</v>
      </c>
    </row>
    <row r="62" ht="13.800000000000001" customHeight="1">
      <c r="A62" t="s">
        <v>70</v>
      </c>
      <c r="B62" s="93">
        <f>description!$E$32</f>
        <v>110</v>
      </c>
      <c r="C62" s="93">
        <f>description!$E$32</f>
        <v>110</v>
      </c>
      <c r="D62" s="93">
        <f>description!$E$32</f>
        <v>110</v>
      </c>
      <c r="E62" s="93">
        <f>description!$E$32</f>
        <v>110</v>
      </c>
      <c r="F62" s="93">
        <f>description!$E$32</f>
        <v>110</v>
      </c>
      <c r="G62" s="93">
        <f>description!$E$32</f>
        <v>110</v>
      </c>
      <c r="H62" s="93">
        <f>description!$E$32</f>
        <v>110</v>
      </c>
      <c r="I62" s="93">
        <f>description!$E$32</f>
        <v>110</v>
      </c>
      <c r="J62" s="93">
        <f>description!$E$32</f>
        <v>110</v>
      </c>
      <c r="K62" s="93">
        <f>description!$E$32</f>
        <v>110</v>
      </c>
      <c r="L62" s="93">
        <f>description!$E$32</f>
        <v>110</v>
      </c>
      <c r="M62" s="93">
        <f>description!$E$32</f>
        <v>110</v>
      </c>
    </row>
    <row r="63" ht="13.800000000000001" customHeight="1">
      <c r="A63" t="s">
        <v>71</v>
      </c>
      <c r="B63" s="93">
        <f>description!$E$32</f>
        <v>110</v>
      </c>
      <c r="C63" s="93">
        <f>description!$E$32</f>
        <v>110</v>
      </c>
      <c r="D63" s="93">
        <f>description!$E$32</f>
        <v>110</v>
      </c>
      <c r="E63" s="93">
        <f>description!$E$32</f>
        <v>110</v>
      </c>
      <c r="F63" s="93">
        <f>description!$E$32</f>
        <v>110</v>
      </c>
      <c r="G63" s="93">
        <f>description!$E$32</f>
        <v>110</v>
      </c>
      <c r="H63" s="93">
        <f>description!$E$32</f>
        <v>110</v>
      </c>
      <c r="I63" s="93">
        <f>description!$E$32</f>
        <v>110</v>
      </c>
      <c r="J63" s="93">
        <f>description!$E$32</f>
        <v>110</v>
      </c>
      <c r="K63" s="93">
        <f>description!$E$32</f>
        <v>110</v>
      </c>
      <c r="L63" s="93">
        <f>description!$E$32</f>
        <v>110</v>
      </c>
      <c r="M63" s="93">
        <f>description!$E$32</f>
        <v>110</v>
      </c>
    </row>
    <row r="64" ht="13.800000000000001" customHeight="1">
      <c r="A64" t="s">
        <v>72</v>
      </c>
      <c r="B64" s="93">
        <f>description!$E$32</f>
        <v>110</v>
      </c>
      <c r="C64" s="93">
        <f>description!$E$32</f>
        <v>110</v>
      </c>
      <c r="D64" s="93">
        <f>description!$E$32</f>
        <v>110</v>
      </c>
      <c r="E64" s="93">
        <f>description!$E$32</f>
        <v>110</v>
      </c>
      <c r="F64" s="93">
        <f>description!$E$32</f>
        <v>110</v>
      </c>
      <c r="G64" s="93">
        <f>description!$E$32</f>
        <v>110</v>
      </c>
      <c r="H64" s="93">
        <f>description!$E$32</f>
        <v>110</v>
      </c>
      <c r="I64" s="93">
        <f>description!$E$32</f>
        <v>110</v>
      </c>
      <c r="J64" s="93">
        <f>description!$E$32</f>
        <v>110</v>
      </c>
      <c r="K64" s="93">
        <f>description!$E$32</f>
        <v>110</v>
      </c>
      <c r="L64" s="93">
        <f>description!$E$32</f>
        <v>110</v>
      </c>
      <c r="M64" s="93">
        <f>description!$E$32</f>
        <v>110</v>
      </c>
    </row>
    <row r="65" ht="13.800000000000001" customHeight="1">
      <c r="A65" t="s">
        <v>73</v>
      </c>
      <c r="B65" s="93">
        <f>description!$E$32</f>
        <v>110</v>
      </c>
      <c r="C65" s="93">
        <f>description!$E$32</f>
        <v>110</v>
      </c>
      <c r="D65" s="93">
        <f>description!$E$32</f>
        <v>110</v>
      </c>
      <c r="E65" s="93">
        <f>description!$E$32</f>
        <v>110</v>
      </c>
      <c r="F65" s="93">
        <f>description!$E$32</f>
        <v>110</v>
      </c>
      <c r="G65" s="93">
        <f>description!$E$32</f>
        <v>110</v>
      </c>
      <c r="H65" s="93">
        <f>description!$E$32</f>
        <v>110</v>
      </c>
      <c r="I65" s="93">
        <f>description!$E$32</f>
        <v>110</v>
      </c>
      <c r="J65" s="93">
        <f>description!$E$32</f>
        <v>110</v>
      </c>
      <c r="K65" s="93">
        <f>description!$E$32</f>
        <v>110</v>
      </c>
      <c r="L65" s="93">
        <f>description!$E$32</f>
        <v>110</v>
      </c>
      <c r="M65" s="93">
        <f>description!$E$32</f>
        <v>110</v>
      </c>
    </row>
    <row r="66" ht="13.800000000000001" customHeight="1">
      <c r="A66" t="s">
        <v>74</v>
      </c>
      <c r="B66" s="93">
        <f>description!$E$32</f>
        <v>110</v>
      </c>
      <c r="C66" s="93">
        <f>description!$E$32</f>
        <v>110</v>
      </c>
      <c r="D66" s="93">
        <f>description!$E$32</f>
        <v>110</v>
      </c>
      <c r="E66" s="93">
        <f>description!$E$32</f>
        <v>110</v>
      </c>
      <c r="F66" s="93">
        <f>description!$E$32</f>
        <v>110</v>
      </c>
      <c r="G66" s="93">
        <f>description!$E$32</f>
        <v>110</v>
      </c>
      <c r="H66" s="93">
        <f>description!$E$32</f>
        <v>110</v>
      </c>
      <c r="I66" s="93">
        <f>description!$E$32</f>
        <v>110</v>
      </c>
      <c r="J66" s="93">
        <f>description!$E$32</f>
        <v>110</v>
      </c>
      <c r="K66" s="93">
        <f>description!$E$32</f>
        <v>110</v>
      </c>
      <c r="L66" s="93">
        <f>description!$E$32</f>
        <v>110</v>
      </c>
      <c r="M66" s="93">
        <f>description!$E$32</f>
        <v>110</v>
      </c>
    </row>
    <row r="67" ht="13.800000000000001" customHeight="1">
      <c r="A67" t="s">
        <v>75</v>
      </c>
      <c r="B67" s="93">
        <f>description!$E$32</f>
        <v>110</v>
      </c>
      <c r="C67" s="93">
        <f>description!$E$32</f>
        <v>110</v>
      </c>
      <c r="D67" s="93">
        <f>description!$E$32</f>
        <v>110</v>
      </c>
      <c r="E67" s="93">
        <f>description!$E$32</f>
        <v>110</v>
      </c>
      <c r="F67" s="93">
        <f>description!$E$32</f>
        <v>110</v>
      </c>
      <c r="G67" s="93">
        <f>description!$E$32</f>
        <v>110</v>
      </c>
      <c r="H67" s="93">
        <f>description!$E$32</f>
        <v>110</v>
      </c>
      <c r="I67" s="93">
        <f>description!$E$32</f>
        <v>110</v>
      </c>
      <c r="J67" s="93">
        <f>description!$E$32</f>
        <v>110</v>
      </c>
      <c r="K67" s="93">
        <f>description!$E$32</f>
        <v>110</v>
      </c>
      <c r="L67" s="93">
        <f>description!$E$32</f>
        <v>110</v>
      </c>
      <c r="M67" s="93">
        <f>description!$E$32</f>
        <v>110</v>
      </c>
    </row>
    <row r="68" ht="13.800000000000001" customHeight="1">
      <c r="A68" t="s">
        <v>76</v>
      </c>
      <c r="B68" s="93">
        <f>description!$E$32</f>
        <v>110</v>
      </c>
      <c r="C68" s="93">
        <f>description!$E$32</f>
        <v>110</v>
      </c>
      <c r="D68" s="93">
        <f>description!$E$32</f>
        <v>110</v>
      </c>
      <c r="E68" s="93">
        <f>description!$E$32</f>
        <v>110</v>
      </c>
      <c r="F68" s="93">
        <f>description!$E$32</f>
        <v>110</v>
      </c>
      <c r="G68" s="93">
        <f>description!$E$32</f>
        <v>110</v>
      </c>
      <c r="H68" s="93">
        <f>description!$E$32</f>
        <v>110</v>
      </c>
      <c r="I68" s="93">
        <f>description!$E$32</f>
        <v>110</v>
      </c>
      <c r="J68" s="93">
        <f>description!$E$32</f>
        <v>110</v>
      </c>
      <c r="K68" s="93">
        <f>description!$E$32</f>
        <v>110</v>
      </c>
      <c r="L68" s="93">
        <f>description!$E$32</f>
        <v>110</v>
      </c>
      <c r="M68" s="93">
        <f>description!$E$32</f>
        <v>110</v>
      </c>
    </row>
    <row r="69" ht="13.800000000000001" customHeight="1">
      <c r="A69" t="s">
        <v>77</v>
      </c>
      <c r="B69" s="93">
        <f>description!$E$32</f>
        <v>110</v>
      </c>
      <c r="C69" s="93">
        <f>description!$E$32</f>
        <v>110</v>
      </c>
      <c r="D69" s="93">
        <f>description!$E$32</f>
        <v>110</v>
      </c>
      <c r="E69" s="93">
        <f>description!$E$32</f>
        <v>110</v>
      </c>
      <c r="F69" s="93">
        <f>description!$E$32</f>
        <v>110</v>
      </c>
      <c r="G69" s="93">
        <f>description!$E$32</f>
        <v>110</v>
      </c>
      <c r="H69" s="93">
        <f>description!$E$32</f>
        <v>110</v>
      </c>
      <c r="I69" s="93">
        <f>description!$E$32</f>
        <v>110</v>
      </c>
      <c r="J69" s="93">
        <f>description!$E$32</f>
        <v>110</v>
      </c>
      <c r="K69" s="93">
        <f>description!$E$32</f>
        <v>110</v>
      </c>
      <c r="L69" s="93">
        <f>description!$E$32</f>
        <v>110</v>
      </c>
      <c r="M69" s="93">
        <f>description!$E$32</f>
        <v>110</v>
      </c>
    </row>
    <row r="71" ht="13.800000000000001" customHeight="1">
      <c r="A71" s="4" t="s">
        <v>177</v>
      </c>
      <c r="B71" s="43">
        <v>1</v>
      </c>
      <c r="C71" s="43">
        <v>2</v>
      </c>
      <c r="D71" s="43">
        <v>3</v>
      </c>
      <c r="E71" s="43">
        <v>4</v>
      </c>
      <c r="F71" s="43">
        <v>5</v>
      </c>
      <c r="G71" s="43">
        <v>6</v>
      </c>
      <c r="H71" s="43">
        <v>7</v>
      </c>
      <c r="I71" s="43">
        <v>8</v>
      </c>
      <c r="J71" s="43">
        <v>9</v>
      </c>
      <c r="K71" s="43">
        <v>10</v>
      </c>
      <c r="L71" s="43">
        <v>11</v>
      </c>
      <c r="M71" s="43">
        <v>12</v>
      </c>
    </row>
    <row r="72" ht="13.800000000000001" customHeight="1">
      <c r="A72" t="s">
        <v>70</v>
      </c>
      <c r="B72" s="63" t="s">
        <v>178</v>
      </c>
      <c r="C72" s="63" t="s">
        <v>179</v>
      </c>
      <c r="D72" s="63" t="s">
        <v>180</v>
      </c>
      <c r="E72" s="63" t="s">
        <v>178</v>
      </c>
      <c r="F72" s="63" t="s">
        <v>179</v>
      </c>
      <c r="G72" s="63" t="s">
        <v>180</v>
      </c>
      <c r="H72" s="63" t="s">
        <v>178</v>
      </c>
      <c r="I72" s="63" t="s">
        <v>179</v>
      </c>
      <c r="J72" s="63" t="s">
        <v>180</v>
      </c>
      <c r="K72" s="63" t="s">
        <v>178</v>
      </c>
      <c r="L72" s="63" t="s">
        <v>179</v>
      </c>
      <c r="M72" s="63" t="s">
        <v>180</v>
      </c>
    </row>
    <row r="73" ht="13.800000000000001" customHeight="1">
      <c r="A73" t="s">
        <v>71</v>
      </c>
      <c r="B73" s="63" t="s">
        <v>178</v>
      </c>
      <c r="C73" s="63" t="s">
        <v>179</v>
      </c>
      <c r="D73" s="63" t="s">
        <v>180</v>
      </c>
      <c r="E73" s="63" t="s">
        <v>178</v>
      </c>
      <c r="F73" s="63" t="s">
        <v>179</v>
      </c>
      <c r="G73" s="63" t="s">
        <v>180</v>
      </c>
      <c r="H73" s="63" t="s">
        <v>178</v>
      </c>
      <c r="I73" s="63" t="s">
        <v>179</v>
      </c>
      <c r="J73" s="63" t="s">
        <v>180</v>
      </c>
      <c r="K73" s="63" t="s">
        <v>178</v>
      </c>
      <c r="L73" s="63" t="s">
        <v>179</v>
      </c>
      <c r="M73" s="63" t="s">
        <v>180</v>
      </c>
    </row>
    <row r="74" ht="13.800000000000001" customHeight="1">
      <c r="A74" t="s">
        <v>72</v>
      </c>
      <c r="B74" s="63" t="s">
        <v>178</v>
      </c>
      <c r="C74" s="63" t="s">
        <v>179</v>
      </c>
      <c r="D74" s="63" t="s">
        <v>180</v>
      </c>
      <c r="E74" s="63" t="s">
        <v>178</v>
      </c>
      <c r="F74" s="63" t="s">
        <v>179</v>
      </c>
      <c r="G74" s="63" t="s">
        <v>180</v>
      </c>
      <c r="H74" s="63" t="s">
        <v>178</v>
      </c>
      <c r="I74" s="63" t="s">
        <v>179</v>
      </c>
      <c r="J74" s="63" t="s">
        <v>180</v>
      </c>
      <c r="K74" s="63" t="s">
        <v>178</v>
      </c>
      <c r="L74" s="63" t="s">
        <v>179</v>
      </c>
      <c r="M74" s="63" t="s">
        <v>180</v>
      </c>
    </row>
    <row r="75" ht="13.800000000000001" customHeight="1">
      <c r="A75" t="s">
        <v>73</v>
      </c>
      <c r="B75" s="63" t="s">
        <v>178</v>
      </c>
      <c r="C75" s="63" t="s">
        <v>179</v>
      </c>
      <c r="D75" s="63" t="s">
        <v>180</v>
      </c>
      <c r="E75" s="63" t="s">
        <v>178</v>
      </c>
      <c r="F75" s="63" t="s">
        <v>179</v>
      </c>
      <c r="G75" s="63" t="s">
        <v>180</v>
      </c>
      <c r="H75" s="63" t="s">
        <v>178</v>
      </c>
      <c r="I75" s="63" t="s">
        <v>179</v>
      </c>
      <c r="J75" s="63" t="s">
        <v>180</v>
      </c>
      <c r="K75" s="63" t="s">
        <v>178</v>
      </c>
      <c r="L75" s="63" t="s">
        <v>179</v>
      </c>
      <c r="M75" s="63" t="s">
        <v>180</v>
      </c>
    </row>
    <row r="76" ht="13.800000000000001" customHeight="1">
      <c r="A76" t="s">
        <v>74</v>
      </c>
      <c r="B76" s="63" t="s">
        <v>178</v>
      </c>
      <c r="C76" s="63" t="s">
        <v>179</v>
      </c>
      <c r="D76" s="63" t="s">
        <v>180</v>
      </c>
      <c r="E76" s="63" t="s">
        <v>178</v>
      </c>
      <c r="F76" s="63" t="s">
        <v>179</v>
      </c>
      <c r="G76" s="63" t="s">
        <v>180</v>
      </c>
      <c r="H76" s="63" t="s">
        <v>178</v>
      </c>
      <c r="I76" s="63" t="s">
        <v>179</v>
      </c>
      <c r="J76" s="63" t="s">
        <v>180</v>
      </c>
      <c r="K76" s="63" t="s">
        <v>178</v>
      </c>
      <c r="L76" s="63" t="s">
        <v>179</v>
      </c>
      <c r="M76" s="63" t="s">
        <v>180</v>
      </c>
    </row>
    <row r="77" ht="13.800000000000001" customHeight="1">
      <c r="A77" t="s">
        <v>75</v>
      </c>
      <c r="B77" s="63" t="s">
        <v>178</v>
      </c>
      <c r="C77" s="63" t="s">
        <v>179</v>
      </c>
      <c r="D77" s="63" t="s">
        <v>180</v>
      </c>
      <c r="E77" s="63" t="s">
        <v>178</v>
      </c>
      <c r="F77" s="63" t="s">
        <v>179</v>
      </c>
      <c r="G77" s="63" t="s">
        <v>180</v>
      </c>
      <c r="H77" s="63" t="s">
        <v>178</v>
      </c>
      <c r="I77" s="63" t="s">
        <v>179</v>
      </c>
      <c r="J77" s="63" t="s">
        <v>180</v>
      </c>
      <c r="K77" s="63" t="s">
        <v>178</v>
      </c>
      <c r="L77" s="63" t="s">
        <v>179</v>
      </c>
      <c r="M77" s="63" t="s">
        <v>180</v>
      </c>
    </row>
    <row r="78" ht="13.800000000000001" customHeight="1">
      <c r="A78" t="s">
        <v>76</v>
      </c>
      <c r="B78" s="63" t="s">
        <v>178</v>
      </c>
      <c r="C78" s="63" t="s">
        <v>179</v>
      </c>
      <c r="D78" s="63" t="s">
        <v>180</v>
      </c>
      <c r="E78" s="63" t="s">
        <v>178</v>
      </c>
      <c r="F78" s="63" t="s">
        <v>179</v>
      </c>
      <c r="G78" s="63" t="s">
        <v>180</v>
      </c>
      <c r="H78" s="63" t="s">
        <v>178</v>
      </c>
      <c r="I78" s="63" t="s">
        <v>179</v>
      </c>
      <c r="J78" s="63" t="s">
        <v>180</v>
      </c>
      <c r="K78" s="63" t="s">
        <v>178</v>
      </c>
      <c r="L78" s="63" t="s">
        <v>179</v>
      </c>
      <c r="M78" s="63" t="s">
        <v>180</v>
      </c>
    </row>
    <row r="79" ht="13.800000000000001" customHeight="1">
      <c r="A79" t="s">
        <v>77</v>
      </c>
      <c r="B79" s="63" t="s">
        <v>178</v>
      </c>
      <c r="C79" s="63" t="s">
        <v>179</v>
      </c>
      <c r="D79" s="63" t="s">
        <v>180</v>
      </c>
      <c r="E79" s="63" t="s">
        <v>178</v>
      </c>
      <c r="F79" s="63" t="s">
        <v>179</v>
      </c>
      <c r="G79" s="63" t="s">
        <v>180</v>
      </c>
      <c r="H79" s="63" t="s">
        <v>178</v>
      </c>
      <c r="I79" s="63" t="s">
        <v>179</v>
      </c>
      <c r="J79" s="63" t="s">
        <v>180</v>
      </c>
      <c r="K79" s="63" t="s">
        <v>178</v>
      </c>
      <c r="L79" s="63" t="s">
        <v>179</v>
      </c>
      <c r="M79" s="63" t="s">
        <v>180</v>
      </c>
    </row>
    <row r="81" ht="13.800000000000001" customHeight="1">
      <c r="A81" s="4" t="s">
        <v>181</v>
      </c>
      <c r="B81" s="43">
        <v>1</v>
      </c>
      <c r="C81" s="43">
        <v>2</v>
      </c>
      <c r="D81" s="43">
        <v>3</v>
      </c>
      <c r="E81" s="43">
        <v>4</v>
      </c>
      <c r="F81" s="43">
        <v>5</v>
      </c>
      <c r="G81" s="43">
        <v>6</v>
      </c>
      <c r="H81" s="43">
        <v>7</v>
      </c>
      <c r="I81" s="43">
        <v>8</v>
      </c>
      <c r="J81" s="43">
        <v>9</v>
      </c>
      <c r="K81" s="43">
        <v>10</v>
      </c>
      <c r="L81" s="43">
        <v>11</v>
      </c>
      <c r="M81" s="43">
        <v>12</v>
      </c>
    </row>
    <row r="82" ht="13.800000000000001" customHeight="1">
      <c r="A82" t="s">
        <v>70</v>
      </c>
      <c r="B82" s="63" t="s">
        <v>182</v>
      </c>
      <c r="C82" s="63" t="s">
        <v>182</v>
      </c>
      <c r="D82" s="63" t="s">
        <v>182</v>
      </c>
      <c r="E82" s="63" t="s">
        <v>183</v>
      </c>
      <c r="F82" s="63" t="s">
        <v>183</v>
      </c>
      <c r="G82" s="63" t="s">
        <v>183</v>
      </c>
      <c r="H82" s="63" t="s">
        <v>184</v>
      </c>
      <c r="I82" s="63" t="s">
        <v>184</v>
      </c>
      <c r="J82" s="63" t="s">
        <v>184</v>
      </c>
      <c r="K82" s="63" t="s">
        <v>185</v>
      </c>
      <c r="L82" s="63" t="s">
        <v>185</v>
      </c>
      <c r="M82" s="63" t="s">
        <v>185</v>
      </c>
    </row>
    <row r="83" ht="13.800000000000001" customHeight="1">
      <c r="A83" t="s">
        <v>71</v>
      </c>
      <c r="B83" s="63" t="s">
        <v>186</v>
      </c>
      <c r="C83" s="63" t="s">
        <v>186</v>
      </c>
      <c r="D83" s="63" t="s">
        <v>186</v>
      </c>
      <c r="E83" s="63" t="s">
        <v>187</v>
      </c>
      <c r="F83" s="63" t="s">
        <v>187</v>
      </c>
      <c r="G83" s="63" t="s">
        <v>187</v>
      </c>
      <c r="H83" s="63" t="s">
        <v>188</v>
      </c>
      <c r="I83" s="63" t="s">
        <v>188</v>
      </c>
      <c r="J83" s="63" t="s">
        <v>188</v>
      </c>
      <c r="K83" s="63" t="s">
        <v>189</v>
      </c>
      <c r="L83" s="63" t="s">
        <v>189</v>
      </c>
      <c r="M83" s="63" t="s">
        <v>189</v>
      </c>
    </row>
    <row r="84" ht="13.800000000000001" customHeight="1">
      <c r="A84" t="s">
        <v>72</v>
      </c>
      <c r="B84" s="63" t="s">
        <v>190</v>
      </c>
      <c r="C84" s="63" t="s">
        <v>190</v>
      </c>
      <c r="D84" s="63" t="s">
        <v>190</v>
      </c>
      <c r="E84" s="63" t="s">
        <v>191</v>
      </c>
      <c r="F84" s="63" t="s">
        <v>191</v>
      </c>
      <c r="G84" s="63" t="s">
        <v>191</v>
      </c>
      <c r="H84" s="63" t="s">
        <v>192</v>
      </c>
      <c r="I84" s="63" t="s">
        <v>192</v>
      </c>
      <c r="J84" s="63" t="s">
        <v>192</v>
      </c>
      <c r="K84" s="63" t="s">
        <v>193</v>
      </c>
      <c r="L84" s="63" t="s">
        <v>193</v>
      </c>
      <c r="M84" s="63" t="s">
        <v>193</v>
      </c>
    </row>
    <row r="85" ht="13.800000000000001" customHeight="1">
      <c r="A85" t="s">
        <v>73</v>
      </c>
      <c r="B85" s="63" t="s">
        <v>194</v>
      </c>
      <c r="C85" s="63" t="s">
        <v>194</v>
      </c>
      <c r="D85" s="63" t="s">
        <v>194</v>
      </c>
      <c r="E85" s="63" t="s">
        <v>195</v>
      </c>
      <c r="F85" s="63" t="s">
        <v>195</v>
      </c>
      <c r="G85" s="63" t="s">
        <v>195</v>
      </c>
      <c r="H85" s="63" t="s">
        <v>196</v>
      </c>
      <c r="I85" s="63" t="s">
        <v>196</v>
      </c>
      <c r="J85" s="63" t="s">
        <v>196</v>
      </c>
      <c r="K85" s="63" t="s">
        <v>197</v>
      </c>
      <c r="L85" s="63" t="s">
        <v>197</v>
      </c>
      <c r="M85" s="63" t="s">
        <v>197</v>
      </c>
    </row>
    <row r="86" ht="13.800000000000001" customHeight="1">
      <c r="A86" t="s">
        <v>74</v>
      </c>
      <c r="B86" s="63" t="s">
        <v>198</v>
      </c>
      <c r="C86" s="63" t="s">
        <v>198</v>
      </c>
      <c r="D86" s="63" t="s">
        <v>198</v>
      </c>
      <c r="E86" s="63" t="s">
        <v>199</v>
      </c>
      <c r="F86" s="63" t="s">
        <v>199</v>
      </c>
      <c r="G86" s="63" t="s">
        <v>199</v>
      </c>
      <c r="H86" s="63" t="s">
        <v>200</v>
      </c>
      <c r="I86" s="63" t="s">
        <v>200</v>
      </c>
      <c r="J86" s="63" t="s">
        <v>200</v>
      </c>
      <c r="K86" s="63" t="s">
        <v>201</v>
      </c>
      <c r="L86" s="63" t="s">
        <v>201</v>
      </c>
      <c r="M86" s="63" t="s">
        <v>201</v>
      </c>
    </row>
    <row r="87" ht="13.800000000000001" customHeight="1">
      <c r="A87" t="s">
        <v>75</v>
      </c>
      <c r="B87" s="63" t="s">
        <v>202</v>
      </c>
      <c r="C87" s="63" t="s">
        <v>202</v>
      </c>
      <c r="D87" s="63" t="s">
        <v>202</v>
      </c>
      <c r="E87" s="63" t="s">
        <v>203</v>
      </c>
      <c r="F87" s="63" t="s">
        <v>203</v>
      </c>
      <c r="G87" s="63" t="s">
        <v>203</v>
      </c>
      <c r="H87" s="63" t="s">
        <v>204</v>
      </c>
      <c r="I87" s="63" t="s">
        <v>204</v>
      </c>
      <c r="J87" s="63" t="s">
        <v>204</v>
      </c>
      <c r="K87" s="63" t="s">
        <v>205</v>
      </c>
      <c r="L87" s="63" t="s">
        <v>205</v>
      </c>
      <c r="M87" s="63" t="s">
        <v>205</v>
      </c>
    </row>
    <row r="88" ht="13.800000000000001" customHeight="1">
      <c r="A88" t="s">
        <v>76</v>
      </c>
      <c r="B88" s="63" t="s">
        <v>206</v>
      </c>
      <c r="C88" s="63" t="s">
        <v>206</v>
      </c>
      <c r="D88" s="63" t="s">
        <v>206</v>
      </c>
      <c r="E88" s="63" t="s">
        <v>207</v>
      </c>
      <c r="F88" s="63" t="s">
        <v>207</v>
      </c>
      <c r="G88" s="63" t="s">
        <v>207</v>
      </c>
      <c r="H88" s="63" t="s">
        <v>208</v>
      </c>
      <c r="I88" s="63" t="s">
        <v>208</v>
      </c>
      <c r="J88" s="63" t="s">
        <v>208</v>
      </c>
      <c r="K88" s="63" t="s">
        <v>209</v>
      </c>
      <c r="L88" s="63" t="s">
        <v>209</v>
      </c>
      <c r="M88" s="63" t="s">
        <v>209</v>
      </c>
    </row>
    <row r="89" ht="13.800000000000001" customHeight="1">
      <c r="A89" t="s">
        <v>77</v>
      </c>
      <c r="B89" s="63" t="s">
        <v>210</v>
      </c>
      <c r="C89" s="63" t="s">
        <v>210</v>
      </c>
      <c r="D89" s="63" t="s">
        <v>210</v>
      </c>
      <c r="E89" s="63" t="s">
        <v>211</v>
      </c>
      <c r="F89" s="63" t="s">
        <v>211</v>
      </c>
      <c r="G89" s="63" t="s">
        <v>211</v>
      </c>
      <c r="H89" s="63" t="s">
        <v>212</v>
      </c>
      <c r="I89" s="63" t="s">
        <v>212</v>
      </c>
      <c r="J89" s="63" t="s">
        <v>212</v>
      </c>
      <c r="K89" s="63" t="s">
        <v>213</v>
      </c>
      <c r="L89" s="63" t="s">
        <v>213</v>
      </c>
      <c r="M89" s="63" t="s">
        <v>213</v>
      </c>
    </row>
    <row r="91" ht="13.800000000000001" customHeight="1">
      <c r="A91" s="4" t="s">
        <v>214</v>
      </c>
      <c r="B91" s="43">
        <v>1</v>
      </c>
      <c r="C91" s="43">
        <v>2</v>
      </c>
      <c r="D91" s="43">
        <v>3</v>
      </c>
      <c r="E91" s="43">
        <v>4</v>
      </c>
      <c r="F91" s="43">
        <v>5</v>
      </c>
      <c r="G91" s="43">
        <v>6</v>
      </c>
      <c r="H91" s="43">
        <v>7</v>
      </c>
      <c r="I91" s="43">
        <v>8</v>
      </c>
      <c r="J91" s="43">
        <v>9</v>
      </c>
      <c r="K91" s="43">
        <v>10</v>
      </c>
      <c r="L91" s="43">
        <v>11</v>
      </c>
      <c r="M91" s="43">
        <v>12</v>
      </c>
    </row>
    <row r="92" ht="13.800000000000001" customHeight="1">
      <c r="A92" t="s">
        <v>70</v>
      </c>
      <c r="B92" s="43" t="str">
        <f>description!$B$24</f>
        <v>it1/T4</v>
      </c>
      <c r="C92" s="43" t="str">
        <f>description!$B$24</f>
        <v>it1/T4</v>
      </c>
      <c r="D92" s="43" t="str">
        <f>description!$B$24</f>
        <v>it1/T4</v>
      </c>
      <c r="E92" s="43" t="str">
        <f>description!$B$24</f>
        <v>it1/T4</v>
      </c>
      <c r="F92" s="43" t="str">
        <f>description!$B$24</f>
        <v>it1/T4</v>
      </c>
      <c r="G92" s="43" t="str">
        <f>description!$B$24</f>
        <v>it1/T4</v>
      </c>
      <c r="H92" s="43" t="str">
        <f>description!$B$25</f>
        <v>it2/53</v>
      </c>
      <c r="I92" s="43" t="str">
        <f>description!$B$25</f>
        <v>it2/53</v>
      </c>
      <c r="J92" s="43" t="str">
        <f>description!$B$25</f>
        <v>it2/53</v>
      </c>
      <c r="K92" s="43" t="str">
        <f>description!$B$25</f>
        <v>it2/53</v>
      </c>
      <c r="L92" s="43" t="str">
        <f>description!$B$25</f>
        <v>it2/53</v>
      </c>
      <c r="M92" s="43" t="str">
        <f>description!$B$25</f>
        <v>it2/53</v>
      </c>
    </row>
    <row r="93" ht="13.800000000000001" customHeight="1">
      <c r="A93" t="s">
        <v>71</v>
      </c>
      <c r="B93" s="43" t="str">
        <f>description!$B$24</f>
        <v>it1/T4</v>
      </c>
      <c r="C93" s="43" t="str">
        <f>description!$B$24</f>
        <v>it1/T4</v>
      </c>
      <c r="D93" s="43" t="str">
        <f>description!$B$24</f>
        <v>it1/T4</v>
      </c>
      <c r="E93" s="43" t="str">
        <f>description!$B$24</f>
        <v>it1/T4</v>
      </c>
      <c r="F93" s="43" t="str">
        <f>description!$B$24</f>
        <v>it1/T4</v>
      </c>
      <c r="G93" s="43" t="str">
        <f>description!$B$24</f>
        <v>it1/T4</v>
      </c>
      <c r="H93" s="43" t="str">
        <f>description!$B$25</f>
        <v>it2/53</v>
      </c>
      <c r="I93" s="43" t="str">
        <f>description!$B$25</f>
        <v>it2/53</v>
      </c>
      <c r="J93" s="43" t="str">
        <f>description!$B$25</f>
        <v>it2/53</v>
      </c>
      <c r="K93" s="43" t="str">
        <f>description!$B$25</f>
        <v>it2/53</v>
      </c>
      <c r="L93" s="43" t="str">
        <f>description!$B$25</f>
        <v>it2/53</v>
      </c>
      <c r="M93" s="43" t="str">
        <f>description!$B$25</f>
        <v>it2/53</v>
      </c>
    </row>
    <row r="94" ht="13.800000000000001" customHeight="1">
      <c r="A94" t="s">
        <v>72</v>
      </c>
      <c r="B94" s="43" t="str">
        <f>description!$B$24</f>
        <v>it1/T4</v>
      </c>
      <c r="C94" s="43" t="str">
        <f>description!$B$24</f>
        <v>it1/T4</v>
      </c>
      <c r="D94" s="43" t="str">
        <f>description!$B$24</f>
        <v>it1/T4</v>
      </c>
      <c r="E94" s="43" t="str">
        <f>description!$B$24</f>
        <v>it1/T4</v>
      </c>
      <c r="F94" s="43" t="str">
        <f>description!$B$24</f>
        <v>it1/T4</v>
      </c>
      <c r="G94" s="43" t="str">
        <f>description!$B$24</f>
        <v>it1/T4</v>
      </c>
      <c r="H94" s="43" t="str">
        <f>description!$B$25</f>
        <v>it2/53</v>
      </c>
      <c r="I94" s="43" t="str">
        <f>description!$B$25</f>
        <v>it2/53</v>
      </c>
      <c r="J94" s="43" t="str">
        <f>description!$B$25</f>
        <v>it2/53</v>
      </c>
      <c r="K94" s="43" t="str">
        <f>description!$B$25</f>
        <v>it2/53</v>
      </c>
      <c r="L94" s="43" t="str">
        <f>description!$B$25</f>
        <v>it2/53</v>
      </c>
      <c r="M94" s="43" t="str">
        <f>description!$B$25</f>
        <v>it2/53</v>
      </c>
    </row>
    <row r="95" ht="13.800000000000001" customHeight="1">
      <c r="A95" t="s">
        <v>73</v>
      </c>
      <c r="B95" s="43" t="str">
        <f>description!$B$24</f>
        <v>it1/T4</v>
      </c>
      <c r="C95" s="43" t="str">
        <f>description!$B$24</f>
        <v>it1/T4</v>
      </c>
      <c r="D95" s="43" t="str">
        <f>description!$B$24</f>
        <v>it1/T4</v>
      </c>
      <c r="E95" s="43" t="str">
        <f>description!$B$24</f>
        <v>it1/T4</v>
      </c>
      <c r="F95" s="43" t="str">
        <f>description!$B$24</f>
        <v>it1/T4</v>
      </c>
      <c r="G95" s="43" t="str">
        <f>description!$B$24</f>
        <v>it1/T4</v>
      </c>
      <c r="H95" s="43" t="str">
        <f>description!$B$25</f>
        <v>it2/53</v>
      </c>
      <c r="I95" s="43" t="str">
        <f>description!$B$25</f>
        <v>it2/53</v>
      </c>
      <c r="J95" s="43" t="str">
        <f>description!$B$25</f>
        <v>it2/53</v>
      </c>
      <c r="K95" s="43" t="str">
        <f>description!$B$25</f>
        <v>it2/53</v>
      </c>
      <c r="L95" s="43" t="str">
        <f>description!$B$25</f>
        <v>it2/53</v>
      </c>
      <c r="M95" s="43" t="str">
        <f>description!$B$25</f>
        <v>it2/53</v>
      </c>
    </row>
    <row r="96" ht="13.800000000000001" customHeight="1">
      <c r="A96" t="s">
        <v>74</v>
      </c>
      <c r="B96" s="43" t="str">
        <f>description!$B$24</f>
        <v>it1/T4</v>
      </c>
      <c r="C96" s="43" t="str">
        <f>description!$B$24</f>
        <v>it1/T4</v>
      </c>
      <c r="D96" s="43" t="str">
        <f>description!$B$24</f>
        <v>it1/T4</v>
      </c>
      <c r="E96" s="43" t="str">
        <f>description!$B$24</f>
        <v>it1/T4</v>
      </c>
      <c r="F96" s="43" t="str">
        <f>description!$B$24</f>
        <v>it1/T4</v>
      </c>
      <c r="G96" s="43" t="str">
        <f>description!$B$24</f>
        <v>it1/T4</v>
      </c>
      <c r="H96" s="43" t="str">
        <f>description!$B$25</f>
        <v>it2/53</v>
      </c>
      <c r="I96" s="43" t="str">
        <f>description!$B$25</f>
        <v>it2/53</v>
      </c>
      <c r="J96" s="43" t="str">
        <f>description!$B$25</f>
        <v>it2/53</v>
      </c>
      <c r="K96" s="43" t="str">
        <f>description!$B$25</f>
        <v>it2/53</v>
      </c>
      <c r="L96" s="43" t="str">
        <f>description!$B$25</f>
        <v>it2/53</v>
      </c>
      <c r="M96" s="43" t="str">
        <f>description!$B$25</f>
        <v>it2/53</v>
      </c>
    </row>
    <row r="97" ht="13.800000000000001" customHeight="1">
      <c r="A97" t="s">
        <v>75</v>
      </c>
      <c r="B97" s="43" t="str">
        <f>description!$B$24</f>
        <v>it1/T4</v>
      </c>
      <c r="C97" s="43" t="str">
        <f>description!$B$24</f>
        <v>it1/T4</v>
      </c>
      <c r="D97" s="43" t="str">
        <f>description!$B$24</f>
        <v>it1/T4</v>
      </c>
      <c r="E97" s="43" t="str">
        <f>description!$B$24</f>
        <v>it1/T4</v>
      </c>
      <c r="F97" s="43" t="str">
        <f>description!$B$24</f>
        <v>it1/T4</v>
      </c>
      <c r="G97" s="43" t="str">
        <f>description!$B$24</f>
        <v>it1/T4</v>
      </c>
      <c r="H97" s="43" t="str">
        <f>description!$B$25</f>
        <v>it2/53</v>
      </c>
      <c r="I97" s="43" t="str">
        <f>description!$B$25</f>
        <v>it2/53</v>
      </c>
      <c r="J97" s="43" t="str">
        <f>description!$B$25</f>
        <v>it2/53</v>
      </c>
      <c r="K97" s="43" t="str">
        <f>description!$B$25</f>
        <v>it2/53</v>
      </c>
      <c r="L97" s="43" t="str">
        <f>description!$B$25</f>
        <v>it2/53</v>
      </c>
      <c r="M97" s="43" t="str">
        <f>description!$B$25</f>
        <v>it2/53</v>
      </c>
    </row>
    <row r="98" ht="13.800000000000001" customHeight="1">
      <c r="A98" t="s">
        <v>76</v>
      </c>
      <c r="B98" s="43" t="str">
        <f>description!$B$24</f>
        <v>it1/T4</v>
      </c>
      <c r="C98" s="43" t="str">
        <f>description!$B$24</f>
        <v>it1/T4</v>
      </c>
      <c r="D98" s="43" t="str">
        <f>description!$B$24</f>
        <v>it1/T4</v>
      </c>
      <c r="E98" s="43" t="str">
        <f>description!$B$24</f>
        <v>it1/T4</v>
      </c>
      <c r="F98" s="43" t="str">
        <f>description!$B$24</f>
        <v>it1/T4</v>
      </c>
      <c r="G98" s="43" t="str">
        <f>description!$B$24</f>
        <v>it1/T4</v>
      </c>
      <c r="H98" s="43" t="str">
        <f>description!$B$25</f>
        <v>it2/53</v>
      </c>
      <c r="I98" s="43" t="str">
        <f>description!$B$25</f>
        <v>it2/53</v>
      </c>
      <c r="J98" s="43" t="str">
        <f>description!$B$25</f>
        <v>it2/53</v>
      </c>
      <c r="K98" s="43" t="str">
        <f>description!$B$25</f>
        <v>it2/53</v>
      </c>
      <c r="L98" s="43" t="str">
        <f>description!$B$25</f>
        <v>it2/53</v>
      </c>
      <c r="M98" s="43" t="str">
        <f>description!$B$25</f>
        <v>it2/53</v>
      </c>
    </row>
    <row r="99" ht="13.800000000000001" customHeight="1">
      <c r="A99" t="s">
        <v>77</v>
      </c>
      <c r="B99" s="43" t="str">
        <f>description!$B$24</f>
        <v>it1/T4</v>
      </c>
      <c r="C99" s="43" t="str">
        <f>description!$B$24</f>
        <v>it1/T4</v>
      </c>
      <c r="D99" s="43" t="str">
        <f>description!$B$24</f>
        <v>it1/T4</v>
      </c>
      <c r="E99" s="43" t="str">
        <f>description!$B$24</f>
        <v>it1/T4</v>
      </c>
      <c r="F99" s="43" t="str">
        <f>description!$B$24</f>
        <v>it1/T4</v>
      </c>
      <c r="G99" s="43" t="str">
        <f>description!$B$24</f>
        <v>it1/T4</v>
      </c>
      <c r="H99" s="43" t="str">
        <f>description!$B$25</f>
        <v>it2/53</v>
      </c>
      <c r="I99" s="43" t="str">
        <f>description!$B$25</f>
        <v>it2/53</v>
      </c>
      <c r="J99" s="43" t="str">
        <f>description!$B$25</f>
        <v>it2/53</v>
      </c>
      <c r="K99" s="43" t="str">
        <f>description!$B$25</f>
        <v>it2/53</v>
      </c>
      <c r="L99" s="43" t="str">
        <f>description!$B$25</f>
        <v>it2/53</v>
      </c>
      <c r="M99" s="43" t="str">
        <f>description!$B$25</f>
        <v>it2/53</v>
      </c>
    </row>
    <row r="101" ht="13.800000000000001" customHeight="1">
      <c r="A101" s="2" t="s">
        <v>215</v>
      </c>
      <c r="B101" s="2" t="s">
        <v>216</v>
      </c>
    </row>
    <row r="102" ht="13.800000000000001" customHeight="1">
      <c r="A102" s="62">
        <f>'raw data'!A51</f>
        <v>0</v>
      </c>
      <c r="B102" s="62">
        <f>'raw data'!B51</f>
        <v>0</v>
      </c>
    </row>
    <row r="103" ht="13.800000000000001" customHeight="1">
      <c r="A103" s="62">
        <f>'raw data'!A52</f>
        <v>0</v>
      </c>
      <c r="B103" s="62">
        <f>'raw data'!B52</f>
        <v>0</v>
      </c>
    </row>
    <row r="104" ht="13.800000000000001" customHeight="1">
      <c r="A104" s="62">
        <f>'raw data'!A53</f>
        <v>0</v>
      </c>
      <c r="B104" s="62">
        <f>'raw data'!B53</f>
        <v>0</v>
      </c>
    </row>
    <row r="105" ht="13.800000000000001" customHeight="1">
      <c r="A105" s="62">
        <f>'raw data'!A54</f>
        <v>0</v>
      </c>
      <c r="B105" s="62">
        <f>'raw data'!B54</f>
        <v>0</v>
      </c>
    </row>
    <row r="106" ht="13.800000000000001" customHeight="1">
      <c r="A106" s="95" t="s">
        <v>215</v>
      </c>
      <c r="B106" s="95" t="s">
        <v>216</v>
      </c>
    </row>
    <row r="107" ht="13.800000000000001" customHeight="1">
      <c r="A107" s="62">
        <f>'raw data'!A55</f>
        <v>0</v>
      </c>
      <c r="B107" s="62">
        <f>'raw data'!B55</f>
        <v>0</v>
      </c>
    </row>
    <row r="108" ht="13.800000000000001" customHeight="1">
      <c r="A108" s="62">
        <f>'raw data'!A56</f>
        <v>0</v>
      </c>
      <c r="B108" s="62">
        <f>'raw data'!B56</f>
        <v>0</v>
      </c>
    </row>
    <row r="109" ht="13.800000000000001" customHeight="1">
      <c r="A109" s="62">
        <f>'raw data'!A57</f>
        <v>0</v>
      </c>
      <c r="B109" s="62">
        <f>'raw data'!B57</f>
        <v>0</v>
      </c>
    </row>
    <row r="110" ht="13.800000000000001" customHeight="1">
      <c r="A110" s="62">
        <f>'raw data'!A58</f>
        <v>0</v>
      </c>
      <c r="B110" s="62">
        <f>'raw data'!B58</f>
        <v>0</v>
      </c>
    </row>
    <row r="111" ht="13.800000000000001" customHeight="1">
      <c r="A111" s="62">
        <f>'raw data'!A59</f>
        <v>0</v>
      </c>
      <c r="B111" s="62">
        <f>'raw data'!B59</f>
        <v>0</v>
      </c>
    </row>
    <row r="112" ht="14.25">
      <c r="A112" s="62">
        <f>'raw data'!A60</f>
        <v>0</v>
      </c>
      <c r="B112" s="62">
        <f>'raw data'!B60</f>
        <v>0</v>
      </c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printOptions headings="0" gridLines="0"/>
  <pageMargins left="0.78750000000000009" right="0.78750000000000009" top="1.05277777777778" bottom="1.05277777777778" header="0.78750000000000009" footer="0.7875000000000000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 scaleWithDoc="0">
    <oddHeader>&amp;L&amp;C&amp;"Times New Roman,Regular"&amp;12&amp;Kffffff&amp;A&amp;R</oddHeader>
    <oddFooter>&amp;L&amp;C&amp;"Times New Roman,Regular"&amp;12&amp;KffffffPage &amp;P&amp;R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zoomScale="100" workbookViewId="0">
      <selection activeCell="A19" activeCellId="0" sqref="A19"/>
    </sheetView>
  </sheetViews>
  <sheetFormatPr baseColWidth="10" defaultRowHeight="15"/>
  <cols>
    <col customWidth="1" min="1" max="1" width="14.449999999999999"/>
  </cols>
  <sheetData>
    <row r="1" ht="13.800000000000001" customHeight="1">
      <c r="A1" s="4" t="s">
        <v>217</v>
      </c>
    </row>
    <row r="2" ht="13.800000000000001" customHeight="1">
      <c r="A2" t="s">
        <v>218</v>
      </c>
      <c r="B2">
        <v>3000</v>
      </c>
      <c r="C2" t="s">
        <v>79</v>
      </c>
    </row>
    <row r="3" ht="13.800000000000001" customHeight="1">
      <c r="A3" t="s">
        <v>68</v>
      </c>
      <c r="B3">
        <v>110</v>
      </c>
      <c r="C3" t="s">
        <v>79</v>
      </c>
    </row>
    <row r="4" ht="13.800000000000001" customHeight="1">
      <c r="A4" t="s">
        <v>69</v>
      </c>
      <c r="B4">
        <v>30</v>
      </c>
      <c r="C4" t="s">
        <v>79</v>
      </c>
    </row>
    <row r="5" ht="13.800000000000001" customHeight="1">
      <c r="A5" t="s">
        <v>219</v>
      </c>
      <c r="B5">
        <v>62.5</v>
      </c>
      <c r="C5" t="s">
        <v>79</v>
      </c>
    </row>
    <row r="7" ht="13.800000000000001" customHeight="1">
      <c r="A7" s="4" t="s">
        <v>220</v>
      </c>
    </row>
    <row r="8" ht="13.800000000000001" customHeight="1">
      <c r="A8" t="s">
        <v>41</v>
      </c>
    </row>
    <row r="9" ht="13.800000000000001" customHeight="1">
      <c r="A9">
        <v>0</v>
      </c>
    </row>
    <row r="10" ht="13.800000000000001" customHeight="1">
      <c r="A10">
        <f t="shared" ref="A10:A15" si="22">A11/4</f>
        <v>0.7578125</v>
      </c>
    </row>
    <row r="11" ht="13.800000000000001" customHeight="1">
      <c r="A11">
        <f t="shared" si="22"/>
        <v>3.03125</v>
      </c>
    </row>
    <row r="12" ht="13.800000000000001" customHeight="1">
      <c r="A12">
        <f t="shared" si="22"/>
        <v>12.125</v>
      </c>
    </row>
    <row r="13" ht="13.800000000000001" customHeight="1">
      <c r="A13">
        <f t="shared" si="22"/>
        <v>48.5</v>
      </c>
    </row>
    <row r="14" ht="13.800000000000001" customHeight="1">
      <c r="A14">
        <f t="shared" si="22"/>
        <v>194</v>
      </c>
    </row>
    <row r="15" ht="13.800000000000001" customHeight="1">
      <c r="A15">
        <f t="shared" si="22"/>
        <v>776</v>
      </c>
    </row>
    <row r="16" ht="13.800000000000001" customHeight="1">
      <c r="A16">
        <f>B16</f>
        <v>3104</v>
      </c>
      <c r="B16" s="96">
        <f>(480*B20/(480+720))/100</f>
        <v>3104</v>
      </c>
      <c r="C16" s="97" t="s">
        <v>221</v>
      </c>
    </row>
    <row r="17" ht="13.800000000000001" customHeight="1">
      <c r="C17" s="4"/>
    </row>
    <row r="18" ht="13.800000000000001" customHeight="1">
      <c r="A18" s="4" t="s">
        <v>222</v>
      </c>
      <c r="C18" s="4"/>
    </row>
    <row r="19" ht="13.800000000000001" customHeight="1">
      <c r="A19" t="s">
        <v>223</v>
      </c>
      <c r="B19">
        <v>776.87</v>
      </c>
      <c r="C19" s="4"/>
    </row>
    <row r="20" ht="13.800000000000001" customHeight="1">
      <c r="A20" t="s">
        <v>224</v>
      </c>
      <c r="B20">
        <f>3880/0.005</f>
        <v>776000</v>
      </c>
      <c r="C20" s="97" t="s">
        <v>221</v>
      </c>
    </row>
    <row r="21" ht="13.800000000000001" customHeight="1">
      <c r="A21" t="s">
        <v>224</v>
      </c>
      <c r="B21">
        <f>(B20*10^-6/B19)</f>
        <v>0.00099888012151325188</v>
      </c>
      <c r="C21" s="97" t="s">
        <v>225</v>
      </c>
    </row>
    <row r="23" ht="13.800000000000001" customHeight="1">
      <c r="A23" s="4" t="s">
        <v>226</v>
      </c>
    </row>
    <row r="24" ht="13.800000000000001" customHeight="1">
      <c r="A24" s="12" t="s">
        <v>227</v>
      </c>
      <c r="B24" s="12">
        <v>0.20000000000000001</v>
      </c>
    </row>
    <row r="26" ht="13.800000000000001" customHeight="1">
      <c r="A26" s="4" t="s">
        <v>228</v>
      </c>
    </row>
    <row r="27" ht="13.800000000000001" customHeight="1">
      <c r="A27" t="s">
        <v>229</v>
      </c>
      <c r="B27">
        <v>65</v>
      </c>
      <c r="C27" t="s">
        <v>158</v>
      </c>
    </row>
    <row r="28" ht="13.800000000000001" customHeight="1">
      <c r="A28" t="s">
        <v>230</v>
      </c>
      <c r="B28">
        <v>135</v>
      </c>
      <c r="C28" t="s">
        <v>158</v>
      </c>
    </row>
    <row r="30" ht="13.800000000000001" customHeight="1">
      <c r="A30" s="4" t="s">
        <v>231</v>
      </c>
    </row>
    <row r="31" ht="13.800000000000001" customHeight="1">
      <c r="A31" t="s">
        <v>232</v>
      </c>
      <c r="B31">
        <v>-10</v>
      </c>
      <c r="C31" t="s">
        <v>158</v>
      </c>
    </row>
    <row r="32" ht="13.800000000000001" customHeight="1">
      <c r="A32" t="s">
        <v>233</v>
      </c>
      <c r="B32">
        <v>10</v>
      </c>
      <c r="C32" t="s">
        <v>158</v>
      </c>
    </row>
    <row r="34" ht="13.800000000000001" customHeight="1">
      <c r="A34" s="4" t="s">
        <v>234</v>
      </c>
    </row>
    <row r="35" ht="13.800000000000001" customHeight="1">
      <c r="A35" t="s">
        <v>235</v>
      </c>
      <c r="B35">
        <v>65</v>
      </c>
      <c r="C35" t="s">
        <v>158</v>
      </c>
    </row>
    <row r="36" ht="13.800000000000001" customHeight="1">
      <c r="A36" t="s">
        <v>236</v>
      </c>
      <c r="B36">
        <v>135</v>
      </c>
      <c r="C36" t="s">
        <v>158</v>
      </c>
    </row>
    <row r="38" ht="14.25" customHeight="1">
      <c r="A38" s="4" t="s">
        <v>237</v>
      </c>
    </row>
    <row r="39" ht="14.25" customHeight="1">
      <c r="A39" s="12" t="s">
        <v>238</v>
      </c>
      <c r="B39" s="12" t="s">
        <v>239</v>
      </c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printOptions headings="0" gridLines="0"/>
  <pageMargins left="0.78750000000000009" right="0.78750000000000009" top="1.05277777777778" bottom="1.05277777777778" header="0.78750000000000009" footer="0.7875000000000000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 scaleWithDoc="0">
    <oddHeader>&amp;L&amp;C&amp;"Times New Roman,Regular"&amp;12&amp;Kffffff&amp;A&amp;R</oddHeader>
    <oddFooter>&amp;L&amp;C&amp;"Times New Roman,Regular"&amp;12&amp;KffffffPage &amp;P&amp;R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ONLYOFFICE/8.1.1.27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FITC-T4 TTR binding assay, data entry template, version 7</dc:title>
  <dc:subject/>
  <dc:creator>T.H.M. Hamers</dc:creator>
  <dc:description/>
  <dc:language>en-US</dc:language>
  <cp:revision>137</cp:revision>
  <dcterms:created xsi:type="dcterms:W3CDTF">2020-07-27T14:15:59Z</dcterms:created>
  <dcterms:modified xsi:type="dcterms:W3CDTF">2025-02-13T20:28:36Z</dcterms:modified>
</cp:coreProperties>
</file>