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ARPA Perceptor AMP\Calibrations_Measurement\"/>
    </mc:Choice>
  </mc:AlternateContent>
  <xr:revisionPtr revIDLastSave="0" documentId="13_ncr:1_{83058C55-6966-4849-83BB-A80EA71FABC2}" xr6:coauthVersionLast="47" xr6:coauthVersionMax="47" xr10:uidLastSave="{00000000-0000-0000-0000-000000000000}"/>
  <bookViews>
    <workbookView xWindow="-28920" yWindow="-120" windowWidth="29040" windowHeight="15840" xr2:uid="{5137B1A7-6F80-4A42-A495-EFB98EF334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C35" i="1"/>
  <c r="C34" i="1"/>
  <c r="C33" i="1"/>
  <c r="C11" i="2"/>
  <c r="C10" i="2"/>
  <c r="C9" i="2"/>
  <c r="C8" i="2"/>
  <c r="E26" i="1"/>
  <c r="F59" i="1"/>
  <c r="F71" i="1"/>
  <c r="C58" i="1"/>
  <c r="C60" i="1"/>
  <c r="D60" i="1" s="1"/>
  <c r="C70" i="1"/>
  <c r="D70" i="1" s="1"/>
  <c r="M59" i="1"/>
  <c r="M71" i="1"/>
  <c r="L59" i="1"/>
  <c r="L71" i="1"/>
  <c r="L47" i="1"/>
  <c r="M47" i="1"/>
  <c r="F47" i="1"/>
  <c r="D69" i="1" l="1"/>
  <c r="F70" i="1"/>
  <c r="D61" i="1"/>
  <c r="F60" i="1"/>
  <c r="D58" i="1"/>
  <c r="M58" i="1" s="1"/>
  <c r="M70" i="1"/>
  <c r="L70" i="1"/>
  <c r="L60" i="1"/>
  <c r="M60" i="1"/>
  <c r="C48" i="1"/>
  <c r="D48" i="1" s="1"/>
  <c r="F58" i="1" l="1"/>
  <c r="D57" i="1"/>
  <c r="L57" i="1" s="1"/>
  <c r="L58" i="1"/>
  <c r="D68" i="1"/>
  <c r="F69" i="1"/>
  <c r="D49" i="1"/>
  <c r="F48" i="1"/>
  <c r="D62" i="1"/>
  <c r="F61" i="1"/>
  <c r="M69" i="1"/>
  <c r="L69" i="1"/>
  <c r="M61" i="1"/>
  <c r="L61" i="1"/>
  <c r="F49" i="1" l="1"/>
  <c r="D50" i="1"/>
  <c r="D63" i="1"/>
  <c r="F62" i="1"/>
  <c r="D56" i="1"/>
  <c r="L56" i="1" s="1"/>
  <c r="F57" i="1"/>
  <c r="M57" i="1"/>
  <c r="D67" i="1"/>
  <c r="F68" i="1"/>
  <c r="L48" i="1"/>
  <c r="M48" i="1"/>
  <c r="M68" i="1"/>
  <c r="L68" i="1"/>
  <c r="M62" i="1"/>
  <c r="L62" i="1"/>
  <c r="D64" i="1" l="1"/>
  <c r="F63" i="1"/>
  <c r="D55" i="1"/>
  <c r="M55" i="1" s="1"/>
  <c r="F56" i="1"/>
  <c r="M56" i="1"/>
  <c r="D66" i="1"/>
  <c r="F66" i="1" s="1"/>
  <c r="F67" i="1"/>
  <c r="D51" i="1"/>
  <c r="F50" i="1"/>
  <c r="L49" i="1"/>
  <c r="M49" i="1"/>
  <c r="M63" i="1"/>
  <c r="L63" i="1"/>
  <c r="M67" i="1"/>
  <c r="L67" i="1"/>
  <c r="L55" i="1" l="1"/>
  <c r="D65" i="1"/>
  <c r="F65" i="1" s="1"/>
  <c r="F64" i="1"/>
  <c r="D52" i="1"/>
  <c r="F51" i="1"/>
  <c r="D54" i="1"/>
  <c r="L54" i="1" s="1"/>
  <c r="F55" i="1"/>
  <c r="C38" i="1"/>
  <c r="L66" i="1"/>
  <c r="M66" i="1"/>
  <c r="F54" i="1" l="1"/>
  <c r="C39" i="1"/>
  <c r="M54" i="1"/>
  <c r="D53" i="1"/>
  <c r="F53" i="1" s="1"/>
  <c r="F52" i="1"/>
  <c r="M50" i="1"/>
  <c r="L50" i="1"/>
  <c r="C32" i="1" l="1"/>
  <c r="C31" i="1"/>
  <c r="M51" i="1"/>
  <c r="L51" i="1"/>
  <c r="L52" i="1" l="1"/>
  <c r="M52" i="1"/>
  <c r="L53" i="1" l="1"/>
  <c r="M53" i="1"/>
  <c r="L64" i="1" l="1"/>
  <c r="M64" i="1"/>
  <c r="L65" i="1" l="1"/>
  <c r="C27" i="1"/>
  <c r="M65" i="1"/>
  <c r="C25" i="1"/>
  <c r="C24" i="1"/>
  <c r="C28" i="1" l="1"/>
  <c r="G53" i="1"/>
  <c r="H53" i="1" s="1"/>
  <c r="G57" i="1"/>
  <c r="H57" i="1" s="1"/>
  <c r="G65" i="1"/>
  <c r="H65" i="1" s="1"/>
  <c r="G61" i="1"/>
  <c r="H61" i="1" s="1"/>
  <c r="G48" i="1"/>
  <c r="G58" i="1"/>
  <c r="H58" i="1" s="1"/>
  <c r="G66" i="1"/>
  <c r="H66" i="1" s="1"/>
  <c r="G49" i="1"/>
  <c r="G59" i="1"/>
  <c r="H59" i="1" s="1"/>
  <c r="G67" i="1"/>
  <c r="H67" i="1" s="1"/>
  <c r="G51" i="1"/>
  <c r="H51" i="1" s="1"/>
  <c r="G60" i="1"/>
  <c r="H60" i="1" s="1"/>
  <c r="G68" i="1"/>
  <c r="H68" i="1" s="1"/>
  <c r="G52" i="1"/>
  <c r="H52" i="1" s="1"/>
  <c r="G54" i="1"/>
  <c r="G62" i="1"/>
  <c r="H62" i="1" s="1"/>
  <c r="G55" i="1"/>
  <c r="H55" i="1" s="1"/>
  <c r="G63" i="1"/>
  <c r="H63" i="1" s="1"/>
  <c r="G71" i="1"/>
  <c r="H71" i="1" s="1"/>
  <c r="G69" i="1"/>
  <c r="G50" i="1"/>
  <c r="H50" i="1" s="1"/>
  <c r="G70" i="1"/>
  <c r="H70" i="1" s="1"/>
  <c r="G47" i="1"/>
  <c r="J47" i="1" s="1"/>
  <c r="G56" i="1"/>
  <c r="H56" i="1" s="1"/>
  <c r="G64" i="1"/>
  <c r="H64" i="1" s="1"/>
  <c r="I51" i="1" l="1"/>
  <c r="H54" i="1"/>
  <c r="I54" i="1"/>
  <c r="J54" i="1"/>
  <c r="H69" i="1"/>
  <c r="J69" i="1"/>
  <c r="H47" i="1"/>
  <c r="I47" i="1"/>
  <c r="H48" i="1"/>
  <c r="I48" i="1"/>
  <c r="J48" i="1"/>
  <c r="H49" i="1"/>
  <c r="J49" i="1"/>
  <c r="J52" i="1"/>
  <c r="I52" i="1"/>
  <c r="J51" i="1"/>
  <c r="J66" i="1"/>
  <c r="I66" i="1"/>
  <c r="J59" i="1"/>
  <c r="I59" i="1"/>
  <c r="J50" i="1"/>
  <c r="I50" i="1"/>
  <c r="I67" i="1"/>
  <c r="J67" i="1"/>
  <c r="J56" i="1"/>
  <c r="I56" i="1"/>
  <c r="I49" i="1"/>
  <c r="I57" i="1"/>
  <c r="J57" i="1"/>
  <c r="J61" i="1"/>
  <c r="I61" i="1"/>
  <c r="J53" i="1"/>
  <c r="I53" i="1"/>
  <c r="J62" i="1"/>
  <c r="I62" i="1"/>
  <c r="I64" i="1"/>
  <c r="J64" i="1"/>
  <c r="I55" i="1"/>
  <c r="J55" i="1"/>
  <c r="I69" i="1"/>
  <c r="I60" i="1"/>
  <c r="J60" i="1"/>
  <c r="J71" i="1"/>
  <c r="I71" i="1"/>
  <c r="J58" i="1"/>
  <c r="I58" i="1"/>
  <c r="I65" i="1"/>
  <c r="J65" i="1"/>
  <c r="I68" i="1"/>
  <c r="J68" i="1"/>
  <c r="I70" i="1"/>
  <c r="J70" i="1"/>
  <c r="J63" i="1"/>
  <c r="I63" i="1"/>
  <c r="C26" i="1" l="1"/>
</calcChain>
</file>

<file path=xl/sharedStrings.xml><?xml version="1.0" encoding="utf-8"?>
<sst xmlns="http://schemas.openxmlformats.org/spreadsheetml/2006/main" count="102" uniqueCount="61">
  <si>
    <t>Linearized</t>
  </si>
  <si>
    <t>% Error</t>
  </si>
  <si>
    <t>Cummins/Cat Dyno Load Cell</t>
  </si>
  <si>
    <t>Dead Weight Calibration</t>
  </si>
  <si>
    <t>Slope, a1</t>
  </si>
  <si>
    <t>Intercept, a0</t>
  </si>
  <si>
    <t>Zero</t>
  </si>
  <si>
    <t>Nm</t>
  </si>
  <si>
    <t>Compression Side</t>
  </si>
  <si>
    <t>Tension Side</t>
  </si>
  <si>
    <t>Both Sides</t>
  </si>
  <si>
    <t>OMEGADYNE Model No. LC101-2k</t>
  </si>
  <si>
    <t>S/N: 154325</t>
  </si>
  <si>
    <t>kg</t>
  </si>
  <si>
    <t>Cal Arm mass [kg]</t>
  </si>
  <si>
    <t>Cal Arm Total Length [m]</t>
  </si>
  <si>
    <t>Cal Arm C.G. [m]</t>
  </si>
  <si>
    <t>Plate mass [kg]</t>
  </si>
  <si>
    <t>Local gravity [m/s2]</t>
  </si>
  <si>
    <t>Dead Weights</t>
  </si>
  <si>
    <t>cal arm</t>
  </si>
  <si>
    <t>SEE</t>
  </si>
  <si>
    <t>Actual Torque, y_ref</t>
  </si>
  <si>
    <t>%</t>
  </si>
  <si>
    <t>Constants</t>
  </si>
  <si>
    <t>Candidate Curve</t>
  </si>
  <si>
    <t>Load Cell Calibration</t>
  </si>
  <si>
    <t>Compression (north)</t>
  </si>
  <si>
    <t>Tension (south)</t>
  </si>
  <si>
    <t>References</t>
  </si>
  <si>
    <t>CFR §1065.303, §1065.310, §1065.602</t>
  </si>
  <si>
    <t>Date:</t>
  </si>
  <si>
    <t>Initials:</t>
  </si>
  <si>
    <t>P.L.</t>
  </si>
  <si>
    <t>0.98 : 1.02</t>
  </si>
  <si>
    <t>r^2</t>
  </si>
  <si>
    <t>=&gt; 0.990</t>
  </si>
  <si>
    <t>=&lt; 2%*Tmax</t>
  </si>
  <si>
    <t>Range: 0-2000lbf</t>
  </si>
  <si>
    <t>(200lbs)</t>
  </si>
  <si>
    <t>Load Cell Force</t>
  </si>
  <si>
    <t>N</t>
  </si>
  <si>
    <t>Centerline-to-loadcell [m]</t>
  </si>
  <si>
    <t>Hung Weight</t>
  </si>
  <si>
    <t>for reference</t>
  </si>
  <si>
    <t>Mass
(enter value)</t>
  </si>
  <si>
    <t>Display Torque, y_i
(enter value)</t>
  </si>
  <si>
    <t>% Lin. Error</t>
  </si>
  <si>
    <t>hanger</t>
  </si>
  <si>
    <t>Plate</t>
  </si>
  <si>
    <t>lbs</t>
  </si>
  <si>
    <t>#4</t>
  </si>
  <si>
    <t>#4,3</t>
  </si>
  <si>
    <t>#4,3,2</t>
  </si>
  <si>
    <t>#4,3,2,1</t>
  </si>
  <si>
    <t>SumSq</t>
  </si>
  <si>
    <t>Gray weights used for GMV</t>
  </si>
  <si>
    <t>1% of Tmax = 20Nm</t>
  </si>
  <si>
    <t>Lin. Error</t>
  </si>
  <si>
    <r>
      <t>x</t>
    </r>
    <r>
      <rPr>
        <vertAlign val="subscript"/>
        <sz val="12"/>
        <color theme="1"/>
        <rFont val="Times New Roman"/>
        <family val="1"/>
      </rPr>
      <t>min</t>
    </r>
    <r>
      <rPr>
        <sz val="12"/>
        <color theme="1"/>
        <rFont val="Times New Roman"/>
        <family val="1"/>
      </rPr>
      <t>(a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-1)+a</t>
    </r>
    <r>
      <rPr>
        <vertAlign val="subscript"/>
        <sz val="12"/>
        <color theme="1"/>
        <rFont val="Times New Roman"/>
        <family val="1"/>
      </rPr>
      <t>0</t>
    </r>
  </si>
  <si>
    <t>=&lt; 1%*Tmax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</si>
</sst>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 textRotation="90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 vertical="center" wrapText="1"/>
    </xf>
    <xf numFmtId="166" fontId="0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/>
    </xf>
    <xf numFmtId="0" fontId="0" fillId="0" borderId="0" xfId="0" quotePrefix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center"/>
    </xf>
    <xf numFmtId="164" fontId="0" fillId="3" borderId="0" xfId="0" applyNumberFormat="1" applyFill="1"/>
    <xf numFmtId="2" fontId="0" fillId="3" borderId="0" xfId="0" applyNumberFormat="1" applyFill="1"/>
    <xf numFmtId="0" fontId="0" fillId="3" borderId="0" xfId="0" quotePrefix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quotePrefix="1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Sheet1!$E$47:$E$59</c:f>
              <c:numCache>
                <c:formatCode>0.0</c:formatCode>
                <c:ptCount val="13"/>
                <c:pt idx="0">
                  <c:v>0</c:v>
                </c:pt>
                <c:pt idx="1">
                  <c:v>-96</c:v>
                </c:pt>
                <c:pt idx="2">
                  <c:v>-306</c:v>
                </c:pt>
                <c:pt idx="3">
                  <c:v>-728</c:v>
                </c:pt>
                <c:pt idx="4">
                  <c:v>-1150</c:v>
                </c:pt>
                <c:pt idx="5">
                  <c:v>-1573</c:v>
                </c:pt>
                <c:pt idx="6">
                  <c:v>-2000</c:v>
                </c:pt>
                <c:pt idx="7">
                  <c:v>-1576</c:v>
                </c:pt>
                <c:pt idx="8">
                  <c:v>-1152</c:v>
                </c:pt>
                <c:pt idx="9">
                  <c:v>-732</c:v>
                </c:pt>
                <c:pt idx="10">
                  <c:v>-308</c:v>
                </c:pt>
                <c:pt idx="11">
                  <c:v>-97</c:v>
                </c:pt>
                <c:pt idx="12">
                  <c:v>0</c:v>
                </c:pt>
              </c:numCache>
            </c:numRef>
          </c:xVal>
          <c:yVal>
            <c:numRef>
              <c:f>Sheet1!$D$47:$D$59</c:f>
              <c:numCache>
                <c:formatCode>0.0</c:formatCode>
                <c:ptCount val="13"/>
                <c:pt idx="0">
                  <c:v>0</c:v>
                </c:pt>
                <c:pt idx="1">
                  <c:v>-100.379989621175</c:v>
                </c:pt>
                <c:pt idx="2">
                  <c:v>-312.15443331811423</c:v>
                </c:pt>
                <c:pt idx="3">
                  <c:v>-734.21813670022811</c:v>
                </c:pt>
                <c:pt idx="4">
                  <c:v>-1153.9481210026179</c:v>
                </c:pt>
                <c:pt idx="5">
                  <c:v>-1576.6482932246565</c:v>
                </c:pt>
                <c:pt idx="6">
                  <c:v>-2000.8335594065197</c:v>
                </c:pt>
                <c:pt idx="7">
                  <c:v>-1576.6482932246565</c:v>
                </c:pt>
                <c:pt idx="8">
                  <c:v>-1153.9481210026179</c:v>
                </c:pt>
                <c:pt idx="9">
                  <c:v>-734.21813670022811</c:v>
                </c:pt>
                <c:pt idx="10">
                  <c:v>-312.15443331811423</c:v>
                </c:pt>
                <c:pt idx="11">
                  <c:v>-100.379989621175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D-4626-9502-582C6A9D5595}"/>
            </c:ext>
          </c:extLst>
        </c:ser>
        <c:ser>
          <c:idx val="1"/>
          <c:order val="1"/>
          <c:tx>
            <c:v>Tension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Sheet1!$E$59:$E$71</c:f>
              <c:numCache>
                <c:formatCode>0.0</c:formatCode>
                <c:ptCount val="13"/>
                <c:pt idx="0">
                  <c:v>0</c:v>
                </c:pt>
                <c:pt idx="1">
                  <c:v>99</c:v>
                </c:pt>
                <c:pt idx="2">
                  <c:v>311</c:v>
                </c:pt>
                <c:pt idx="3">
                  <c:v>733</c:v>
                </c:pt>
                <c:pt idx="4">
                  <c:v>1155</c:v>
                </c:pt>
                <c:pt idx="5">
                  <c:v>1577</c:v>
                </c:pt>
                <c:pt idx="6">
                  <c:v>2001</c:v>
                </c:pt>
                <c:pt idx="7">
                  <c:v>1579</c:v>
                </c:pt>
                <c:pt idx="8">
                  <c:v>1156</c:v>
                </c:pt>
                <c:pt idx="9">
                  <c:v>735</c:v>
                </c:pt>
                <c:pt idx="10">
                  <c:v>311</c:v>
                </c:pt>
                <c:pt idx="11">
                  <c:v>99</c:v>
                </c:pt>
                <c:pt idx="12">
                  <c:v>0</c:v>
                </c:pt>
              </c:numCache>
            </c:numRef>
          </c:xVal>
          <c:yVal>
            <c:numRef>
              <c:f>Sheet1!$D$59:$D$71</c:f>
              <c:numCache>
                <c:formatCode>0.0</c:formatCode>
                <c:ptCount val="13"/>
                <c:pt idx="0">
                  <c:v>0</c:v>
                </c:pt>
                <c:pt idx="1">
                  <c:v>100.379989621175</c:v>
                </c:pt>
                <c:pt idx="2">
                  <c:v>312.15443331811423</c:v>
                </c:pt>
                <c:pt idx="3">
                  <c:v>734.21813670022811</c:v>
                </c:pt>
                <c:pt idx="4">
                  <c:v>1153.9481210026179</c:v>
                </c:pt>
                <c:pt idx="5">
                  <c:v>1576.6482932246565</c:v>
                </c:pt>
                <c:pt idx="6">
                  <c:v>2000.8335594065197</c:v>
                </c:pt>
                <c:pt idx="7">
                  <c:v>1576.6482932246565</c:v>
                </c:pt>
                <c:pt idx="8">
                  <c:v>1153.9481210026179</c:v>
                </c:pt>
                <c:pt idx="9">
                  <c:v>734.21813670022811</c:v>
                </c:pt>
                <c:pt idx="10">
                  <c:v>312.15443331811423</c:v>
                </c:pt>
                <c:pt idx="11">
                  <c:v>100.379989621175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D-4626-9502-582C6A9D5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67968"/>
        <c:axId val="1615089536"/>
      </c:scatterChart>
      <c:valAx>
        <c:axId val="7051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Display Torque [Nm]</a:t>
                </a:r>
              </a:p>
            </c:rich>
          </c:tx>
          <c:layout>
            <c:manualLayout>
              <c:xMode val="edge"/>
              <c:yMode val="edge"/>
              <c:x val="0.3822707786526684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89536"/>
        <c:crosses val="autoZero"/>
        <c:crossBetween val="midCat"/>
      </c:valAx>
      <c:valAx>
        <c:axId val="16150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Torque [Nm]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908100029163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663388</xdr:colOff>
      <xdr:row>14</xdr:row>
      <xdr:rowOff>22860</xdr:rowOff>
    </xdr:from>
    <xdr:to>
      <xdr:col>8</xdr:col>
      <xdr:colOff>477931</xdr:colOff>
      <xdr:row>21</xdr:row>
      <xdr:rowOff>93345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460B38-E4AB-4B06-9E8C-155248A8BD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" t="27189" r="2353" b="28366"/>
        <a:stretch/>
      </xdr:blipFill>
      <xdr:spPr>
        <a:xfrm rot="10800000">
          <a:off x="3086548" y="2788920"/>
          <a:ext cx="3851238" cy="1363980"/>
        </a:xfrm>
        <a:prstGeom prst="rect">
          <a:avLst/>
        </a:prstGeom>
      </xdr:spPr>
    </xdr:pic>
    <xdr:clientData/>
  </xdr:twoCellAnchor>
  <xdr:twoCellAnchor editAs="oneCell">
    <xdr:from>
      <xdr:col>8</xdr:col>
      <xdr:colOff>480060</xdr:colOff>
      <xdr:row>14</xdr:row>
      <xdr:rowOff>15406</xdr:rowOff>
    </xdr:from>
    <xdr:to>
      <xdr:col>12</xdr:col>
      <xdr:colOff>340499</xdr:colOff>
      <xdr:row>21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1F93D2-3C5B-440C-9FF3-AA87D945CF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872" b="31719"/>
        <a:stretch/>
      </xdr:blipFill>
      <xdr:spPr>
        <a:xfrm>
          <a:off x="7810500" y="1661326"/>
          <a:ext cx="2382659" cy="1379054"/>
        </a:xfrm>
        <a:prstGeom prst="rect">
          <a:avLst/>
        </a:prstGeom>
      </xdr:spPr>
    </xdr:pic>
    <xdr:clientData/>
  </xdr:twoCellAnchor>
  <xdr:twoCellAnchor editAs="oneCell">
    <xdr:from>
      <xdr:col>3</xdr:col>
      <xdr:colOff>129909</xdr:colOff>
      <xdr:row>0</xdr:row>
      <xdr:rowOff>47625</xdr:rowOff>
    </xdr:from>
    <xdr:to>
      <xdr:col>5</xdr:col>
      <xdr:colOff>150435</xdr:colOff>
      <xdr:row>10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75DBB19-C8F1-4497-B46A-5C8C918390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26" r="20527"/>
        <a:stretch/>
      </xdr:blipFill>
      <xdr:spPr>
        <a:xfrm>
          <a:off x="2549259" y="47625"/>
          <a:ext cx="1801701" cy="2000250"/>
        </a:xfrm>
        <a:prstGeom prst="rect">
          <a:avLst/>
        </a:prstGeom>
      </xdr:spPr>
    </xdr:pic>
    <xdr:clientData/>
  </xdr:twoCellAnchor>
  <xdr:twoCellAnchor>
    <xdr:from>
      <xdr:col>16</xdr:col>
      <xdr:colOff>123825</xdr:colOff>
      <xdr:row>45</xdr:row>
      <xdr:rowOff>139065</xdr:rowOff>
    </xdr:from>
    <xdr:to>
      <xdr:col>25</xdr:col>
      <xdr:colOff>47625</xdr:colOff>
      <xdr:row>66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4D1770-3DED-47B6-9E07-BD82DE27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502883</xdr:colOff>
      <xdr:row>41</xdr:row>
      <xdr:rowOff>179070</xdr:rowOff>
    </xdr:from>
    <xdr:to>
      <xdr:col>23</xdr:col>
      <xdr:colOff>590549</xdr:colOff>
      <xdr:row>65</xdr:row>
      <xdr:rowOff>104032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42441DD-402B-4713-B9D1-503692ED609F}"/>
            </a:ext>
          </a:extLst>
        </xdr:cNvPr>
        <xdr:cNvGrpSpPr/>
      </xdr:nvGrpSpPr>
      <xdr:grpSpPr>
        <a:xfrm>
          <a:off x="11315663" y="7940040"/>
          <a:ext cx="4966371" cy="4725562"/>
          <a:chOff x="9782138" y="2124075"/>
          <a:chExt cx="4964466" cy="4232167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FFB54F6A-694F-41DB-A4D9-C1B692C650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782138" y="2124075"/>
            <a:ext cx="4952176" cy="4232167"/>
          </a:xfrm>
          <a:prstGeom prst="rect">
            <a:avLst/>
          </a:prstGeom>
        </xdr:spPr>
      </xdr:pic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5BFCD12-C046-4D50-B052-F0C8095D2A07}"/>
              </a:ext>
            </a:extLst>
          </xdr:cNvPr>
          <xdr:cNvSpPr/>
        </xdr:nvSpPr>
        <xdr:spPr>
          <a:xfrm>
            <a:off x="9791699" y="3002281"/>
            <a:ext cx="4954905" cy="217170"/>
          </a:xfrm>
          <a:prstGeom prst="rect">
            <a:avLst/>
          </a:prstGeom>
          <a:solidFill>
            <a:srgbClr val="FFFF00">
              <a:alpha val="2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990E-538D-4793-AB49-59C65B366949}">
  <dimension ref="A1:M78"/>
  <sheetViews>
    <sheetView tabSelected="1" topLeftCell="A21" zoomScaleNormal="100" workbookViewId="0">
      <selection activeCell="U33" sqref="U33"/>
    </sheetView>
  </sheetViews>
  <sheetFormatPr defaultRowHeight="14.4" x14ac:dyDescent="0.3"/>
  <cols>
    <col min="1" max="1" width="5.33203125" customWidth="1"/>
    <col min="2" max="2" width="16.77734375" customWidth="1"/>
    <col min="3" max="3" width="13.21875" customWidth="1"/>
    <col min="4" max="4" width="11" customWidth="1"/>
    <col min="5" max="5" width="15" customWidth="1"/>
    <col min="6" max="8" width="11" customWidth="1"/>
    <col min="9" max="9" width="10.109375" customWidth="1"/>
  </cols>
  <sheetData>
    <row r="1" spans="2:3" ht="28.8" customHeight="1" x14ac:dyDescent="0.3">
      <c r="B1" s="13" t="s">
        <v>26</v>
      </c>
    </row>
    <row r="2" spans="2:3" x14ac:dyDescent="0.3">
      <c r="B2" s="5" t="s">
        <v>2</v>
      </c>
    </row>
    <row r="3" spans="2:3" x14ac:dyDescent="0.3">
      <c r="B3" t="s">
        <v>3</v>
      </c>
    </row>
    <row r="4" spans="2:3" x14ac:dyDescent="0.3">
      <c r="B4" t="s">
        <v>11</v>
      </c>
    </row>
    <row r="5" spans="2:3" x14ac:dyDescent="0.3">
      <c r="B5" t="s">
        <v>12</v>
      </c>
    </row>
    <row r="6" spans="2:3" x14ac:dyDescent="0.3">
      <c r="B6" t="s">
        <v>38</v>
      </c>
    </row>
    <row r="8" spans="2:3" x14ac:dyDescent="0.3">
      <c r="B8" t="s">
        <v>31</v>
      </c>
      <c r="C8" s="15">
        <v>44357</v>
      </c>
    </row>
    <row r="9" spans="2:3" x14ac:dyDescent="0.3">
      <c r="B9" t="s">
        <v>32</v>
      </c>
      <c r="C9" s="11" t="s">
        <v>33</v>
      </c>
    </row>
    <row r="12" spans="2:3" x14ac:dyDescent="0.3">
      <c r="B12" s="8" t="s">
        <v>29</v>
      </c>
    </row>
    <row r="13" spans="2:3" x14ac:dyDescent="0.3">
      <c r="B13" t="s">
        <v>30</v>
      </c>
    </row>
    <row r="14" spans="2:3" ht="16.2" customHeight="1" x14ac:dyDescent="0.3">
      <c r="B14" s="14"/>
    </row>
    <row r="15" spans="2:3" x14ac:dyDescent="0.3">
      <c r="B15" s="8" t="s">
        <v>24</v>
      </c>
    </row>
    <row r="16" spans="2:3" x14ac:dyDescent="0.3">
      <c r="B16" t="s">
        <v>15</v>
      </c>
      <c r="C16">
        <v>0.95479999999999998</v>
      </c>
    </row>
    <row r="17" spans="2:5" x14ac:dyDescent="0.3">
      <c r="B17" t="s">
        <v>16</v>
      </c>
      <c r="C17">
        <v>0.16209999999999999</v>
      </c>
      <c r="D17" s="6"/>
      <c r="E17" s="6"/>
    </row>
    <row r="18" spans="2:5" x14ac:dyDescent="0.3">
      <c r="B18" t="s">
        <v>14</v>
      </c>
      <c r="C18">
        <v>12.925000000000001</v>
      </c>
    </row>
    <row r="19" spans="2:5" x14ac:dyDescent="0.3">
      <c r="B19" t="s">
        <v>17</v>
      </c>
      <c r="C19">
        <v>90.72</v>
      </c>
      <c r="D19" t="s">
        <v>39</v>
      </c>
    </row>
    <row r="20" spans="2:5" x14ac:dyDescent="0.3">
      <c r="B20" t="s">
        <v>18</v>
      </c>
      <c r="C20">
        <v>9.7973300000000005</v>
      </c>
    </row>
    <row r="21" spans="2:5" x14ac:dyDescent="0.3">
      <c r="B21" t="s">
        <v>42</v>
      </c>
      <c r="C21">
        <v>0.61119999999999997</v>
      </c>
    </row>
    <row r="22" spans="2:5" x14ac:dyDescent="0.3">
      <c r="B22" s="8" t="s">
        <v>25</v>
      </c>
    </row>
    <row r="23" spans="2:5" x14ac:dyDescent="0.3">
      <c r="B23" t="s">
        <v>10</v>
      </c>
    </row>
    <row r="24" spans="2:5" x14ac:dyDescent="0.3">
      <c r="B24" t="s">
        <v>5</v>
      </c>
      <c r="C24" s="12">
        <f>INTERCEPT(D47:D71,E47:E71)</f>
        <v>-1.521086082240366</v>
      </c>
    </row>
    <row r="25" spans="2:5" x14ac:dyDescent="0.3">
      <c r="B25" t="s">
        <v>4</v>
      </c>
      <c r="C25" s="31">
        <f>SLOPE(D47:D71,E47:E71)</f>
        <v>1.000714527789744</v>
      </c>
      <c r="D25" s="39" t="s">
        <v>34</v>
      </c>
    </row>
    <row r="26" spans="2:5" x14ac:dyDescent="0.3">
      <c r="B26" t="s">
        <v>21</v>
      </c>
      <c r="C26" s="32">
        <f>SQRT(SUM(J47:J71)/(COUNTA(J47:J71)-2))</f>
        <v>2.20435310436855</v>
      </c>
      <c r="D26" s="20" t="s">
        <v>37</v>
      </c>
      <c r="E26">
        <f>0.02*2000</f>
        <v>40</v>
      </c>
    </row>
    <row r="27" spans="2:5" x14ac:dyDescent="0.3">
      <c r="B27" t="s">
        <v>35</v>
      </c>
      <c r="C27" s="31">
        <f>RSQ(D47:D71,E47:E71)</f>
        <v>0.99999567868218686</v>
      </c>
      <c r="D27" s="20" t="s">
        <v>36</v>
      </c>
    </row>
    <row r="28" spans="2:5" ht="18" x14ac:dyDescent="0.4">
      <c r="B28" s="37" t="s">
        <v>59</v>
      </c>
      <c r="C28" s="31">
        <f>ABS(E59*(C25-1)+C24)</f>
        <v>1.521086082240366</v>
      </c>
      <c r="D28" s="20" t="s">
        <v>60</v>
      </c>
      <c r="E28">
        <v>20</v>
      </c>
    </row>
    <row r="29" spans="2:5" ht="15.6" x14ac:dyDescent="0.3">
      <c r="B29" s="37"/>
      <c r="C29" s="40"/>
      <c r="D29" s="20"/>
    </row>
    <row r="30" spans="2:5" x14ac:dyDescent="0.3">
      <c r="B30" s="7" t="s">
        <v>8</v>
      </c>
    </row>
    <row r="31" spans="2:5" x14ac:dyDescent="0.3">
      <c r="B31" t="s">
        <v>5</v>
      </c>
      <c r="C31" s="12">
        <f>INTERCEPT(D47:D59,E47:E59)</f>
        <v>-3.2574013799277282</v>
      </c>
    </row>
    <row r="32" spans="2:5" x14ac:dyDescent="0.3">
      <c r="B32" t="s">
        <v>4</v>
      </c>
      <c r="C32" s="31">
        <f>SLOPE(D47:D59,E47:E59)</f>
        <v>0.99950455743990951</v>
      </c>
      <c r="D32" s="39" t="s">
        <v>34</v>
      </c>
    </row>
    <row r="33" spans="1:13" x14ac:dyDescent="0.3">
      <c r="B33" t="s">
        <v>21</v>
      </c>
      <c r="C33" s="32">
        <f>SQRT(SUM(J47:J59)/(COUNTA(J47:J59)-2))</f>
        <v>2.5338057191255157</v>
      </c>
      <c r="D33" s="20" t="s">
        <v>37</v>
      </c>
    </row>
    <row r="34" spans="1:13" x14ac:dyDescent="0.3">
      <c r="B34" t="s">
        <v>35</v>
      </c>
      <c r="C34" s="31">
        <f>RSQ(D47:D59,E47:E59)</f>
        <v>0.99999048135208912</v>
      </c>
      <c r="D34" s="20" t="s">
        <v>36</v>
      </c>
    </row>
    <row r="35" spans="1:13" ht="18" x14ac:dyDescent="0.4">
      <c r="B35" s="37" t="s">
        <v>59</v>
      </c>
      <c r="C35" s="31">
        <f>ABS(E59*(C32-1)+C31)</f>
        <v>3.2574013799277282</v>
      </c>
      <c r="D35" s="20" t="s">
        <v>60</v>
      </c>
    </row>
    <row r="36" spans="1:13" ht="15.6" x14ac:dyDescent="0.3">
      <c r="B36" s="37"/>
    </row>
    <row r="37" spans="1:13" x14ac:dyDescent="0.3">
      <c r="B37" t="s">
        <v>9</v>
      </c>
    </row>
    <row r="38" spans="1:13" x14ac:dyDescent="0.3">
      <c r="B38" t="s">
        <v>5</v>
      </c>
      <c r="C38" s="12">
        <f>INTERCEPT(D59:D71,E59:E71)</f>
        <v>0.83495912125567884</v>
      </c>
    </row>
    <row r="39" spans="1:13" x14ac:dyDescent="0.3">
      <c r="B39" t="s">
        <v>4</v>
      </c>
      <c r="C39" s="31">
        <f>SLOPE(D59:D71,E59:E71)</f>
        <v>0.9988393848466357</v>
      </c>
      <c r="D39" s="39" t="s">
        <v>34</v>
      </c>
    </row>
    <row r="40" spans="1:13" x14ac:dyDescent="0.3">
      <c r="B40" t="s">
        <v>21</v>
      </c>
      <c r="C40" s="32">
        <f>SQRT(SUM(J59:J71)/(COUNTA(J59:J71)-2))</f>
        <v>1.9875244361124118</v>
      </c>
      <c r="D40" s="20" t="s">
        <v>37</v>
      </c>
      <c r="H40" s="38"/>
    </row>
    <row r="41" spans="1:13" x14ac:dyDescent="0.3">
      <c r="B41" t="s">
        <v>35</v>
      </c>
      <c r="C41" s="31">
        <f>RSQ(D59:D71,E59:E71)</f>
        <v>0.9999978654664512</v>
      </c>
      <c r="D41" s="20" t="s">
        <v>36</v>
      </c>
      <c r="H41" s="38"/>
    </row>
    <row r="42" spans="1:13" ht="18" x14ac:dyDescent="0.4">
      <c r="B42" s="37" t="s">
        <v>59</v>
      </c>
      <c r="C42" s="31">
        <f>ABS(E59*(C39-1)+C38)</f>
        <v>0.83495912125567884</v>
      </c>
      <c r="D42" s="20" t="s">
        <v>60</v>
      </c>
      <c r="L42" s="36" t="s">
        <v>44</v>
      </c>
      <c r="M42" s="36"/>
    </row>
    <row r="43" spans="1:13" ht="15.6" x14ac:dyDescent="0.3">
      <c r="B43" s="37"/>
      <c r="H43" s="33" t="s">
        <v>57</v>
      </c>
      <c r="L43" s="34"/>
      <c r="M43" s="34"/>
    </row>
    <row r="44" spans="1:13" ht="15.6" x14ac:dyDescent="0.3">
      <c r="B44" s="37"/>
      <c r="L44" s="34"/>
      <c r="M44" s="34"/>
    </row>
    <row r="45" spans="1:13" ht="43.2" x14ac:dyDescent="0.3">
      <c r="B45" s="2" t="s">
        <v>19</v>
      </c>
      <c r="C45" s="24" t="s">
        <v>45</v>
      </c>
      <c r="D45" s="2" t="s">
        <v>22</v>
      </c>
      <c r="E45" s="24" t="s">
        <v>46</v>
      </c>
      <c r="F45" s="2" t="s">
        <v>1</v>
      </c>
      <c r="G45" s="2" t="s">
        <v>0</v>
      </c>
      <c r="H45" s="2" t="s">
        <v>58</v>
      </c>
      <c r="I45" s="2" t="s">
        <v>47</v>
      </c>
      <c r="J45" s="2" t="s">
        <v>55</v>
      </c>
      <c r="L45" s="2" t="s">
        <v>40</v>
      </c>
      <c r="M45" s="2" t="s">
        <v>43</v>
      </c>
    </row>
    <row r="46" spans="1:13" x14ac:dyDescent="0.3">
      <c r="B46" s="9"/>
      <c r="C46" s="25" t="s">
        <v>13</v>
      </c>
      <c r="D46" s="9" t="s">
        <v>7</v>
      </c>
      <c r="E46" s="28" t="s">
        <v>7</v>
      </c>
      <c r="G46" s="9" t="s">
        <v>7</v>
      </c>
      <c r="H46" s="30" t="s">
        <v>7</v>
      </c>
      <c r="I46" s="9" t="s">
        <v>23</v>
      </c>
      <c r="L46" s="30" t="s">
        <v>41</v>
      </c>
      <c r="M46" s="30" t="s">
        <v>41</v>
      </c>
    </row>
    <row r="47" spans="1:13" ht="14.4" customHeight="1" x14ac:dyDescent="0.3">
      <c r="A47" s="35" t="s">
        <v>27</v>
      </c>
      <c r="B47" s="9" t="s">
        <v>6</v>
      </c>
      <c r="C47" s="26">
        <v>0</v>
      </c>
      <c r="D47" s="17">
        <v>0</v>
      </c>
      <c r="E47" s="26">
        <v>0</v>
      </c>
      <c r="F47" s="29" t="e">
        <f>(E47-D47)/D47</f>
        <v>#DIV/0!</v>
      </c>
      <c r="G47" s="17">
        <f>E47*$C$25+$C$24</f>
        <v>-1.521086082240366</v>
      </c>
      <c r="H47" s="21">
        <f>G47-D47</f>
        <v>-1.521086082240366</v>
      </c>
      <c r="I47" s="18" t="e">
        <f t="shared" ref="I47:I71" si="0">(G47-D47)/D47</f>
        <v>#DIV/0!</v>
      </c>
      <c r="J47" s="19">
        <f t="shared" ref="J47:J71" si="1">(D47-G47)^2</f>
        <v>2.3137028695853457</v>
      </c>
      <c r="L47" s="22">
        <f t="shared" ref="L47:L71" si="2">D47/$C$21</f>
        <v>0</v>
      </c>
      <c r="M47" s="22">
        <f t="shared" ref="M47:M71" si="3">D47/$C$16</f>
        <v>0</v>
      </c>
    </row>
    <row r="48" spans="1:13" ht="14.4" customHeight="1" x14ac:dyDescent="0.3">
      <c r="A48" s="35"/>
      <c r="B48" s="1" t="s">
        <v>20</v>
      </c>
      <c r="C48" s="26">
        <f>$C$18</f>
        <v>12.925000000000001</v>
      </c>
      <c r="D48" s="16">
        <f>-C48*$C$20*($C$16-$C$17)</f>
        <v>-100.379989621175</v>
      </c>
      <c r="E48" s="26">
        <v>-96</v>
      </c>
      <c r="F48" s="29">
        <f>(E48-D48)/D48</f>
        <v>-4.3634091193919068E-2</v>
      </c>
      <c r="G48" s="17">
        <f t="shared" ref="G48:G71" si="4">E48*$C$25+$C$24</f>
        <v>-97.589680750055805</v>
      </c>
      <c r="H48" s="21">
        <f t="shared" ref="H48:H71" si="5">G48-D48</f>
        <v>2.7903088711191941</v>
      </c>
      <c r="I48" s="18">
        <f t="shared" si="0"/>
        <v>-2.7797461243516435E-2</v>
      </c>
      <c r="J48" s="19">
        <f>(D48-G48)^2</f>
        <v>7.7858235962464715</v>
      </c>
      <c r="L48" s="22">
        <f t="shared" si="2"/>
        <v>-164.23427621265543</v>
      </c>
      <c r="M48" s="22">
        <f t="shared" si="3"/>
        <v>-105.13195393922811</v>
      </c>
    </row>
    <row r="49" spans="1:13" x14ac:dyDescent="0.3">
      <c r="A49" s="35"/>
      <c r="B49" s="1" t="s">
        <v>48</v>
      </c>
      <c r="C49" s="26">
        <v>22.6388</v>
      </c>
      <c r="D49" s="16">
        <f>D48-(C49*$C$20*$C$16)</f>
        <v>-312.15443331811423</v>
      </c>
      <c r="E49" s="26">
        <v>-306</v>
      </c>
      <c r="F49" s="29">
        <f>(E49-D49)/D49</f>
        <v>-1.9715988822245213E-2</v>
      </c>
      <c r="G49" s="17">
        <f t="shared" si="4"/>
        <v>-307.73973158590201</v>
      </c>
      <c r="H49" s="21">
        <f>G49-D49</f>
        <v>4.4147017322122224</v>
      </c>
      <c r="I49" s="18">
        <f t="shared" si="0"/>
        <v>-1.4142684713092744E-2</v>
      </c>
      <c r="J49" s="19">
        <f>(D49-G49)^2</f>
        <v>19.489591384397595</v>
      </c>
      <c r="L49" s="22">
        <f t="shared" si="2"/>
        <v>-510.72387650215029</v>
      </c>
      <c r="M49" s="22">
        <f t="shared" si="3"/>
        <v>-326.93174834322815</v>
      </c>
    </row>
    <row r="50" spans="1:13" x14ac:dyDescent="0.3">
      <c r="A50" s="35"/>
      <c r="B50" s="1" t="s">
        <v>51</v>
      </c>
      <c r="C50" s="26">
        <v>45.118833043900004</v>
      </c>
      <c r="D50" s="16">
        <f t="shared" ref="D50:D53" si="6">D49-(C50*$C$20*$C$16)</f>
        <v>-734.21813670022811</v>
      </c>
      <c r="E50" s="26">
        <v>-728</v>
      </c>
      <c r="F50" s="29">
        <f>(E50-D50)/D50</f>
        <v>-8.4690589749990067E-3</v>
      </c>
      <c r="G50" s="17">
        <f>E50*$C$25+$C$24</f>
        <v>-730.041262313174</v>
      </c>
      <c r="H50" s="21">
        <f t="shared" si="5"/>
        <v>4.176874387054113</v>
      </c>
      <c r="I50" s="18">
        <f t="shared" si="0"/>
        <v>-5.6888738894766326E-3</v>
      </c>
      <c r="J50" s="19">
        <f t="shared" si="1"/>
        <v>17.446279645228671</v>
      </c>
      <c r="K50" s="21"/>
      <c r="L50" s="22">
        <f t="shared" si="2"/>
        <v>-1201.2731294179125</v>
      </c>
      <c r="M50" s="22">
        <f t="shared" si="3"/>
        <v>-768.97584488922087</v>
      </c>
    </row>
    <row r="51" spans="1:13" x14ac:dyDescent="0.3">
      <c r="A51" s="35"/>
      <c r="B51" s="1" t="s">
        <v>52</v>
      </c>
      <c r="C51" s="26">
        <v>44.869357240400007</v>
      </c>
      <c r="D51" s="16">
        <f t="shared" si="6"/>
        <v>-1153.9481210026179</v>
      </c>
      <c r="E51" s="26">
        <v>-1150</v>
      </c>
      <c r="F51" s="29">
        <f t="shared" ref="F51:F53" si="7">(E51-D51)/D51</f>
        <v>-3.421402514341392E-3</v>
      </c>
      <c r="G51" s="17">
        <f t="shared" si="4"/>
        <v>-1152.3427930404459</v>
      </c>
      <c r="H51" s="21">
        <f t="shared" si="5"/>
        <v>1.6053279621719412</v>
      </c>
      <c r="I51" s="18">
        <f t="shared" si="0"/>
        <v>-1.3911612948224552E-3</v>
      </c>
      <c r="J51" s="19">
        <f t="shared" si="1"/>
        <v>2.5770778661311176</v>
      </c>
      <c r="K51" s="21"/>
      <c r="L51" s="22">
        <f t="shared" si="2"/>
        <v>-1888.0041246770581</v>
      </c>
      <c r="M51" s="22">
        <f t="shared" si="3"/>
        <v>-1208.575744661309</v>
      </c>
    </row>
    <row r="52" spans="1:13" x14ac:dyDescent="0.3">
      <c r="A52" s="35"/>
      <c r="B52" s="1" t="s">
        <v>53</v>
      </c>
      <c r="C52" s="26">
        <v>45.186871899400003</v>
      </c>
      <c r="D52" s="16">
        <f t="shared" si="6"/>
        <v>-1576.6482932246565</v>
      </c>
      <c r="E52" s="26">
        <v>-1573</v>
      </c>
      <c r="F52" s="29">
        <f t="shared" si="7"/>
        <v>-2.3139550147831746E-3</v>
      </c>
      <c r="G52" s="17">
        <f t="shared" si="4"/>
        <v>-1575.6450382955077</v>
      </c>
      <c r="H52" s="21">
        <f t="shared" si="5"/>
        <v>1.0032549291488522</v>
      </c>
      <c r="I52" s="18">
        <f t="shared" si="0"/>
        <v>-6.3632132382354884E-4</v>
      </c>
      <c r="J52" s="19">
        <f t="shared" si="1"/>
        <v>1.0065204528614684</v>
      </c>
      <c r="K52" s="21"/>
      <c r="L52" s="22">
        <f t="shared" si="2"/>
        <v>-2579.5947205900798</v>
      </c>
      <c r="M52" s="22">
        <f t="shared" si="3"/>
        <v>-1651.2864403274577</v>
      </c>
    </row>
    <row r="53" spans="1:13" x14ac:dyDescent="0.3">
      <c r="A53" s="35"/>
      <c r="B53" s="1" t="s">
        <v>54</v>
      </c>
      <c r="C53" s="26">
        <v>45.345629228900002</v>
      </c>
      <c r="D53" s="16">
        <f t="shared" si="6"/>
        <v>-2000.8335594065197</v>
      </c>
      <c r="E53" s="26">
        <v>-2000</v>
      </c>
      <c r="F53" s="29">
        <f t="shared" si="7"/>
        <v>-4.1660607030550461E-4</v>
      </c>
      <c r="G53" s="17">
        <f>E53*$C$25+$C$24</f>
        <v>-2002.9501416617284</v>
      </c>
      <c r="H53" s="21">
        <f t="shared" si="5"/>
        <v>-2.1165822552086411</v>
      </c>
      <c r="I53" s="18">
        <f t="shared" si="0"/>
        <v>1.0578502370964101E-3</v>
      </c>
      <c r="J53" s="19">
        <f t="shared" si="1"/>
        <v>4.4799204430640973</v>
      </c>
      <c r="K53" s="21"/>
      <c r="L53" s="22">
        <f t="shared" si="2"/>
        <v>-3273.6151168300389</v>
      </c>
      <c r="M53" s="22">
        <f t="shared" si="3"/>
        <v>-2095.5525339406367</v>
      </c>
    </row>
    <row r="54" spans="1:13" x14ac:dyDescent="0.3">
      <c r="A54" s="35"/>
      <c r="B54" s="1" t="s">
        <v>53</v>
      </c>
      <c r="C54" s="26">
        <v>45.186871899400003</v>
      </c>
      <c r="D54" s="16">
        <f t="shared" ref="D54:D56" si="8">D55-C54*$C$20*$C$16</f>
        <v>-1576.6482932246565</v>
      </c>
      <c r="E54" s="26">
        <v>-1576</v>
      </c>
      <c r="F54" s="29">
        <f t="shared" ref="F54:F71" si="9">(E54-D54)/D54</f>
        <v>-4.1118442676305343E-4</v>
      </c>
      <c r="G54" s="17">
        <f t="shared" si="4"/>
        <v>-1578.6471818788768</v>
      </c>
      <c r="H54" s="21">
        <f t="shared" si="5"/>
        <v>-1.998888654220309</v>
      </c>
      <c r="I54" s="18">
        <f t="shared" si="0"/>
        <v>1.2678088466591753E-3</v>
      </c>
      <c r="J54" s="19">
        <f t="shared" si="1"/>
        <v>3.995555851970678</v>
      </c>
      <c r="K54" s="21"/>
      <c r="L54" s="22">
        <f t="shared" si="2"/>
        <v>-2579.5947205900798</v>
      </c>
      <c r="M54" s="22">
        <f t="shared" si="3"/>
        <v>-1651.2864403274577</v>
      </c>
    </row>
    <row r="55" spans="1:13" x14ac:dyDescent="0.3">
      <c r="A55" s="35"/>
      <c r="B55" s="1" t="s">
        <v>52</v>
      </c>
      <c r="C55" s="26">
        <v>44.869357240400007</v>
      </c>
      <c r="D55" s="16">
        <f t="shared" si="8"/>
        <v>-1153.9481210026179</v>
      </c>
      <c r="E55" s="26">
        <v>-1152</v>
      </c>
      <c r="F55" s="29">
        <f t="shared" si="9"/>
        <v>-1.6882223448011159E-3</v>
      </c>
      <c r="G55" s="17">
        <f t="shared" si="4"/>
        <v>-1154.3442220960255</v>
      </c>
      <c r="H55" s="21">
        <f t="shared" si="5"/>
        <v>-0.39610109340765121</v>
      </c>
      <c r="I55" s="18">
        <f t="shared" si="0"/>
        <v>3.4325728011368076E-4</v>
      </c>
      <c r="J55" s="19">
        <f t="shared" si="1"/>
        <v>0.15689607619873683</v>
      </c>
      <c r="K55" s="21"/>
      <c r="L55" s="22">
        <f t="shared" si="2"/>
        <v>-1888.0041246770581</v>
      </c>
      <c r="M55" s="22">
        <f t="shared" si="3"/>
        <v>-1208.575744661309</v>
      </c>
    </row>
    <row r="56" spans="1:13" x14ac:dyDescent="0.3">
      <c r="A56" s="35"/>
      <c r="B56" s="1" t="s">
        <v>51</v>
      </c>
      <c r="C56" s="26">
        <v>45.118833043900004</v>
      </c>
      <c r="D56" s="16">
        <f t="shared" si="8"/>
        <v>-734.21813670022811</v>
      </c>
      <c r="E56" s="26">
        <v>-732</v>
      </c>
      <c r="F56" s="29">
        <f t="shared" si="9"/>
        <v>-3.0210867715649357E-3</v>
      </c>
      <c r="G56" s="17">
        <f t="shared" si="4"/>
        <v>-734.04412042433296</v>
      </c>
      <c r="H56" s="21">
        <f t="shared" si="5"/>
        <v>0.17401627589515556</v>
      </c>
      <c r="I56" s="18">
        <f t="shared" si="0"/>
        <v>-2.3700895850548048E-4</v>
      </c>
      <c r="J56" s="19">
        <f t="shared" si="1"/>
        <v>3.0281664276418898E-2</v>
      </c>
      <c r="K56" s="21"/>
      <c r="L56" s="22">
        <f t="shared" si="2"/>
        <v>-1201.2731294179125</v>
      </c>
      <c r="M56" s="22">
        <f t="shared" si="3"/>
        <v>-768.97584488922087</v>
      </c>
    </row>
    <row r="57" spans="1:13" x14ac:dyDescent="0.3">
      <c r="A57" s="35"/>
      <c r="B57" s="1" t="s">
        <v>48</v>
      </c>
      <c r="C57" s="26">
        <v>22.6388</v>
      </c>
      <c r="D57" s="16">
        <f>D58-C57*$C$20*$C$16</f>
        <v>-312.15443331811423</v>
      </c>
      <c r="E57" s="26">
        <v>-308</v>
      </c>
      <c r="F57" s="29">
        <f t="shared" si="9"/>
        <v>-1.3308903781867732E-2</v>
      </c>
      <c r="G57" s="17">
        <f t="shared" si="4"/>
        <v>-309.74116064148149</v>
      </c>
      <c r="H57" s="21">
        <f t="shared" si="5"/>
        <v>2.4132726766327437</v>
      </c>
      <c r="I57" s="18">
        <f t="shared" si="0"/>
        <v>-7.7310216324026886E-3</v>
      </c>
      <c r="J57" s="19">
        <f t="shared" si="1"/>
        <v>5.823885011782167</v>
      </c>
      <c r="K57" s="21"/>
      <c r="L57" s="22">
        <f t="shared" si="2"/>
        <v>-510.72387650215029</v>
      </c>
      <c r="M57" s="22">
        <f t="shared" si="3"/>
        <v>-326.93174834322815</v>
      </c>
    </row>
    <row r="58" spans="1:13" x14ac:dyDescent="0.3">
      <c r="A58" s="35"/>
      <c r="B58" s="1" t="s">
        <v>20</v>
      </c>
      <c r="C58" s="27">
        <f>$C$18</f>
        <v>12.925000000000001</v>
      </c>
      <c r="D58" s="16">
        <f>-C58*$C$20*($C$16-$C$17)</f>
        <v>-100.379989621175</v>
      </c>
      <c r="E58" s="26">
        <v>-97</v>
      </c>
      <c r="F58" s="29">
        <f t="shared" si="9"/>
        <v>-3.3671946310522394E-2</v>
      </c>
      <c r="G58" s="17">
        <f t="shared" si="4"/>
        <v>-98.590395277845545</v>
      </c>
      <c r="H58" s="21">
        <f t="shared" si="5"/>
        <v>1.7895943433294548</v>
      </c>
      <c r="I58" s="18">
        <f t="shared" si="0"/>
        <v>-1.7828198130755164E-2</v>
      </c>
      <c r="J58" s="19">
        <f t="shared" si="1"/>
        <v>3.2026479136767825</v>
      </c>
      <c r="K58" s="21"/>
      <c r="L58" s="22">
        <f t="shared" si="2"/>
        <v>-164.23427621265543</v>
      </c>
      <c r="M58" s="22">
        <f t="shared" si="3"/>
        <v>-105.13195393922811</v>
      </c>
    </row>
    <row r="59" spans="1:13" x14ac:dyDescent="0.3">
      <c r="A59" s="10"/>
      <c r="B59" s="9" t="s">
        <v>6</v>
      </c>
      <c r="C59" s="26">
        <v>0</v>
      </c>
      <c r="D59" s="16">
        <v>0</v>
      </c>
      <c r="E59" s="26">
        <v>0</v>
      </c>
      <c r="F59" s="29" t="e">
        <f t="shared" si="9"/>
        <v>#DIV/0!</v>
      </c>
      <c r="G59" s="17">
        <f t="shared" si="4"/>
        <v>-1.521086082240366</v>
      </c>
      <c r="H59" s="21">
        <f t="shared" si="5"/>
        <v>-1.521086082240366</v>
      </c>
      <c r="I59" s="18" t="e">
        <f t="shared" si="0"/>
        <v>#DIV/0!</v>
      </c>
      <c r="J59" s="19">
        <f t="shared" si="1"/>
        <v>2.3137028695853457</v>
      </c>
      <c r="K59" s="21"/>
      <c r="L59" s="22">
        <f t="shared" si="2"/>
        <v>0</v>
      </c>
      <c r="M59" s="22">
        <f t="shared" si="3"/>
        <v>0</v>
      </c>
    </row>
    <row r="60" spans="1:13" x14ac:dyDescent="0.3">
      <c r="A60" s="35" t="s">
        <v>28</v>
      </c>
      <c r="B60" s="1" t="s">
        <v>20</v>
      </c>
      <c r="C60" s="27">
        <f>$C$18</f>
        <v>12.925000000000001</v>
      </c>
      <c r="D60" s="16">
        <f>C60*$C$20*($C$16-$C$17)</f>
        <v>100.379989621175</v>
      </c>
      <c r="E60" s="26">
        <v>99</v>
      </c>
      <c r="F60" s="29">
        <f t="shared" si="9"/>
        <v>-1.374765654372904E-2</v>
      </c>
      <c r="G60" s="17">
        <f t="shared" si="4"/>
        <v>97.549652168944277</v>
      </c>
      <c r="H60" s="21">
        <f t="shared" si="5"/>
        <v>-2.8303374522307223</v>
      </c>
      <c r="I60" s="18">
        <f t="shared" si="0"/>
        <v>-2.8196231768026277E-2</v>
      </c>
      <c r="J60" s="19">
        <f t="shared" si="1"/>
        <v>8.0108100934998969</v>
      </c>
      <c r="K60" s="21"/>
      <c r="L60" s="22">
        <f t="shared" si="2"/>
        <v>164.23427621265543</v>
      </c>
      <c r="M60" s="22">
        <f t="shared" si="3"/>
        <v>105.13195393922811</v>
      </c>
    </row>
    <row r="61" spans="1:13" x14ac:dyDescent="0.3">
      <c r="A61" s="35"/>
      <c r="B61" s="1" t="s">
        <v>48</v>
      </c>
      <c r="C61" s="26">
        <v>22.6388</v>
      </c>
      <c r="D61" s="16">
        <f>D60+(C61*$C$20*$C$16)</f>
        <v>312.15443331811423</v>
      </c>
      <c r="E61" s="26">
        <v>311</v>
      </c>
      <c r="F61" s="29">
        <f t="shared" si="9"/>
        <v>-3.6982762213015087E-3</v>
      </c>
      <c r="G61" s="17">
        <f t="shared" si="4"/>
        <v>309.70113206037007</v>
      </c>
      <c r="H61" s="21">
        <f t="shared" si="5"/>
        <v>-2.4533012577441582</v>
      </c>
      <c r="I61" s="18">
        <f t="shared" si="0"/>
        <v>-7.8592548940159285E-3</v>
      </c>
      <c r="J61" s="19">
        <f t="shared" si="1"/>
        <v>6.0186870612490688</v>
      </c>
      <c r="K61" s="21"/>
      <c r="L61" s="22">
        <f t="shared" si="2"/>
        <v>510.72387650215029</v>
      </c>
      <c r="M61" s="22">
        <f t="shared" si="3"/>
        <v>326.93174834322815</v>
      </c>
    </row>
    <row r="62" spans="1:13" ht="14.4" customHeight="1" x14ac:dyDescent="0.3">
      <c r="A62" s="35"/>
      <c r="B62" s="23" t="s">
        <v>51</v>
      </c>
      <c r="C62" s="26">
        <v>45.118833043900004</v>
      </c>
      <c r="D62" s="16">
        <f t="shared" ref="D62:D65" si="10">D61+(C62*$C$20*$C$16)</f>
        <v>734.21813670022811</v>
      </c>
      <c r="E62" s="26">
        <v>733</v>
      </c>
      <c r="F62" s="29">
        <f t="shared" si="9"/>
        <v>-1.6590937207064181E-3</v>
      </c>
      <c r="G62" s="17">
        <f t="shared" si="4"/>
        <v>732.00266278764207</v>
      </c>
      <c r="H62" s="21">
        <f t="shared" si="5"/>
        <v>-2.2154739125860488</v>
      </c>
      <c r="I62" s="18">
        <f t="shared" si="0"/>
        <v>-3.0174600733005297E-3</v>
      </c>
      <c r="J62" s="19">
        <f t="shared" si="1"/>
        <v>4.9083246573493353</v>
      </c>
      <c r="K62" s="21"/>
      <c r="L62" s="22">
        <f t="shared" si="2"/>
        <v>1201.2731294179125</v>
      </c>
      <c r="M62" s="22">
        <f t="shared" si="3"/>
        <v>768.97584488922087</v>
      </c>
    </row>
    <row r="63" spans="1:13" x14ac:dyDescent="0.3">
      <c r="A63" s="35"/>
      <c r="B63" s="23" t="s">
        <v>52</v>
      </c>
      <c r="C63" s="26">
        <v>44.869357240400007</v>
      </c>
      <c r="D63" s="16">
        <f t="shared" si="10"/>
        <v>1153.9481210026179</v>
      </c>
      <c r="E63" s="26">
        <v>1155</v>
      </c>
      <c r="F63" s="29">
        <f t="shared" si="9"/>
        <v>9.1154790950929781E-4</v>
      </c>
      <c r="G63" s="17">
        <f t="shared" si="4"/>
        <v>1154.304193514914</v>
      </c>
      <c r="H63" s="21">
        <f t="shared" si="5"/>
        <v>0.35607251229612302</v>
      </c>
      <c r="I63" s="18">
        <f t="shared" si="0"/>
        <v>3.085689086150132E-4</v>
      </c>
      <c r="J63" s="19">
        <f t="shared" si="1"/>
        <v>0.12678763401287269</v>
      </c>
      <c r="K63" s="21"/>
      <c r="L63" s="22">
        <f t="shared" si="2"/>
        <v>1888.0041246770581</v>
      </c>
      <c r="M63" s="22">
        <f t="shared" si="3"/>
        <v>1208.575744661309</v>
      </c>
    </row>
    <row r="64" spans="1:13" x14ac:dyDescent="0.3">
      <c r="A64" s="35"/>
      <c r="B64" s="23" t="s">
        <v>53</v>
      </c>
      <c r="C64" s="26">
        <v>45.186871899400003</v>
      </c>
      <c r="D64" s="16">
        <f t="shared" si="10"/>
        <v>1576.6482932246565</v>
      </c>
      <c r="E64" s="26">
        <v>1577</v>
      </c>
      <c r="F64" s="29">
        <f t="shared" si="9"/>
        <v>2.2307243591032029E-4</v>
      </c>
      <c r="G64" s="17">
        <f t="shared" si="4"/>
        <v>1576.6057242421859</v>
      </c>
      <c r="H64" s="21">
        <f t="shared" si="5"/>
        <v>-4.256898247058416E-2</v>
      </c>
      <c r="I64" s="18">
        <f t="shared" si="0"/>
        <v>-2.6999669268990549E-5</v>
      </c>
      <c r="J64" s="19">
        <f t="shared" si="1"/>
        <v>1.8121182685809016E-3</v>
      </c>
      <c r="K64" s="21"/>
      <c r="L64" s="22">
        <f t="shared" si="2"/>
        <v>2579.5947205900798</v>
      </c>
      <c r="M64" s="22">
        <f t="shared" si="3"/>
        <v>1651.2864403274577</v>
      </c>
    </row>
    <row r="65" spans="1:13" x14ac:dyDescent="0.3">
      <c r="A65" s="35"/>
      <c r="B65" s="23" t="s">
        <v>54</v>
      </c>
      <c r="C65" s="26">
        <v>45.345629228900002</v>
      </c>
      <c r="D65" s="16">
        <f t="shared" si="10"/>
        <v>2000.8335594065197</v>
      </c>
      <c r="E65" s="26">
        <v>2001</v>
      </c>
      <c r="F65" s="29">
        <f t="shared" si="9"/>
        <v>8.3185626659342633E-5</v>
      </c>
      <c r="G65" s="17">
        <f t="shared" si="4"/>
        <v>2000.9086840250375</v>
      </c>
      <c r="H65" s="21">
        <f t="shared" si="5"/>
        <v>7.5124618517747876E-2</v>
      </c>
      <c r="I65" s="18">
        <f t="shared" si="0"/>
        <v>3.7546660572821997E-5</v>
      </c>
      <c r="J65" s="19">
        <f t="shared" si="1"/>
        <v>5.6437083074371468E-3</v>
      </c>
      <c r="K65" s="21"/>
      <c r="L65" s="22">
        <f t="shared" si="2"/>
        <v>3273.6151168300389</v>
      </c>
      <c r="M65" s="22">
        <f t="shared" si="3"/>
        <v>2095.5525339406367</v>
      </c>
    </row>
    <row r="66" spans="1:13" x14ac:dyDescent="0.3">
      <c r="A66" s="35"/>
      <c r="B66" s="23" t="s">
        <v>53</v>
      </c>
      <c r="C66" s="26">
        <v>45.186871899400003</v>
      </c>
      <c r="D66" s="16">
        <f t="shared" ref="D66:D68" si="11">D67+(C66*$C$20*$C$16)</f>
        <v>1576.6482932246565</v>
      </c>
      <c r="E66" s="26">
        <v>1579</v>
      </c>
      <c r="F66" s="29">
        <f t="shared" si="9"/>
        <v>1.4915861612570676E-3</v>
      </c>
      <c r="G66" s="17">
        <f t="shared" si="4"/>
        <v>1578.6071532977655</v>
      </c>
      <c r="H66" s="21">
        <f t="shared" si="5"/>
        <v>1.9588600731090082</v>
      </c>
      <c r="I66" s="18">
        <f t="shared" si="0"/>
        <v>1.2424204443862549E-3</v>
      </c>
      <c r="J66" s="19">
        <f t="shared" si="1"/>
        <v>3.837132786020629</v>
      </c>
      <c r="K66" s="21"/>
      <c r="L66" s="22">
        <f t="shared" si="2"/>
        <v>2579.5947205900798</v>
      </c>
      <c r="M66" s="22">
        <f t="shared" si="3"/>
        <v>1651.2864403274577</v>
      </c>
    </row>
    <row r="67" spans="1:13" x14ac:dyDescent="0.3">
      <c r="A67" s="35"/>
      <c r="B67" s="23" t="s">
        <v>52</v>
      </c>
      <c r="C67" s="26">
        <v>44.869357240400007</v>
      </c>
      <c r="D67" s="16">
        <f t="shared" si="11"/>
        <v>1153.9481210026179</v>
      </c>
      <c r="E67" s="26">
        <v>1156</v>
      </c>
      <c r="F67" s="29">
        <f t="shared" si="9"/>
        <v>1.7781379942794356E-3</v>
      </c>
      <c r="G67" s="17">
        <f t="shared" si="4"/>
        <v>1155.3049080427038</v>
      </c>
      <c r="H67" s="21">
        <f t="shared" si="5"/>
        <v>1.3567870400859192</v>
      </c>
      <c r="I67" s="18">
        <f t="shared" si="0"/>
        <v>1.1757781960830813E-3</v>
      </c>
      <c r="J67" s="19">
        <f t="shared" si="1"/>
        <v>1.8408710721451098</v>
      </c>
      <c r="K67" s="21"/>
      <c r="L67" s="22">
        <f t="shared" si="2"/>
        <v>1888.0041246770581</v>
      </c>
      <c r="M67" s="22">
        <f t="shared" si="3"/>
        <v>1208.575744661309</v>
      </c>
    </row>
    <row r="68" spans="1:13" x14ac:dyDescent="0.3">
      <c r="A68" s="35"/>
      <c r="B68" s="23" t="s">
        <v>51</v>
      </c>
      <c r="C68" s="26">
        <v>45.118833043900004</v>
      </c>
      <c r="D68" s="16">
        <f t="shared" si="11"/>
        <v>734.21813670022811</v>
      </c>
      <c r="E68" s="26">
        <v>735</v>
      </c>
      <c r="F68" s="29">
        <f t="shared" si="9"/>
        <v>1.0648923810106176E-3</v>
      </c>
      <c r="G68" s="17">
        <f t="shared" si="4"/>
        <v>734.00409184322154</v>
      </c>
      <c r="H68" s="21">
        <f t="shared" si="5"/>
        <v>-0.21404485700657006</v>
      </c>
      <c r="I68" s="18">
        <f t="shared" si="0"/>
        <v>-2.9152760781495356E-4</v>
      </c>
      <c r="J68" s="19">
        <f t="shared" si="1"/>
        <v>4.5815200810963019E-2</v>
      </c>
      <c r="K68" s="21"/>
      <c r="L68" s="22">
        <f t="shared" si="2"/>
        <v>1201.2731294179125</v>
      </c>
      <c r="M68" s="22">
        <f t="shared" si="3"/>
        <v>768.97584488922087</v>
      </c>
    </row>
    <row r="69" spans="1:13" x14ac:dyDescent="0.3">
      <c r="A69" s="35"/>
      <c r="B69" s="1" t="s">
        <v>48</v>
      </c>
      <c r="C69" s="26">
        <v>22.6388</v>
      </c>
      <c r="D69" s="16">
        <f>D70+(C69*$C$20*$C$16)</f>
        <v>312.15443331811423</v>
      </c>
      <c r="E69" s="26">
        <v>311</v>
      </c>
      <c r="F69" s="29">
        <f t="shared" si="9"/>
        <v>-3.6982762213015087E-3</v>
      </c>
      <c r="G69" s="17">
        <f t="shared" si="4"/>
        <v>309.70113206037007</v>
      </c>
      <c r="H69" s="21">
        <f t="shared" si="5"/>
        <v>-2.4533012577441582</v>
      </c>
      <c r="I69" s="18">
        <f t="shared" si="0"/>
        <v>-7.8592548940159285E-3</v>
      </c>
      <c r="J69" s="19">
        <f t="shared" si="1"/>
        <v>6.0186870612490688</v>
      </c>
      <c r="K69" s="21"/>
      <c r="L69" s="22">
        <f t="shared" si="2"/>
        <v>510.72387650215029</v>
      </c>
      <c r="M69" s="22">
        <f t="shared" si="3"/>
        <v>326.93174834322815</v>
      </c>
    </row>
    <row r="70" spans="1:13" x14ac:dyDescent="0.3">
      <c r="A70" s="35"/>
      <c r="B70" s="1" t="s">
        <v>20</v>
      </c>
      <c r="C70" s="27">
        <f>$C$18</f>
        <v>12.925000000000001</v>
      </c>
      <c r="D70" s="16">
        <f>C70*$C$20*($C$16-$C$17)</f>
        <v>100.379989621175</v>
      </c>
      <c r="E70" s="26">
        <v>99</v>
      </c>
      <c r="F70" s="29">
        <f t="shared" si="9"/>
        <v>-1.374765654372904E-2</v>
      </c>
      <c r="G70" s="17">
        <f t="shared" si="4"/>
        <v>97.549652168944277</v>
      </c>
      <c r="H70" s="21">
        <f t="shared" si="5"/>
        <v>-2.8303374522307223</v>
      </c>
      <c r="I70" s="18">
        <f t="shared" si="0"/>
        <v>-2.8196231768026277E-2</v>
      </c>
      <c r="J70" s="19">
        <f t="shared" si="1"/>
        <v>8.0108100934998969</v>
      </c>
      <c r="K70" s="21"/>
      <c r="L70" s="22">
        <f t="shared" si="2"/>
        <v>164.23427621265543</v>
      </c>
      <c r="M70" s="22">
        <f t="shared" si="3"/>
        <v>105.13195393922811</v>
      </c>
    </row>
    <row r="71" spans="1:13" x14ac:dyDescent="0.3">
      <c r="A71" s="35"/>
      <c r="B71" s="3" t="s">
        <v>6</v>
      </c>
      <c r="C71" s="26">
        <v>0</v>
      </c>
      <c r="D71" s="16">
        <v>0</v>
      </c>
      <c r="E71" s="26">
        <v>0</v>
      </c>
      <c r="F71" s="29" t="e">
        <f t="shared" si="9"/>
        <v>#DIV/0!</v>
      </c>
      <c r="G71" s="17">
        <f t="shared" si="4"/>
        <v>-1.521086082240366</v>
      </c>
      <c r="H71" s="21">
        <f t="shared" si="5"/>
        <v>-1.521086082240366</v>
      </c>
      <c r="I71" s="18" t="e">
        <f t="shared" si="0"/>
        <v>#DIV/0!</v>
      </c>
      <c r="J71" s="19">
        <f t="shared" si="1"/>
        <v>2.3137028695853457</v>
      </c>
      <c r="K71" s="21"/>
      <c r="L71" s="22">
        <f t="shared" si="2"/>
        <v>0</v>
      </c>
      <c r="M71" s="22">
        <f t="shared" si="3"/>
        <v>0</v>
      </c>
    </row>
    <row r="72" spans="1:13" x14ac:dyDescent="0.3">
      <c r="A72" s="10"/>
      <c r="H72" s="21"/>
    </row>
    <row r="73" spans="1:13" x14ac:dyDescent="0.3">
      <c r="A73" s="10"/>
      <c r="H73" s="21"/>
    </row>
    <row r="74" spans="1:13" x14ac:dyDescent="0.3">
      <c r="A74" s="10"/>
      <c r="H74" s="21"/>
    </row>
    <row r="76" spans="1:13" x14ac:dyDescent="0.3">
      <c r="B76" s="4"/>
      <c r="C76" s="3"/>
    </row>
    <row r="77" spans="1:13" x14ac:dyDescent="0.3">
      <c r="B77" s="4"/>
      <c r="C77" s="3"/>
    </row>
    <row r="78" spans="1:13" x14ac:dyDescent="0.3">
      <c r="B78" s="4"/>
      <c r="C78" s="3"/>
    </row>
  </sheetData>
  <mergeCells count="3">
    <mergeCell ref="L42:M42"/>
    <mergeCell ref="A60:A71"/>
    <mergeCell ref="A47:A5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3617-FAEA-4C14-8E41-A85D6C4F1E30}">
  <dimension ref="B4:D11"/>
  <sheetViews>
    <sheetView workbookViewId="0">
      <selection activeCell="B28" sqref="B28"/>
    </sheetView>
  </sheetViews>
  <sheetFormatPr defaultRowHeight="14.4" x14ac:dyDescent="0.3"/>
  <sheetData>
    <row r="4" spans="2:4" x14ac:dyDescent="0.3">
      <c r="B4" t="s">
        <v>56</v>
      </c>
    </row>
    <row r="7" spans="2:4" x14ac:dyDescent="0.3">
      <c r="B7" t="s">
        <v>49</v>
      </c>
      <c r="C7" t="s">
        <v>13</v>
      </c>
      <c r="D7" t="s">
        <v>50</v>
      </c>
    </row>
    <row r="8" spans="2:4" x14ac:dyDescent="0.3">
      <c r="B8">
        <v>1</v>
      </c>
      <c r="C8">
        <f>D8*0.45359237</f>
        <v>45.345629228900002</v>
      </c>
      <c r="D8">
        <v>99.97</v>
      </c>
    </row>
    <row r="9" spans="2:4" x14ac:dyDescent="0.3">
      <c r="B9">
        <v>2</v>
      </c>
      <c r="C9">
        <f>D9*0.45359237</f>
        <v>45.186871899400003</v>
      </c>
      <c r="D9">
        <v>99.62</v>
      </c>
    </row>
    <row r="10" spans="2:4" x14ac:dyDescent="0.3">
      <c r="B10">
        <v>3</v>
      </c>
      <c r="C10">
        <f>D10*0.45359237</f>
        <v>44.869357240400007</v>
      </c>
      <c r="D10">
        <v>98.92</v>
      </c>
    </row>
    <row r="11" spans="2:4" x14ac:dyDescent="0.3">
      <c r="B11">
        <v>4</v>
      </c>
      <c r="C11">
        <f>D11*0.45359237</f>
        <v>45.118833043900004</v>
      </c>
      <c r="D11">
        <v>99.47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2020-11-16T20:50:05Z</dcterms:created>
  <dcterms:modified xsi:type="dcterms:W3CDTF">2021-12-30T02:09:22Z</dcterms:modified>
</cp:coreProperties>
</file>