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RRICK\Desktop\Rome Images\"/>
    </mc:Choice>
  </mc:AlternateContent>
  <bookViews>
    <workbookView xWindow="0" yWindow="0" windowWidth="28800" windowHeight="12435"/>
  </bookViews>
  <sheets>
    <sheet name="Combat" sheetId="3" r:id="rId1"/>
    <sheet name="Persuasion Attempt" sheetId="5" r:id="rId2"/>
    <sheet name="Assassination Attempt" sheetId="4" r:id="rId3"/>
    <sheet name="Prosecution" sheetId="7" r:id="rId4"/>
    <sheet name="data" sheetId="2" r:id="rId5"/>
    <sheet name="math" sheetId="1" r:id="rId6"/>
    <sheet name="Non-Combat Calculations" sheetId="6" r:id="rId7"/>
  </sheets>
  <definedNames>
    <definedName name="Assassin_Table">'Non-Combat Calculations'!$K$10:$K$15</definedName>
    <definedName name="COMBAT_table">math!$J$3:$N$90</definedName>
    <definedName name="ENEMY_LEADERS">data!$A$76:$A$85</definedName>
    <definedName name="ENEMY_LEADERS_table">data!$A$76:$I$85</definedName>
    <definedName name="Popularity">'Non-Combat Calculations'!$G$15:$G$34</definedName>
    <definedName name="PROVINCES">data!$A$147:$A$177</definedName>
    <definedName name="PROVINCES_table">data!$A$147:$E$177</definedName>
    <definedName name="Senator_Alignment">'Non-Combat Calculations'!$K$5:$K$7</definedName>
    <definedName name="SENATORS">data!$A$91:$A$143</definedName>
    <definedName name="SENATORS_table">data!$A$91:$J$143</definedName>
    <definedName name="WARS">data!$A$2:$A$74</definedName>
    <definedName name="WARS_table">data!$A$2:$I$74</definedName>
  </definedNames>
  <calcPr calcId="152511"/>
</workbook>
</file>

<file path=xl/calcChain.xml><?xml version="1.0" encoding="utf-8"?>
<calcChain xmlns="http://schemas.openxmlformats.org/spreadsheetml/2006/main">
  <c r="U7" i="7" l="1"/>
  <c r="AB17" i="7"/>
  <c r="AB16" i="7"/>
  <c r="AB15" i="7"/>
  <c r="AB14" i="7"/>
  <c r="AB13" i="7"/>
  <c r="AB12" i="7"/>
  <c r="AB11" i="7"/>
  <c r="AB10" i="7"/>
  <c r="AB9" i="7"/>
  <c r="AB8" i="7"/>
  <c r="AB7" i="7"/>
  <c r="R17" i="7"/>
  <c r="R16" i="7"/>
  <c r="R15" i="7"/>
  <c r="R14" i="7"/>
  <c r="R13" i="7"/>
  <c r="R12" i="7"/>
  <c r="R11" i="7"/>
  <c r="R7" i="7"/>
  <c r="R8" i="7"/>
  <c r="R9" i="7"/>
  <c r="R10" i="7"/>
  <c r="J48" i="7"/>
  <c r="D30" i="7" l="1"/>
  <c r="D24" i="7"/>
  <c r="D32" i="7" l="1"/>
  <c r="D22" i="7"/>
  <c r="Y16" i="7" l="1"/>
  <c r="Y9" i="7"/>
  <c r="U9" i="7"/>
  <c r="Z10" i="7"/>
  <c r="T11" i="7"/>
  <c r="AA12" i="7"/>
  <c r="S13" i="7"/>
  <c r="Y17" i="7"/>
  <c r="T7" i="7"/>
  <c r="X11" i="7"/>
  <c r="W14" i="7"/>
  <c r="V17" i="7"/>
  <c r="V14" i="7"/>
  <c r="U14" i="7"/>
  <c r="T16" i="7"/>
  <c r="AA9" i="7"/>
  <c r="S17" i="7"/>
  <c r="W11" i="7"/>
  <c r="V11" i="7"/>
  <c r="U12" i="7"/>
  <c r="Z13" i="7"/>
  <c r="S16" i="7"/>
  <c r="X14" i="7"/>
  <c r="U11" i="7"/>
  <c r="AA14" i="7"/>
  <c r="AA17" i="7"/>
  <c r="W8" i="7"/>
  <c r="U10" i="7"/>
  <c r="AA13" i="7"/>
  <c r="S14" i="7"/>
  <c r="X12" i="7"/>
  <c r="W15" i="7"/>
  <c r="V8" i="7"/>
  <c r="Y15" i="7"/>
  <c r="U16" i="7"/>
  <c r="U8" i="7"/>
  <c r="Z9" i="7"/>
  <c r="T10" i="7"/>
  <c r="AA11" i="7"/>
  <c r="S12" i="7"/>
  <c r="U17" i="7"/>
  <c r="S7" i="7"/>
  <c r="X10" i="7"/>
  <c r="W13" i="7"/>
  <c r="V16" i="7"/>
  <c r="V13" i="7"/>
  <c r="V12" i="7"/>
  <c r="Z15" i="7"/>
  <c r="S10" i="7"/>
  <c r="X16" i="7"/>
  <c r="Y11" i="7"/>
  <c r="T14" i="7"/>
  <c r="S8" i="7"/>
  <c r="W17" i="7"/>
  <c r="V9" i="7"/>
  <c r="Z12" i="7"/>
  <c r="S15" i="7"/>
  <c r="W16" i="7"/>
  <c r="Y14" i="7"/>
  <c r="U15" i="7"/>
  <c r="Z16" i="7"/>
  <c r="Z8" i="7"/>
  <c r="T9" i="7"/>
  <c r="AA10" i="7"/>
  <c r="S11" i="7"/>
  <c r="T17" i="7"/>
  <c r="X17" i="7"/>
  <c r="X9" i="7"/>
  <c r="W12" i="7"/>
  <c r="Y13" i="7"/>
  <c r="T8" i="7"/>
  <c r="X8" i="7"/>
  <c r="Z7" i="7"/>
  <c r="Y7" i="7"/>
  <c r="Z11" i="7"/>
  <c r="Z17" i="7"/>
  <c r="W7" i="7"/>
  <c r="Y12" i="7"/>
  <c r="U13" i="7"/>
  <c r="Z14" i="7"/>
  <c r="T15" i="7"/>
  <c r="AA16" i="7"/>
  <c r="AA8" i="7"/>
  <c r="S9" i="7"/>
  <c r="AA7" i="7"/>
  <c r="X15" i="7"/>
  <c r="X7" i="7"/>
  <c r="W10" i="7"/>
  <c r="V10" i="7"/>
  <c r="AA15" i="7"/>
  <c r="W9" i="7"/>
  <c r="Y10" i="7"/>
  <c r="T13" i="7"/>
  <c r="X13" i="7"/>
  <c r="V7" i="7"/>
  <c r="Y8" i="7"/>
  <c r="T12" i="7"/>
  <c r="V15" i="7"/>
  <c r="D27" i="7"/>
  <c r="D11" i="4"/>
  <c r="D13" i="4"/>
  <c r="M19" i="6" l="1"/>
  <c r="E35" i="7"/>
  <c r="B10" i="5"/>
  <c r="D7" i="5"/>
  <c r="O7" i="3"/>
  <c r="R7" i="3"/>
  <c r="O8" i="3"/>
  <c r="AC8" i="3"/>
  <c r="AE8" i="3"/>
  <c r="AG8" i="3"/>
  <c r="O9" i="3"/>
  <c r="AC9" i="3"/>
  <c r="AE9" i="3"/>
  <c r="AG9" i="3"/>
  <c r="O10" i="3"/>
  <c r="AC10" i="3"/>
  <c r="AE10" i="3"/>
  <c r="AG10" i="3"/>
  <c r="O11" i="3"/>
  <c r="U11" i="3"/>
  <c r="O13" i="3"/>
  <c r="R13" i="3"/>
  <c r="O14" i="3"/>
  <c r="R14" i="3"/>
  <c r="O15" i="3"/>
  <c r="R15" i="3"/>
  <c r="U20" i="3"/>
  <c r="AC20" i="3"/>
  <c r="AD20" i="3"/>
  <c r="O21" i="3"/>
  <c r="O20" i="3" s="1"/>
  <c r="O25" i="3" s="1"/>
  <c r="O23" i="3"/>
  <c r="R23" i="3"/>
  <c r="R25" i="3"/>
  <c r="AC35" i="3"/>
  <c r="AC37" i="3"/>
  <c r="AC42" i="3"/>
  <c r="L1" i="1"/>
  <c r="L7" i="1" s="1"/>
  <c r="L3" i="1"/>
  <c r="H4" i="1"/>
  <c r="L4" i="1"/>
  <c r="H5" i="1"/>
  <c r="L5" i="1"/>
  <c r="L6" i="1"/>
  <c r="L8" i="1"/>
  <c r="L9" i="1"/>
  <c r="L11" i="1"/>
  <c r="L12" i="1"/>
  <c r="L13" i="1"/>
  <c r="L14" i="1"/>
  <c r="L16" i="1"/>
  <c r="L17" i="1"/>
  <c r="L19" i="1"/>
  <c r="L20" i="1"/>
  <c r="L21" i="1"/>
  <c r="L22" i="1"/>
  <c r="L24" i="1"/>
  <c r="L25" i="1"/>
  <c r="L27" i="1"/>
  <c r="L28" i="1"/>
  <c r="L29" i="1"/>
  <c r="L30" i="1"/>
  <c r="L32" i="1"/>
  <c r="L33" i="1"/>
  <c r="L35" i="1"/>
  <c r="L36" i="1"/>
  <c r="L37" i="1"/>
  <c r="L38" i="1"/>
  <c r="AC29" i="3" s="1"/>
  <c r="L40" i="1"/>
  <c r="AC31" i="3" s="1"/>
  <c r="L41" i="1"/>
  <c r="AC32" i="3" s="1"/>
  <c r="L43" i="1"/>
  <c r="AC34" i="3" s="1"/>
  <c r="L44" i="1"/>
  <c r="L45" i="1"/>
  <c r="AC36" i="3" s="1"/>
  <c r="L46" i="1"/>
  <c r="L48" i="1"/>
  <c r="AC39" i="3" s="1"/>
  <c r="L49" i="1"/>
  <c r="AC40" i="3" s="1"/>
  <c r="L51" i="1"/>
  <c r="L52" i="1"/>
  <c r="AC43" i="3" s="1"/>
  <c r="L53" i="1"/>
  <c r="AC44" i="3" s="1"/>
  <c r="L54" i="1"/>
  <c r="L56" i="1"/>
  <c r="L57" i="1"/>
  <c r="L59" i="1"/>
  <c r="L60" i="1"/>
  <c r="L61" i="1"/>
  <c r="L62" i="1"/>
  <c r="L64" i="1"/>
  <c r="L65" i="1"/>
  <c r="L67" i="1"/>
  <c r="L68" i="1"/>
  <c r="L69" i="1"/>
  <c r="L70" i="1"/>
  <c r="L72" i="1"/>
  <c r="L73" i="1"/>
  <c r="L75" i="1"/>
  <c r="L76" i="1"/>
  <c r="L77" i="1"/>
  <c r="L78" i="1"/>
  <c r="L80" i="1"/>
  <c r="L81" i="1"/>
  <c r="L83" i="1"/>
  <c r="L84" i="1"/>
  <c r="L85" i="1"/>
  <c r="L86" i="1"/>
  <c r="L88" i="1"/>
  <c r="L89" i="1"/>
  <c r="E37" i="7" l="1"/>
  <c r="J52" i="7"/>
  <c r="O17" i="3"/>
  <c r="D32" i="3" s="1"/>
  <c r="AC12" i="3"/>
  <c r="R17" i="3"/>
  <c r="L90" i="1"/>
  <c r="L82" i="1"/>
  <c r="L74" i="1"/>
  <c r="L66" i="1"/>
  <c r="L58" i="1"/>
  <c r="L50" i="1"/>
  <c r="AC41" i="3" s="1"/>
  <c r="L42" i="1"/>
  <c r="AC33" i="3" s="1"/>
  <c r="L34" i="1"/>
  <c r="L26" i="1"/>
  <c r="L18" i="1"/>
  <c r="L10" i="1"/>
  <c r="L87" i="1"/>
  <c r="L79" i="1"/>
  <c r="L71" i="1"/>
  <c r="L63" i="1"/>
  <c r="L55" i="1"/>
  <c r="L47" i="1"/>
  <c r="AC38" i="3" s="1"/>
  <c r="L39" i="1"/>
  <c r="AC30" i="3" s="1"/>
  <c r="L31" i="1"/>
  <c r="L23" i="1"/>
  <c r="L15" i="1"/>
  <c r="B27" i="3" l="1"/>
  <c r="D30" i="3"/>
  <c r="D39" i="3"/>
  <c r="D43" i="3"/>
  <c r="D35" i="3"/>
  <c r="AC7" i="3"/>
  <c r="AE7" i="3"/>
  <c r="AG7" i="3"/>
  <c r="D38" i="3"/>
  <c r="C27" i="3"/>
  <c r="D40" i="3"/>
  <c r="D42" i="3"/>
  <c r="D44" i="3"/>
  <c r="D34" i="3"/>
  <c r="D36" i="3"/>
  <c r="D41" i="3"/>
  <c r="D37" i="3"/>
  <c r="D33" i="3"/>
  <c r="D31" i="3"/>
  <c r="D29" i="3"/>
  <c r="I32" i="3" l="1"/>
  <c r="I39" i="3"/>
  <c r="F40" i="3"/>
  <c r="F29" i="3"/>
  <c r="F33" i="3"/>
  <c r="I40" i="3"/>
  <c r="F41" i="3"/>
  <c r="I29" i="3"/>
  <c r="I33" i="3"/>
  <c r="F34" i="3"/>
  <c r="I41" i="3"/>
  <c r="F42" i="3"/>
  <c r="I30" i="3"/>
  <c r="I35" i="3"/>
  <c r="F36" i="3"/>
  <c r="F30" i="3"/>
  <c r="I34" i="3"/>
  <c r="F35" i="3"/>
  <c r="I42" i="3"/>
  <c r="F43" i="3"/>
  <c r="I36" i="3"/>
  <c r="I38" i="3"/>
  <c r="F44" i="3"/>
  <c r="F38" i="3"/>
  <c r="I44" i="3"/>
  <c r="I43" i="3"/>
  <c r="F32" i="3"/>
  <c r="F37" i="3"/>
  <c r="F39" i="3"/>
  <c r="I37" i="3"/>
  <c r="F31" i="3"/>
  <c r="I31" i="3"/>
  <c r="AE32" i="3" l="1"/>
  <c r="AD32" i="3"/>
  <c r="AF32" i="3"/>
  <c r="AH32" i="3"/>
  <c r="AG32" i="3"/>
  <c r="AE40" i="3"/>
  <c r="AD40" i="3"/>
  <c r="AG40" i="3"/>
  <c r="AH40" i="3"/>
  <c r="AF40" i="3"/>
  <c r="AF35" i="3"/>
  <c r="AG35" i="3"/>
  <c r="AH35" i="3"/>
  <c r="AD35" i="3"/>
  <c r="AE35" i="3"/>
  <c r="AG34" i="3"/>
  <c r="AH34" i="3"/>
  <c r="AF34" i="3"/>
  <c r="AD34" i="3"/>
  <c r="AE34" i="3"/>
  <c r="AD38" i="3"/>
  <c r="AE38" i="3"/>
  <c r="AG38" i="3"/>
  <c r="AF38" i="3"/>
  <c r="AH38" i="3"/>
  <c r="AE30" i="3"/>
  <c r="AF30" i="3"/>
  <c r="AG30" i="3"/>
  <c r="AH30" i="3"/>
  <c r="AD30" i="3"/>
  <c r="AD31" i="3"/>
  <c r="AE31" i="3"/>
  <c r="AG31" i="3"/>
  <c r="AF31" i="3"/>
  <c r="AH31" i="3"/>
  <c r="AE44" i="3"/>
  <c r="AF44" i="3"/>
  <c r="AG44" i="3"/>
  <c r="AH44" i="3"/>
  <c r="AD44" i="3"/>
  <c r="AE36" i="3"/>
  <c r="AF36" i="3"/>
  <c r="AG36" i="3"/>
  <c r="AH36" i="3"/>
  <c r="AD36" i="3"/>
  <c r="AH41" i="3"/>
  <c r="AG41" i="3"/>
  <c r="AD41" i="3"/>
  <c r="AE41" i="3"/>
  <c r="AF41" i="3"/>
  <c r="AD39" i="3"/>
  <c r="AF39" i="3"/>
  <c r="AE39" i="3"/>
  <c r="AG39" i="3"/>
  <c r="AH39" i="3"/>
  <c r="AH33" i="3"/>
  <c r="AD33" i="3"/>
  <c r="AF33" i="3"/>
  <c r="AG33" i="3"/>
  <c r="AE33" i="3"/>
  <c r="AD37" i="3"/>
  <c r="AE37" i="3"/>
  <c r="AF37" i="3"/>
  <c r="AH37" i="3"/>
  <c r="AG37" i="3"/>
  <c r="AF43" i="3"/>
  <c r="AG43" i="3"/>
  <c r="AH43" i="3"/>
  <c r="AD43" i="3"/>
  <c r="AE43" i="3"/>
  <c r="AG42" i="3"/>
  <c r="AH42" i="3"/>
  <c r="AE42" i="3"/>
  <c r="AF42" i="3"/>
  <c r="AD42" i="3"/>
  <c r="AG29" i="3"/>
  <c r="AH29" i="3"/>
  <c r="AD29" i="3"/>
  <c r="AE29" i="3"/>
  <c r="AF29" i="3"/>
  <c r="AF45" i="3" l="1"/>
  <c r="R30" i="3" s="1"/>
  <c r="AE45" i="3"/>
  <c r="R31" i="3" s="1"/>
  <c r="AD45" i="3"/>
  <c r="R32" i="3" s="1"/>
  <c r="AH45" i="3"/>
  <c r="R28" i="3" s="1"/>
  <c r="AG45" i="3"/>
  <c r="R29" i="3" s="1"/>
  <c r="I7" i="6"/>
  <c r="C19" i="5" s="1"/>
  <c r="G11" i="6" l="1"/>
  <c r="C22" i="5" s="1"/>
</calcChain>
</file>

<file path=xl/sharedStrings.xml><?xml version="1.0" encoding="utf-8"?>
<sst xmlns="http://schemas.openxmlformats.org/spreadsheetml/2006/main" count="1378" uniqueCount="375">
  <si>
    <t>%</t>
  </si>
  <si>
    <t>TDR</t>
  </si>
  <si>
    <t>Punic</t>
  </si>
  <si>
    <t>35T</t>
  </si>
  <si>
    <t>Sicily</t>
  </si>
  <si>
    <t>Sardinia-Corsica</t>
  </si>
  <si>
    <t>War</t>
  </si>
  <si>
    <t>25T</t>
  </si>
  <si>
    <t>Macedonian</t>
  </si>
  <si>
    <t>Revolt:Greece</t>
  </si>
  <si>
    <t>45T</t>
  </si>
  <si>
    <t>10T</t>
  </si>
  <si>
    <t>Illyricum</t>
  </si>
  <si>
    <t>20T</t>
  </si>
  <si>
    <t>Revolt:Syria</t>
  </si>
  <si>
    <t>Hannibal</t>
  </si>
  <si>
    <t>Hamilcar</t>
  </si>
  <si>
    <t>Antiochus</t>
  </si>
  <si>
    <t>---</t>
  </si>
  <si>
    <t>15T</t>
  </si>
  <si>
    <t>Jugurthine</t>
  </si>
  <si>
    <t>Africa</t>
  </si>
  <si>
    <t>30T</t>
  </si>
  <si>
    <t>Greece</t>
  </si>
  <si>
    <t>Spanish</t>
  </si>
  <si>
    <t>Cilicia-Cyprus</t>
  </si>
  <si>
    <t>Viriathus</t>
  </si>
  <si>
    <t>Mithridatic</t>
  </si>
  <si>
    <t>Revolt:Bithynia-Pontus</t>
  </si>
  <si>
    <t>Syria</t>
  </si>
  <si>
    <t>Social</t>
  </si>
  <si>
    <t>Spartacus</t>
  </si>
  <si>
    <t>Vercingetorix</t>
  </si>
  <si>
    <t>1st Punic War*</t>
  </si>
  <si>
    <t>2nd Punic War</t>
  </si>
  <si>
    <t>1st Macedonian War</t>
  </si>
  <si>
    <t>2nd Macedonian War*</t>
  </si>
  <si>
    <t>1st Illyrian War*@</t>
  </si>
  <si>
    <t>2nd Illyrian War</t>
  </si>
  <si>
    <t>1st Gallic War</t>
  </si>
  <si>
    <t>Syrian War</t>
  </si>
  <si>
    <t>Philip V</t>
  </si>
  <si>
    <t>Germanic Migrations</t>
  </si>
  <si>
    <t>Jugurthine War</t>
  </si>
  <si>
    <t>3rd Punic War</t>
  </si>
  <si>
    <t>3rd Macedonian War</t>
  </si>
  <si>
    <t>4th Macedonian War</t>
  </si>
  <si>
    <t>1st Sicilian Slave Revolt@</t>
  </si>
  <si>
    <t>2nd Sicilian Slave Revolt@</t>
  </si>
  <si>
    <t>Spanish Revolts</t>
  </si>
  <si>
    <t>Numantine War</t>
  </si>
  <si>
    <t>1st Cilician Pirates*@</t>
  </si>
  <si>
    <t>1st Mithridatic War</t>
  </si>
  <si>
    <t>2nd Mithridatic War*</t>
  </si>
  <si>
    <t>3rd Mithridatic War</t>
  </si>
  <si>
    <t>Parthian War</t>
  </si>
  <si>
    <t>2nd Gallic War*</t>
  </si>
  <si>
    <t>3rd Gallic War</t>
  </si>
  <si>
    <t>Social War</t>
  </si>
  <si>
    <t>2nd Cilician Pirates*@</t>
  </si>
  <si>
    <t>Alexandrine War@</t>
  </si>
  <si>
    <t>Sertorian Revolt</t>
  </si>
  <si>
    <t>Gladiator Slave Revolt</t>
  </si>
  <si>
    <t>Invasion of Germany*</t>
  </si>
  <si>
    <t>Invasion of Britain*</t>
  </si>
  <si>
    <t>Mithridates VI</t>
  </si>
  <si>
    <t>=--- middle republic</t>
  </si>
  <si>
    <t>=--- late republic</t>
  </si>
  <si>
    <t>Sicily, Sardinia-Corsica</t>
  </si>
  <si>
    <t>Destroys Tax Farmer</t>
  </si>
  <si>
    <t>Cisalpine Gaul</t>
  </si>
  <si>
    <t>Punic War Leader</t>
  </si>
  <si>
    <t>Macedonian War Leader</t>
  </si>
  <si>
    <t>Syrian War Leader</t>
  </si>
  <si>
    <t>Narbonese Gaul</t>
  </si>
  <si>
    <t>Destroys Sicilian Grain</t>
  </si>
  <si>
    <t>Inactive without Spain</t>
  </si>
  <si>
    <t>Inactive without Nearer Spain</t>
  </si>
  <si>
    <t>Spanish Revolts Leader</t>
  </si>
  <si>
    <t>Bithynia-Pontus, Syria</t>
  </si>
  <si>
    <t>Activates Inactive Wars</t>
  </si>
  <si>
    <t>Destroys Egyptian Grain</t>
  </si>
  <si>
    <t>Inactive until attacked</t>
  </si>
  <si>
    <t>Mithridatic War Leader</t>
  </si>
  <si>
    <t>Gallic War Leader</t>
  </si>
  <si>
    <t>Illyricum (when both are defeated)</t>
  </si>
  <si>
    <t>Punic War Leader, Extra Tax Farmer</t>
  </si>
  <si>
    <t>Transalpine Gaul, Revolt:Trans Gaul</t>
  </si>
  <si>
    <t>Slave Revolt Leader, Extra Tax Farmer</t>
  </si>
  <si>
    <t>Spoils</t>
  </si>
  <si>
    <t>Notes</t>
  </si>
  <si>
    <t>Standoff 1</t>
  </si>
  <si>
    <t>Standoff 2</t>
  </si>
  <si>
    <t>Disaster</t>
  </si>
  <si>
    <t>Fleet</t>
  </si>
  <si>
    <t>Land</t>
  </si>
  <si>
    <t>Support</t>
  </si>
  <si>
    <t>Nearer Spain, Further Spain, Destroys Tax Farmer</t>
  </si>
  <si>
    <t>=--- early republic</t>
  </si>
  <si>
    <t>Result</t>
  </si>
  <si>
    <t>Losses</t>
  </si>
  <si>
    <t>------------</t>
  </si>
  <si>
    <t>----------------------</t>
  </si>
  <si>
    <t>Defeat</t>
  </si>
  <si>
    <t>All</t>
  </si>
  <si>
    <t>4</t>
  </si>
  <si>
    <t>4 Legions/4 Fleets</t>
  </si>
  <si>
    <t>5</t>
  </si>
  <si>
    <t>3 Legions/3 Fleets</t>
  </si>
  <si>
    <t>6</t>
  </si>
  <si>
    <t>2 Legions/2 Fleets</t>
  </si>
  <si>
    <t>7</t>
  </si>
  <si>
    <t>1 Legion/1 Fleet</t>
  </si>
  <si>
    <t>8</t>
  </si>
  <si>
    <t>Stalemate</t>
  </si>
  <si>
    <t>5 Legions/5 Fleets</t>
  </si>
  <si>
    <t>9</t>
  </si>
  <si>
    <t>10</t>
  </si>
  <si>
    <t>11</t>
  </si>
  <si>
    <t>12</t>
  </si>
  <si>
    <t>No Losses</t>
  </si>
  <si>
    <t>14</t>
  </si>
  <si>
    <t>Victory</t>
  </si>
  <si>
    <t>15</t>
  </si>
  <si>
    <t>16</t>
  </si>
  <si>
    <t>-</t>
  </si>
  <si>
    <t>1st Punic War* x2</t>
  </si>
  <si>
    <t>1st Punic War* x3</t>
  </si>
  <si>
    <t>2nd Punic War x2</t>
  </si>
  <si>
    <t>2nd Punic War x3</t>
  </si>
  <si>
    <t>1st Macedonian War x2</t>
  </si>
  <si>
    <t>1st Macedonian War x3</t>
  </si>
  <si>
    <t>1st Macedonian War x4</t>
  </si>
  <si>
    <t>2nd Macedonian War* x2</t>
  </si>
  <si>
    <t>2nd Macedonian War* x3</t>
  </si>
  <si>
    <t>2nd Macedonian War* x4</t>
  </si>
  <si>
    <t>1st Illyrian War*@ x2</t>
  </si>
  <si>
    <t>2nd Illyrian War x2</t>
  </si>
  <si>
    <t>3rd Punic War x2</t>
  </si>
  <si>
    <t>3rd Punic War x3</t>
  </si>
  <si>
    <t>1st Gallic War x2</t>
  </si>
  <si>
    <t>1st Gallic War x3</t>
  </si>
  <si>
    <t>1</t>
  </si>
  <si>
    <t>21</t>
  </si>
  <si>
    <t>20</t>
  </si>
  <si>
    <t>0</t>
  </si>
  <si>
    <t>30</t>
  </si>
  <si>
    <t>24</t>
  </si>
  <si>
    <t>36</t>
  </si>
  <si>
    <t>48</t>
  </si>
  <si>
    <t>3</t>
  </si>
  <si>
    <t>40</t>
  </si>
  <si>
    <t>45</t>
  </si>
  <si>
    <t>2</t>
  </si>
  <si>
    <t>3rd Macedonian War x2</t>
  </si>
  <si>
    <t>3rd Macedonian War x3</t>
  </si>
  <si>
    <t>3rd Macedonian War x4</t>
  </si>
  <si>
    <t>4th Macedonian War x2</t>
  </si>
  <si>
    <t>4th Macedonian War x3</t>
  </si>
  <si>
    <t>4th Macedonian War x4</t>
  </si>
  <si>
    <t>1st Sicilian Slave Revolt@ x2</t>
  </si>
  <si>
    <t>2nd Sicilian Slave Revolt@ x2</t>
  </si>
  <si>
    <t>1st Cilician Pirates*@ x2</t>
  </si>
  <si>
    <t>1st Mithridatic War x2</t>
  </si>
  <si>
    <t>1st Mithridatic War x3</t>
  </si>
  <si>
    <t>2nd Mithridatic War* x2</t>
  </si>
  <si>
    <t>2nd Mithridatic War* x3</t>
  </si>
  <si>
    <t>3rd Mithridatic War x2</t>
  </si>
  <si>
    <t>3rd Mithridatic War x3</t>
  </si>
  <si>
    <t>2nd Gallic War* x2</t>
  </si>
  <si>
    <t>2nd Gallic War* x3</t>
  </si>
  <si>
    <t>3rd Gallic War x2</t>
  </si>
  <si>
    <t>3rd Gallic War x3</t>
  </si>
  <si>
    <t>2nd Cilician Pirates*@ x2</t>
  </si>
  <si>
    <t>18</t>
  </si>
  <si>
    <t>32</t>
  </si>
  <si>
    <t>M</t>
  </si>
  <si>
    <t>O</t>
  </si>
  <si>
    <t>L</t>
  </si>
  <si>
    <t>I</t>
  </si>
  <si>
    <t>--</t>
  </si>
  <si>
    <t>----------------</t>
  </si>
  <si>
    <t>#  Name</t>
  </si>
  <si>
    <t>Halves all losses</t>
  </si>
  <si>
    <t>Voids Macedonian War D/S</t>
  </si>
  <si>
    <t>Voids Spanish Revolts/3rd Punic War D/S</t>
  </si>
  <si>
    <t>Cleopatra</t>
  </si>
  <si>
    <t>Can be played as a Roman Ally: 50T, +3 mil</t>
  </si>
  <si>
    <t xml:space="preserve">Alexandrine War@ "-Cleo" </t>
  </si>
  <si>
    <t>-1</t>
  </si>
  <si>
    <t>Standoff</t>
  </si>
  <si>
    <t>Strength</t>
  </si>
  <si>
    <t>Military = d6+1</t>
  </si>
  <si>
    <t>Voids Social/Mithridatic War D/S</t>
  </si>
  <si>
    <t>Voids Punic War D/S</t>
  </si>
  <si>
    <t>Master of Horse</t>
  </si>
  <si>
    <t>none</t>
  </si>
  <si>
    <t>Creates 2 Vet Legions/Victory</t>
  </si>
  <si>
    <t>Voids Social/Jugurthine D/S</t>
  </si>
  <si>
    <t>Voids</t>
  </si>
  <si>
    <t>3rd Punic</t>
  </si>
  <si>
    <t>xxx</t>
  </si>
  <si>
    <t>Voidcodes</t>
  </si>
  <si>
    <t xml:space="preserve"> </t>
  </si>
  <si>
    <t>Voids D/S losses but War is Unprosecuted instead</t>
  </si>
  <si>
    <t>#1  Cornelius</t>
  </si>
  <si>
    <t>#1A  Scipio</t>
  </si>
  <si>
    <t>#2  Fabius</t>
  </si>
  <si>
    <t>#2A  Cunctator</t>
  </si>
  <si>
    <t>#3  Valerius</t>
  </si>
  <si>
    <t>#4  Julius</t>
  </si>
  <si>
    <t>#5  Claudius</t>
  </si>
  <si>
    <t>#6  Manlius</t>
  </si>
  <si>
    <t>#7  Fulvius</t>
  </si>
  <si>
    <t>#8  Furius</t>
  </si>
  <si>
    <t>#9  Aurelius</t>
  </si>
  <si>
    <t>#10 Junius</t>
  </si>
  <si>
    <t>#11 Papirius</t>
  </si>
  <si>
    <t>#12 Acilius</t>
  </si>
  <si>
    <t>#13 Flaminius</t>
  </si>
  <si>
    <t>#14 Aelius</t>
  </si>
  <si>
    <t>#15 Sulpicius</t>
  </si>
  <si>
    <t>#16 Calpurnius</t>
  </si>
  <si>
    <t>#17 Plautius</t>
  </si>
  <si>
    <t>#18 Quinctius</t>
  </si>
  <si>
    <t>#18A Flamininus</t>
  </si>
  <si>
    <t>#19 Aemilius</t>
  </si>
  <si>
    <t>#19A Macedonicus</t>
  </si>
  <si>
    <t>#20 Terentius</t>
  </si>
  <si>
    <t>#22A Cato</t>
  </si>
  <si>
    <t>#1B  Scipio</t>
  </si>
  <si>
    <t>#1C  Sulla</t>
  </si>
  <si>
    <t>#7A  Flaccus</t>
  </si>
  <si>
    <t>#21 Servilius</t>
  </si>
  <si>
    <t>#21A Glaucia</t>
  </si>
  <si>
    <t>#22 Porcius</t>
  </si>
  <si>
    <t>#23 Popillius</t>
  </si>
  <si>
    <t>#23A Laenas</t>
  </si>
  <si>
    <t>#24 Cassius</t>
  </si>
  <si>
    <t>#25 Sempronius</t>
  </si>
  <si>
    <t>#25A T Gracchus*</t>
  </si>
  <si>
    <t>#25B C Gracchus*</t>
  </si>
  <si>
    <t>#27A Marius</t>
  </si>
  <si>
    <t>#4A  Caesar</t>
  </si>
  <si>
    <t>#22B Cato</t>
  </si>
  <si>
    <t>#26 Octavius</t>
  </si>
  <si>
    <t>#27 Marius</t>
  </si>
  <si>
    <t>#28 Tullius</t>
  </si>
  <si>
    <t>#28A Cicero</t>
  </si>
  <si>
    <t>#29 Licinius</t>
  </si>
  <si>
    <t>#29A Crassus*</t>
  </si>
  <si>
    <t>#29B Lucullus*</t>
  </si>
  <si>
    <t>#30 Pompeius</t>
  </si>
  <si>
    <t>#30A Pompey</t>
  </si>
  <si>
    <t>? D/S void</t>
  </si>
  <si>
    <t>Province</t>
  </si>
  <si>
    <t>Base</t>
  </si>
  <si>
    <t>Max</t>
  </si>
  <si>
    <t>Further Spain</t>
  </si>
  <si>
    <t>Nearer Spain</t>
  </si>
  <si>
    <t>Asia</t>
  </si>
  <si>
    <t>Bithynia</t>
  </si>
  <si>
    <t>Crete-Cyrene</t>
  </si>
  <si>
    <t>Transalpine Gaul</t>
  </si>
  <si>
    <t>Cisalpine Gaul (dev.)</t>
  </si>
  <si>
    <t>Further Spain (dev.)</t>
  </si>
  <si>
    <t>Illyricum (dev.)</t>
  </si>
  <si>
    <t>Nearer Spain (dev.)</t>
  </si>
  <si>
    <t>Sardinia-Corsica (dev.)</t>
  </si>
  <si>
    <t>Sicily (dev.)</t>
  </si>
  <si>
    <t>Africa (dev.)</t>
  </si>
  <si>
    <t>Asia (dev.)</t>
  </si>
  <si>
    <t>Cilicia-Cyprus (dev.)</t>
  </si>
  <si>
    <t>Greece (dev.)</t>
  </si>
  <si>
    <t>Narbonese Gaul (dev.)</t>
  </si>
  <si>
    <t>Bithynia (dev.)</t>
  </si>
  <si>
    <t>Crete-Cyrene (dev.)</t>
  </si>
  <si>
    <t>Syria (dev.)</t>
  </si>
  <si>
    <t>Transalpine Gaul (dev.)</t>
  </si>
  <si>
    <t>Enemy Province</t>
  </si>
  <si>
    <t>Civil War</t>
  </si>
  <si>
    <t>Roman Province</t>
  </si>
  <si>
    <t>Enemy Leader</t>
  </si>
  <si>
    <t>Roman Commander</t>
  </si>
  <si>
    <t>Totals</t>
  </si>
  <si>
    <t>Roman Provincial Forces</t>
  </si>
  <si>
    <t>Enemy Provincial Forces</t>
  </si>
  <si>
    <t>Roman Legions / Fleets</t>
  </si>
  <si>
    <t>Rebel Legions / Fleets</t>
  </si>
  <si>
    <t>Rebel Commander</t>
  </si>
  <si>
    <t>Half</t>
  </si>
  <si>
    <t>One-fourth</t>
  </si>
  <si>
    <t>Stl</t>
  </si>
  <si>
    <t>Dst</t>
  </si>
  <si>
    <t>Dft</t>
  </si>
  <si>
    <t>Vct</t>
  </si>
  <si>
    <t>result</t>
  </si>
  <si>
    <t>Std</t>
  </si>
  <si>
    <t>modified</t>
  </si>
  <si>
    <t>natural</t>
  </si>
  <si>
    <t>The Enemy</t>
  </si>
  <si>
    <t>The Roman Republic</t>
  </si>
  <si>
    <t>losses</t>
  </si>
  <si>
    <t>The lightest grey cells should pull down and give you a list of options to enter, white cells you are supposed to fill in for yourself. Touch anything else at your own risk. ;-).</t>
  </si>
  <si>
    <t>This covers everything from the first punic to a civil war, if you find yourself in need of more room for enemy leaders or enemy controlled provinces, pherhaps it's time for a new game.</t>
  </si>
  <si>
    <t>Target Senator</t>
  </si>
  <si>
    <t>Persuading Senator</t>
  </si>
  <si>
    <t>Influence</t>
  </si>
  <si>
    <t>Oratory Rating</t>
  </si>
  <si>
    <t>Bribes</t>
  </si>
  <si>
    <t>Aligned</t>
  </si>
  <si>
    <t>Loyalty</t>
  </si>
  <si>
    <t>Personal Treasury</t>
  </si>
  <si>
    <t>Base Number</t>
  </si>
  <si>
    <t>Chance of Success</t>
  </si>
  <si>
    <t>Base Calculation:</t>
  </si>
  <si>
    <t>Yes</t>
  </si>
  <si>
    <t>No</t>
  </si>
  <si>
    <t>=---Select One</t>
  </si>
  <si>
    <t>Persuasion Attempts Chance Calculation</t>
  </si>
  <si>
    <t>Percentage:</t>
  </si>
  <si>
    <t>Assassination Attempts Chance Calculation</t>
  </si>
  <si>
    <t>Attacker:</t>
  </si>
  <si>
    <t>Defender:</t>
  </si>
  <si>
    <t>Number of Assassin Cards:</t>
  </si>
  <si>
    <t>Speculated Number of Secret Bodyguards:</t>
  </si>
  <si>
    <t>CHANCE OF SUCCESS:</t>
  </si>
  <si>
    <t>CHANCE OF CAPTURE:</t>
  </si>
  <si>
    <t>Prosecution Chance &amp; Success Calculator</t>
  </si>
  <si>
    <t>Consenting Prosecutor:</t>
  </si>
  <si>
    <t>Willing Advocate:</t>
  </si>
  <si>
    <t>=VLOOKUP(data!, SENATORS_table,3,FALSE)</t>
  </si>
  <si>
    <t>Trial Vote Debate:</t>
  </si>
  <si>
    <t>Available Votes In The Senate:</t>
  </si>
  <si>
    <t>Accused Uses Popular Appeal?</t>
  </si>
  <si>
    <t xml:space="preserve"> Popular Appeal Result:</t>
  </si>
  <si>
    <t>Accused Popularity:</t>
  </si>
  <si>
    <t>Popularity</t>
  </si>
  <si>
    <t>Trial Table</t>
  </si>
  <si>
    <t>Trial Votes:</t>
  </si>
  <si>
    <t>Accused Killed</t>
  </si>
  <si>
    <t>Accused Freed</t>
  </si>
  <si>
    <t>Accused Influence:</t>
  </si>
  <si>
    <t>Running Vote Calc:</t>
  </si>
  <si>
    <t xml:space="preserve">Chance of Successful Prosecution: </t>
  </si>
  <si>
    <t>&lt;----------------- Select the Prosecuting Senator from the drop down</t>
  </si>
  <si>
    <t>&lt;----------------- Select the Senator acting as Advocate</t>
  </si>
  <si>
    <t>&lt;----------------- Select if the accused uses Popular Appeal</t>
  </si>
  <si>
    <t>&lt;----------------- Select the Popularity of the Accused</t>
  </si>
  <si>
    <t>&lt;---- Type the total amount of available votes in the Senate</t>
  </si>
  <si>
    <t>&lt;----just senate votes only</t>
  </si>
  <si>
    <t>&lt;-----senate votes required plus trial/PA votes</t>
  </si>
  <si>
    <t>&gt; Trial Votes = Trial Appeal Table(Advocate ORA – Prosecutor ORA + 2d6)</t>
  </si>
  <si>
    <t>&gt; Advocate 2d6 roll result</t>
  </si>
  <si>
    <t>&gt; Advocate ORA – Prosecutor ORA</t>
  </si>
  <si>
    <t>Trial Result Table</t>
  </si>
  <si>
    <t xml:space="preserve">Accused Faction Votes </t>
  </si>
  <si>
    <t>&lt;----------------- Type the Influence of the accused Senator</t>
  </si>
  <si>
    <t xml:space="preserve"> &gt; This is the outcome, or the minimum votes you'll need</t>
  </si>
  <si>
    <t>&lt;----------------- Type the available faction votes of the faction of the Accused</t>
  </si>
  <si>
    <t>Roll all the required dice:</t>
  </si>
  <si>
    <t>Popular Appeal Roll:</t>
  </si>
  <si>
    <t>&gt; You estimated probability of achieving prosecution</t>
  </si>
  <si>
    <t>Trial Votes 2d6</t>
  </si>
  <si>
    <t>Popular Appeal 2d6</t>
  </si>
  <si>
    <t>S = Accused Killed</t>
  </si>
  <si>
    <t>F = Accused Freed</t>
  </si>
  <si>
    <t>Trial Votes Dice Roll:</t>
  </si>
  <si>
    <t>Trial Result / Minimum Votes Required:</t>
  </si>
  <si>
    <t>Dice Roll Breakdown - Minimum Votes Required for Successful Prosecution</t>
  </si>
  <si>
    <t>INSTRUCTIONS:</t>
  </si>
  <si>
    <t xml:space="preserve">&gt; Change only white boxes. </t>
  </si>
  <si>
    <t>Total of Other Faction Counter-Bribes</t>
  </si>
  <si>
    <t>Number of Open Bodyguards on Target:</t>
  </si>
  <si>
    <r>
      <t xml:space="preserve">Republic of Rome </t>
    </r>
    <r>
      <rPr>
        <b/>
        <i/>
        <sz val="10"/>
        <rFont val="Times New Roman"/>
        <family val="1"/>
      </rPr>
      <t>Auxiliator Belli</t>
    </r>
    <r>
      <rPr>
        <sz val="10"/>
        <rFont val="Times New Roman"/>
        <family val="1"/>
      </rPr>
      <t xml:space="preserve"> 2.00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</si>
</sst>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FrutigerNEM"/>
    </font>
    <font>
      <sz val="10"/>
      <name val="Arial Unicode MS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4"/>
      <name val="Times New Roman"/>
      <family val="1"/>
    </font>
    <font>
      <b/>
      <sz val="16"/>
      <name val="Times New Roman"/>
      <family val="1"/>
    </font>
    <font>
      <b/>
      <i/>
      <sz val="10"/>
      <name val="Times New Roman"/>
      <family val="1"/>
    </font>
    <font>
      <sz val="18"/>
      <name val="FrutigerNEM"/>
    </font>
    <font>
      <b/>
      <sz val="10"/>
      <name val="FrutigerNEM"/>
    </font>
    <font>
      <sz val="10"/>
      <name val="Arial"/>
      <family val="2"/>
    </font>
    <font>
      <sz val="12"/>
      <name val="Arial"/>
      <family val="2"/>
    </font>
    <font>
      <sz val="10"/>
      <color rgb="FF000000"/>
      <name val="FrutigerNEM"/>
    </font>
    <font>
      <b/>
      <sz val="14"/>
      <name val="Goudy Old Style"/>
      <family val="1"/>
    </font>
    <font>
      <b/>
      <sz val="12"/>
      <name val="Arial"/>
      <family val="2"/>
    </font>
    <font>
      <b/>
      <sz val="10"/>
      <name val="Arial"/>
      <family val="2"/>
    </font>
    <font>
      <b/>
      <u/>
      <sz val="10"/>
      <name val="FrutigerNEM"/>
    </font>
    <font>
      <b/>
      <sz val="9"/>
      <name val="FrutigerNEM"/>
    </font>
    <font>
      <b/>
      <u/>
      <sz val="18"/>
      <name val="Arial"/>
      <family val="2"/>
    </font>
    <font>
      <b/>
      <u/>
      <sz val="12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1">
    <xf numFmtId="0" fontId="0" fillId="0" borderId="0" xfId="0"/>
    <xf numFmtId="49" fontId="0" fillId="0" borderId="0" xfId="0" applyNumberFormat="1" applyAlignment="1">
      <alignment horizontal="center"/>
    </xf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0" xfId="0" applyFill="1" applyBorder="1"/>
    <xf numFmtId="0" fontId="0" fillId="0" borderId="0" xfId="0" applyBorder="1"/>
    <xf numFmtId="0" fontId="0" fillId="0" borderId="5" xfId="0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16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0" fontId="0" fillId="3" borderId="0" xfId="0" applyFill="1"/>
    <xf numFmtId="49" fontId="1" fillId="3" borderId="0" xfId="0" applyNumberFormat="1" applyFont="1" applyFill="1"/>
    <xf numFmtId="49" fontId="0" fillId="3" borderId="0" xfId="0" applyNumberFormat="1" applyFill="1"/>
    <xf numFmtId="2" fontId="0" fillId="3" borderId="0" xfId="0" applyNumberFormat="1" applyFill="1"/>
    <xf numFmtId="0" fontId="0" fillId="0" borderId="0" xfId="0" applyFill="1" applyBorder="1"/>
    <xf numFmtId="49" fontId="0" fillId="3" borderId="0" xfId="0" quotePrefix="1" applyNumberFormat="1" applyFill="1"/>
    <xf numFmtId="1" fontId="0" fillId="0" borderId="0" xfId="0" applyNumberFormat="1"/>
    <xf numFmtId="1" fontId="0" fillId="3" borderId="0" xfId="0" applyNumberFormat="1" applyFill="1"/>
    <xf numFmtId="0" fontId="2" fillId="4" borderId="0" xfId="0" applyFont="1" applyFill="1"/>
    <xf numFmtId="0" fontId="2" fillId="5" borderId="0" xfId="0" applyFont="1" applyFill="1"/>
    <xf numFmtId="0" fontId="2" fillId="4" borderId="9" xfId="0" applyFont="1" applyFill="1" applyBorder="1"/>
    <xf numFmtId="0" fontId="2" fillId="4" borderId="10" xfId="0" applyFont="1" applyFill="1" applyBorder="1"/>
    <xf numFmtId="0" fontId="2" fillId="4" borderId="11" xfId="0" applyFont="1" applyFill="1" applyBorder="1"/>
    <xf numFmtId="0" fontId="2" fillId="4" borderId="12" xfId="0" applyFont="1" applyFill="1" applyBorder="1"/>
    <xf numFmtId="0" fontId="2" fillId="4" borderId="13" xfId="0" applyFont="1" applyFill="1" applyBorder="1"/>
    <xf numFmtId="0" fontId="2" fillId="4" borderId="14" xfId="0" applyFont="1" applyFill="1" applyBorder="1"/>
    <xf numFmtId="0" fontId="2" fillId="4" borderId="15" xfId="0" applyFont="1" applyFill="1" applyBorder="1"/>
    <xf numFmtId="0" fontId="2" fillId="4" borderId="0" xfId="0" applyFont="1" applyFill="1" applyBorder="1"/>
    <xf numFmtId="0" fontId="2" fillId="4" borderId="16" xfId="0" applyFont="1" applyFill="1" applyBorder="1"/>
    <xf numFmtId="0" fontId="2" fillId="4" borderId="17" xfId="0" applyFont="1" applyFill="1" applyBorder="1"/>
    <xf numFmtId="0" fontId="2" fillId="4" borderId="18" xfId="0" applyFont="1" applyFill="1" applyBorder="1"/>
    <xf numFmtId="0" fontId="2" fillId="4" borderId="19" xfId="0" applyFont="1" applyFill="1" applyBorder="1"/>
    <xf numFmtId="0" fontId="2" fillId="4" borderId="20" xfId="0" applyFont="1" applyFill="1" applyBorder="1"/>
    <xf numFmtId="0" fontId="3" fillId="4" borderId="0" xfId="0" applyFont="1" applyFill="1"/>
    <xf numFmtId="0" fontId="2" fillId="6" borderId="21" xfId="0" applyFont="1" applyFill="1" applyBorder="1"/>
    <xf numFmtId="0" fontId="4" fillId="6" borderId="9" xfId="0" applyFont="1" applyFill="1" applyBorder="1" applyAlignment="1">
      <alignment horizontal="right" vertical="center"/>
    </xf>
    <xf numFmtId="1" fontId="4" fillId="6" borderId="11" xfId="0" applyNumberFormat="1" applyFont="1" applyFill="1" applyBorder="1" applyAlignment="1">
      <alignment horizontal="center" vertical="center"/>
    </xf>
    <xf numFmtId="0" fontId="0" fillId="0" borderId="0" xfId="0" quotePrefix="1"/>
    <xf numFmtId="0" fontId="0" fillId="12" borderId="0" xfId="0" applyFill="1"/>
    <xf numFmtId="0" fontId="0" fillId="13" borderId="24" xfId="0" applyFill="1" applyBorder="1" applyAlignment="1">
      <alignment horizontal="center" vertical="center"/>
    </xf>
    <xf numFmtId="0" fontId="0" fillId="0" borderId="24" xfId="0" applyBorder="1"/>
    <xf numFmtId="0" fontId="0" fillId="14" borderId="0" xfId="0" applyFill="1"/>
    <xf numFmtId="0" fontId="8" fillId="14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10" fontId="0" fillId="0" borderId="0" xfId="0" applyNumberFormat="1"/>
    <xf numFmtId="0" fontId="9" fillId="0" borderId="0" xfId="0" applyFont="1"/>
    <xf numFmtId="0" fontId="10" fillId="0" borderId="0" xfId="0" applyFont="1"/>
    <xf numFmtId="49" fontId="10" fillId="3" borderId="0" xfId="0" applyNumberFormat="1" applyFont="1" applyFill="1"/>
    <xf numFmtId="0" fontId="10" fillId="0" borderId="27" xfId="0" applyFont="1" applyBorder="1"/>
    <xf numFmtId="0" fontId="10" fillId="0" borderId="29" xfId="0" applyFont="1" applyBorder="1"/>
    <xf numFmtId="0" fontId="10" fillId="0" borderId="28" xfId="0" applyFont="1" applyBorder="1"/>
    <xf numFmtId="0" fontId="10" fillId="0" borderId="24" xfId="0" applyFont="1" applyBorder="1" applyAlignment="1">
      <alignment horizontal="center"/>
    </xf>
    <xf numFmtId="0" fontId="10" fillId="0" borderId="24" xfId="0" applyFont="1" applyBorder="1" applyAlignment="1"/>
    <xf numFmtId="0" fontId="10" fillId="0" borderId="24" xfId="0" applyFont="1" applyFill="1" applyBorder="1" applyAlignment="1">
      <alignment horizontal="center"/>
    </xf>
    <xf numFmtId="0" fontId="10" fillId="15" borderId="0" xfId="0" applyFont="1" applyFill="1"/>
    <xf numFmtId="0" fontId="10" fillId="15" borderId="0" xfId="0" applyFont="1" applyFill="1" applyBorder="1"/>
    <xf numFmtId="0" fontId="10" fillId="15" borderId="0" xfId="0" applyFont="1" applyFill="1" applyBorder="1" applyAlignment="1"/>
    <xf numFmtId="0" fontId="10" fillId="15" borderId="0" xfId="0" applyFont="1" applyFill="1" applyAlignment="1">
      <alignment horizontal="center"/>
    </xf>
    <xf numFmtId="0" fontId="10" fillId="15" borderId="0" xfId="0" applyFont="1" applyFill="1" applyBorder="1" applyAlignment="1">
      <alignment horizontal="center"/>
    </xf>
    <xf numFmtId="0" fontId="9" fillId="15" borderId="0" xfId="0" applyFont="1" applyFill="1" applyBorder="1"/>
    <xf numFmtId="0" fontId="10" fillId="17" borderId="27" xfId="0" applyFont="1" applyFill="1" applyBorder="1"/>
    <xf numFmtId="0" fontId="10" fillId="17" borderId="29" xfId="0" applyFont="1" applyFill="1" applyBorder="1"/>
    <xf numFmtId="0" fontId="10" fillId="17" borderId="28" xfId="0" applyFont="1" applyFill="1" applyBorder="1"/>
    <xf numFmtId="10" fontId="10" fillId="17" borderId="24" xfId="0" applyNumberFormat="1" applyFont="1" applyFill="1" applyBorder="1"/>
    <xf numFmtId="0" fontId="10" fillId="17" borderId="24" xfId="0" applyFont="1" applyFill="1" applyBorder="1" applyAlignment="1">
      <alignment horizontal="center"/>
    </xf>
    <xf numFmtId="0" fontId="10" fillId="17" borderId="29" xfId="0" applyFont="1" applyFill="1" applyBorder="1" applyAlignment="1">
      <alignment horizontal="center"/>
    </xf>
    <xf numFmtId="0" fontId="3" fillId="4" borderId="0" xfId="0" applyFont="1" applyFill="1" applyAlignment="1">
      <alignment horizontal="right"/>
    </xf>
    <xf numFmtId="0" fontId="3" fillId="4" borderId="16" xfId="0" applyFont="1" applyFill="1" applyBorder="1" applyAlignment="1">
      <alignment horizontal="right"/>
    </xf>
    <xf numFmtId="0" fontId="5" fillId="4" borderId="0" xfId="0" applyFont="1" applyFill="1" applyAlignment="1">
      <alignment horizontal="center"/>
    </xf>
    <xf numFmtId="0" fontId="3" fillId="4" borderId="18" xfId="0" applyFont="1" applyFill="1" applyBorder="1" applyAlignment="1">
      <alignment horizontal="center"/>
    </xf>
    <xf numFmtId="1" fontId="3" fillId="6" borderId="9" xfId="0" applyNumberFormat="1" applyFont="1" applyFill="1" applyBorder="1" applyAlignment="1">
      <alignment horizontal="center"/>
    </xf>
    <xf numFmtId="1" fontId="3" fillId="6" borderId="10" xfId="0" applyNumberFormat="1" applyFont="1" applyFill="1" applyBorder="1" applyAlignment="1">
      <alignment horizontal="center"/>
    </xf>
    <xf numFmtId="1" fontId="3" fillId="6" borderId="11" xfId="0" applyNumberFormat="1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2" fillId="6" borderId="22" xfId="0" applyFont="1" applyFill="1" applyBorder="1" applyAlignment="1">
      <alignment horizontal="center"/>
    </xf>
    <xf numFmtId="0" fontId="2" fillId="6" borderId="23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16" xfId="0" applyFont="1" applyFill="1" applyBorder="1" applyAlignment="1">
      <alignment horizontal="center"/>
    </xf>
    <xf numFmtId="0" fontId="2" fillId="6" borderId="21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2" fillId="6" borderId="13" xfId="0" applyFont="1" applyFill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2" fillId="6" borderId="15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2" fillId="6" borderId="16" xfId="0" applyFont="1" applyFill="1" applyBorder="1" applyAlignment="1">
      <alignment horizontal="center"/>
    </xf>
    <xf numFmtId="2" fontId="2" fillId="9" borderId="12" xfId="0" applyNumberFormat="1" applyFont="1" applyFill="1" applyBorder="1" applyAlignment="1">
      <alignment horizontal="center"/>
    </xf>
    <xf numFmtId="2" fontId="2" fillId="9" borderId="14" xfId="0" applyNumberFormat="1" applyFont="1" applyFill="1" applyBorder="1" applyAlignment="1">
      <alignment horizontal="center"/>
    </xf>
    <xf numFmtId="2" fontId="2" fillId="5" borderId="12" xfId="0" applyNumberFormat="1" applyFont="1" applyFill="1" applyBorder="1" applyAlignment="1">
      <alignment horizontal="center"/>
    </xf>
    <xf numFmtId="2" fontId="2" fillId="5" borderId="14" xfId="0" applyNumberFormat="1" applyFont="1" applyFill="1" applyBorder="1" applyAlignment="1">
      <alignment horizontal="center"/>
    </xf>
    <xf numFmtId="2" fontId="2" fillId="10" borderId="12" xfId="0" applyNumberFormat="1" applyFont="1" applyFill="1" applyBorder="1" applyAlignment="1">
      <alignment horizontal="center"/>
    </xf>
    <xf numFmtId="2" fontId="2" fillId="10" borderId="14" xfId="0" applyNumberFormat="1" applyFont="1" applyFill="1" applyBorder="1" applyAlignment="1">
      <alignment horizontal="center"/>
    </xf>
    <xf numFmtId="2" fontId="2" fillId="7" borderId="12" xfId="0" applyNumberFormat="1" applyFont="1" applyFill="1" applyBorder="1" applyAlignment="1">
      <alignment horizontal="center"/>
    </xf>
    <xf numFmtId="2" fontId="2" fillId="7" borderId="14" xfId="0" applyNumberFormat="1" applyFont="1" applyFill="1" applyBorder="1" applyAlignment="1">
      <alignment horizontal="center"/>
    </xf>
    <xf numFmtId="2" fontId="2" fillId="8" borderId="9" xfId="0" applyNumberFormat="1" applyFont="1" applyFill="1" applyBorder="1" applyAlignment="1">
      <alignment horizontal="center"/>
    </xf>
    <xf numFmtId="2" fontId="2" fillId="8" borderId="11" xfId="0" applyNumberFormat="1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0" fontId="2" fillId="9" borderId="10" xfId="0" applyFont="1" applyFill="1" applyBorder="1" applyAlignment="1">
      <alignment horizontal="center"/>
    </xf>
    <xf numFmtId="0" fontId="2" fillId="9" borderId="11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10" borderId="9" xfId="0" applyFont="1" applyFill="1" applyBorder="1" applyAlignment="1">
      <alignment horizontal="center"/>
    </xf>
    <xf numFmtId="0" fontId="2" fillId="10" borderId="10" xfId="0" applyFont="1" applyFill="1" applyBorder="1" applyAlignment="1">
      <alignment horizontal="center"/>
    </xf>
    <xf numFmtId="0" fontId="2" fillId="10" borderId="11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center"/>
    </xf>
    <xf numFmtId="0" fontId="2" fillId="7" borderId="10" xfId="0" applyFont="1" applyFill="1" applyBorder="1" applyAlignment="1">
      <alignment horizontal="center"/>
    </xf>
    <xf numFmtId="0" fontId="2" fillId="7" borderId="11" xfId="0" applyFont="1" applyFill="1" applyBorder="1" applyAlignment="1">
      <alignment horizontal="center"/>
    </xf>
    <xf numFmtId="0" fontId="2" fillId="8" borderId="9" xfId="0" applyFont="1" applyFill="1" applyBorder="1" applyAlignment="1">
      <alignment horizontal="center"/>
    </xf>
    <xf numFmtId="0" fontId="2" fillId="8" borderId="10" xfId="0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0" fontId="2" fillId="6" borderId="17" xfId="0" applyFont="1" applyFill="1" applyBorder="1" applyAlignment="1">
      <alignment horizontal="center"/>
    </xf>
    <xf numFmtId="0" fontId="2" fillId="6" borderId="18" xfId="0" applyFont="1" applyFill="1" applyBorder="1" applyAlignment="1">
      <alignment horizontal="center"/>
    </xf>
    <xf numFmtId="0" fontId="2" fillId="6" borderId="19" xfId="0" applyFont="1" applyFill="1" applyBorder="1" applyAlignment="1">
      <alignment horizontal="center"/>
    </xf>
    <xf numFmtId="2" fontId="3" fillId="6" borderId="9" xfId="0" applyNumberFormat="1" applyFont="1" applyFill="1" applyBorder="1" applyAlignment="1">
      <alignment horizontal="center"/>
    </xf>
    <xf numFmtId="2" fontId="3" fillId="6" borderId="11" xfId="0" applyNumberFormat="1" applyFont="1" applyFill="1" applyBorder="1" applyAlignment="1">
      <alignment horizontal="center"/>
    </xf>
    <xf numFmtId="0" fontId="3" fillId="11" borderId="9" xfId="0" applyFont="1" applyFill="1" applyBorder="1" applyAlignment="1">
      <alignment horizontal="center"/>
    </xf>
    <xf numFmtId="0" fontId="3" fillId="11" borderId="10" xfId="0" applyFont="1" applyFill="1" applyBorder="1" applyAlignment="1">
      <alignment horizontal="center"/>
    </xf>
    <xf numFmtId="0" fontId="3" fillId="11" borderId="11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1" fontId="3" fillId="6" borderId="17" xfId="0" applyNumberFormat="1" applyFont="1" applyFill="1" applyBorder="1" applyAlignment="1">
      <alignment horizontal="center"/>
    </xf>
    <xf numFmtId="1" fontId="3" fillId="6" borderId="18" xfId="0" applyNumberFormat="1" applyFont="1" applyFill="1" applyBorder="1" applyAlignment="1">
      <alignment horizontal="center"/>
    </xf>
    <xf numFmtId="0" fontId="7" fillId="14" borderId="0" xfId="0" applyFont="1" applyFill="1" applyAlignment="1">
      <alignment horizontal="center"/>
    </xf>
    <xf numFmtId="10" fontId="0" fillId="13" borderId="25" xfId="0" applyNumberFormat="1" applyFill="1" applyBorder="1" applyAlignment="1">
      <alignment horizontal="center" vertical="center" wrapText="1"/>
    </xf>
    <xf numFmtId="10" fontId="0" fillId="13" borderId="26" xfId="0" applyNumberFormat="1" applyFill="1" applyBorder="1" applyAlignment="1">
      <alignment horizontal="center" vertical="center"/>
    </xf>
    <xf numFmtId="0" fontId="8" fillId="15" borderId="27" xfId="0" applyFont="1" applyFill="1" applyBorder="1" applyAlignment="1">
      <alignment horizontal="center"/>
    </xf>
    <xf numFmtId="0" fontId="8" fillId="15" borderId="28" xfId="0" applyFont="1" applyFill="1" applyBorder="1" applyAlignment="1">
      <alignment horizontal="center"/>
    </xf>
    <xf numFmtId="0" fontId="8" fillId="16" borderId="27" xfId="0" applyFont="1" applyFill="1" applyBorder="1" applyAlignment="1">
      <alignment horizontal="center"/>
    </xf>
    <xf numFmtId="0" fontId="8" fillId="16" borderId="28" xfId="0" applyFont="1" applyFill="1" applyBorder="1" applyAlignment="1">
      <alignment horizontal="center"/>
    </xf>
    <xf numFmtId="0" fontId="7" fillId="12" borderId="0" xfId="0" applyFont="1" applyFill="1" applyAlignment="1">
      <alignment horizontal="center"/>
    </xf>
    <xf numFmtId="0" fontId="12" fillId="0" borderId="0" xfId="0" applyFont="1" applyAlignment="1">
      <alignment horizontal="center" vertical="center"/>
    </xf>
    <xf numFmtId="0" fontId="13" fillId="15" borderId="0" xfId="0" applyFont="1" applyFill="1" applyBorder="1" applyAlignment="1"/>
    <xf numFmtId="0" fontId="13" fillId="15" borderId="0" xfId="0" applyFont="1" applyFill="1" applyBorder="1"/>
    <xf numFmtId="0" fontId="10" fillId="0" borderId="0" xfId="0" applyFont="1" applyAlignment="1">
      <alignment wrapText="1"/>
    </xf>
    <xf numFmtId="0" fontId="13" fillId="15" borderId="0" xfId="0" applyFont="1" applyFill="1"/>
    <xf numFmtId="0" fontId="10" fillId="21" borderId="27" xfId="0" applyFont="1" applyFill="1" applyBorder="1"/>
    <xf numFmtId="0" fontId="10" fillId="21" borderId="29" xfId="0" applyFont="1" applyFill="1" applyBorder="1"/>
    <xf numFmtId="0" fontId="10" fillId="21" borderId="24" xfId="0" applyFont="1" applyFill="1" applyBorder="1" applyAlignment="1">
      <alignment horizontal="center"/>
    </xf>
    <xf numFmtId="0" fontId="10" fillId="21" borderId="1" xfId="0" applyFont="1" applyFill="1" applyBorder="1" applyAlignment="1">
      <alignment horizontal="center" vertical="center"/>
    </xf>
    <xf numFmtId="0" fontId="10" fillId="21" borderId="2" xfId="0" applyFont="1" applyFill="1" applyBorder="1" applyAlignment="1">
      <alignment horizontal="center" vertical="center"/>
    </xf>
    <xf numFmtId="0" fontId="10" fillId="21" borderId="3" xfId="0" applyFont="1" applyFill="1" applyBorder="1" applyAlignment="1">
      <alignment horizontal="center" vertical="center"/>
    </xf>
    <xf numFmtId="0" fontId="10" fillId="21" borderId="25" xfId="0" applyFont="1" applyFill="1" applyBorder="1"/>
    <xf numFmtId="0" fontId="10" fillId="21" borderId="6" xfId="0" applyFont="1" applyFill="1" applyBorder="1" applyAlignment="1">
      <alignment horizontal="center" vertical="center"/>
    </xf>
    <xf numFmtId="0" fontId="10" fillId="21" borderId="7" xfId="0" applyFont="1" applyFill="1" applyBorder="1" applyAlignment="1">
      <alignment horizontal="center" vertical="center"/>
    </xf>
    <xf numFmtId="0" fontId="10" fillId="21" borderId="8" xfId="0" applyFont="1" applyFill="1" applyBorder="1" applyAlignment="1">
      <alignment horizontal="center" vertical="center"/>
    </xf>
    <xf numFmtId="0" fontId="10" fillId="21" borderId="26" xfId="0" applyFont="1" applyFill="1" applyBorder="1"/>
    <xf numFmtId="0" fontId="9" fillId="0" borderId="2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9" fillId="0" borderId="36" xfId="0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9" fillId="20" borderId="1" xfId="0" applyFont="1" applyFill="1" applyBorder="1" applyAlignment="1">
      <alignment horizontal="center" vertical="center"/>
    </xf>
    <xf numFmtId="0" fontId="9" fillId="20" borderId="3" xfId="0" applyFont="1" applyFill="1" applyBorder="1" applyAlignment="1">
      <alignment horizontal="center" vertical="center"/>
    </xf>
    <xf numFmtId="0" fontId="9" fillId="20" borderId="6" xfId="0" applyFont="1" applyFill="1" applyBorder="1" applyAlignment="1">
      <alignment horizontal="center" vertical="center"/>
    </xf>
    <xf numFmtId="0" fontId="9" fillId="20" borderId="5" xfId="0" applyFont="1" applyFill="1" applyBorder="1" applyAlignment="1">
      <alignment horizontal="center" vertical="center"/>
    </xf>
    <xf numFmtId="0" fontId="9" fillId="20" borderId="27" xfId="0" applyFont="1" applyFill="1" applyBorder="1"/>
    <xf numFmtId="0" fontId="9" fillId="20" borderId="29" xfId="0" applyFont="1" applyFill="1" applyBorder="1"/>
    <xf numFmtId="0" fontId="9" fillId="20" borderId="28" xfId="0" applyFont="1" applyFill="1" applyBorder="1"/>
    <xf numFmtId="0" fontId="9" fillId="19" borderId="1" xfId="0" applyFont="1" applyFill="1" applyBorder="1" applyAlignment="1">
      <alignment horizontal="center" vertical="center" wrapText="1"/>
    </xf>
    <xf numFmtId="0" fontId="9" fillId="19" borderId="3" xfId="0" applyFont="1" applyFill="1" applyBorder="1" applyAlignment="1">
      <alignment horizontal="center" vertical="center" wrapText="1"/>
    </xf>
    <xf numFmtId="0" fontId="9" fillId="19" borderId="6" xfId="0" applyFont="1" applyFill="1" applyBorder="1" applyAlignment="1">
      <alignment horizontal="center" vertical="center" wrapText="1"/>
    </xf>
    <xf numFmtId="0" fontId="9" fillId="19" borderId="7" xfId="0" applyFont="1" applyFill="1" applyBorder="1" applyAlignment="1">
      <alignment horizontal="center" vertical="center" wrapText="1"/>
    </xf>
    <xf numFmtId="0" fontId="9" fillId="19" borderId="25" xfId="0" applyFont="1" applyFill="1" applyBorder="1"/>
    <xf numFmtId="0" fontId="9" fillId="19" borderId="30" xfId="0" applyFont="1" applyFill="1" applyBorder="1"/>
    <xf numFmtId="0" fontId="9" fillId="19" borderId="26" xfId="0" applyFont="1" applyFill="1" applyBorder="1"/>
    <xf numFmtId="0" fontId="9" fillId="15" borderId="1" xfId="0" applyFont="1" applyFill="1" applyBorder="1"/>
    <xf numFmtId="0" fontId="9" fillId="15" borderId="3" xfId="0" applyFont="1" applyFill="1" applyBorder="1"/>
    <xf numFmtId="0" fontId="10" fillId="15" borderId="4" xfId="0" applyFont="1" applyFill="1" applyBorder="1"/>
    <xf numFmtId="0" fontId="9" fillId="15" borderId="5" xfId="0" applyFont="1" applyFill="1" applyBorder="1"/>
    <xf numFmtId="0" fontId="9" fillId="18" borderId="0" xfId="0" applyFont="1" applyFill="1" applyBorder="1"/>
    <xf numFmtId="0" fontId="14" fillId="15" borderId="0" xfId="0" applyFont="1" applyFill="1" applyBorder="1"/>
    <xf numFmtId="0" fontId="10" fillId="15" borderId="6" xfId="0" applyFont="1" applyFill="1" applyBorder="1"/>
    <xf numFmtId="0" fontId="9" fillId="15" borderId="7" xfId="0" applyFont="1" applyFill="1" applyBorder="1"/>
    <xf numFmtId="0" fontId="9" fillId="15" borderId="8" xfId="0" applyFont="1" applyFill="1" applyBorder="1"/>
    <xf numFmtId="0" fontId="15" fillId="14" borderId="0" xfId="0" applyFont="1" applyFill="1"/>
    <xf numFmtId="0" fontId="8" fillId="14" borderId="25" xfId="0" applyFont="1" applyFill="1" applyBorder="1" applyAlignment="1">
      <alignment horizontal="center" vertical="center"/>
    </xf>
    <xf numFmtId="0" fontId="0" fillId="14" borderId="30" xfId="0" applyFill="1" applyBorder="1" applyAlignment="1">
      <alignment horizontal="center" vertical="center"/>
    </xf>
    <xf numFmtId="0" fontId="8" fillId="14" borderId="30" xfId="0" applyFont="1" applyFill="1" applyBorder="1" applyAlignment="1">
      <alignment horizontal="center" vertical="center"/>
    </xf>
    <xf numFmtId="0" fontId="16" fillId="14" borderId="25" xfId="0" applyFont="1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0" fillId="14" borderId="1" xfId="0" applyFill="1" applyBorder="1"/>
    <xf numFmtId="0" fontId="0" fillId="14" borderId="6" xfId="0" applyFill="1" applyBorder="1"/>
    <xf numFmtId="0" fontId="8" fillId="14" borderId="2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13" borderId="39" xfId="0" applyFill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22" borderId="27" xfId="0" applyFill="1" applyBorder="1" applyAlignment="1">
      <alignment horizontal="left"/>
    </xf>
    <xf numFmtId="0" fontId="0" fillId="22" borderId="28" xfId="0" applyFill="1" applyBorder="1" applyAlignment="1">
      <alignment horizontal="left"/>
    </xf>
    <xf numFmtId="0" fontId="8" fillId="22" borderId="1" xfId="0" applyFont="1" applyFill="1" applyBorder="1" applyAlignment="1">
      <alignment horizontal="left"/>
    </xf>
    <xf numFmtId="0" fontId="8" fillId="22" borderId="3" xfId="0" applyFont="1" applyFill="1" applyBorder="1" applyAlignment="1">
      <alignment horizontal="left"/>
    </xf>
    <xf numFmtId="0" fontId="0" fillId="22" borderId="6" xfId="0" applyFill="1" applyBorder="1" applyAlignment="1">
      <alignment horizontal="left"/>
    </xf>
    <xf numFmtId="0" fontId="0" fillId="22" borderId="8" xfId="0" applyFill="1" applyBorder="1" applyAlignment="1">
      <alignment horizontal="left"/>
    </xf>
    <xf numFmtId="10" fontId="0" fillId="22" borderId="24" xfId="0" applyNumberFormat="1" applyFill="1" applyBorder="1"/>
    <xf numFmtId="0" fontId="17" fillId="15" borderId="0" xfId="0" applyFont="1" applyFill="1" applyAlignment="1">
      <alignment horizontal="center"/>
    </xf>
    <xf numFmtId="0" fontId="17" fillId="15" borderId="5" xfId="0" applyFont="1" applyFill="1" applyBorder="1" applyAlignment="1">
      <alignment horizontal="center"/>
    </xf>
    <xf numFmtId="0" fontId="18" fillId="15" borderId="2" xfId="0" applyFont="1" applyFill="1" applyBorder="1" applyAlignment="1">
      <alignment horizontal="center" vertical="center"/>
    </xf>
  </cellXfs>
  <cellStyles count="1">
    <cellStyle name="Normal" xfId="0" builtinId="0"/>
  </cellStyles>
  <dxfs count="17">
    <dxf>
      <fill>
        <patternFill>
          <bgColor rgb="FFFF0000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theme="1"/>
        </patternFill>
      </fill>
    </dxf>
    <dxf>
      <font>
        <condense val="0"/>
        <extend val="0"/>
        <color indexed="55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836545120345178"/>
          <c:y val="0.27272861786131758"/>
          <c:w val="0.43750102703629018"/>
          <c:h val="0.45959822639592407"/>
        </c:manualLayout>
      </c:layout>
      <c:pie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00800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"/>
            <c:bubble3D val="0"/>
            <c:spPr>
              <a:solidFill>
                <a:srgbClr val="FFFF99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"/>
            <c:bubble3D val="0"/>
            <c:spPr>
              <a:solidFill>
                <a:srgbClr val="FFFF0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3"/>
            <c:bubble3D val="0"/>
            <c:spPr>
              <a:solidFill>
                <a:srgbClr val="FF660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4"/>
            <c:bubble3D val="0"/>
            <c:spPr>
              <a:solidFill>
                <a:srgbClr val="FF000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val>
            <c:numRef>
              <c:f>Combat!$R$28:$R$32</c:f>
              <c:numCache>
                <c:formatCode>0.00</c:formatCode>
                <c:ptCount val="5"/>
                <c:pt idx="0">
                  <c:v>93.981481481481481</c:v>
                </c:pt>
                <c:pt idx="1">
                  <c:v>1.8518518518518516</c:v>
                </c:pt>
                <c:pt idx="2">
                  <c:v>1.3888888888888888</c:v>
                </c:pt>
                <c:pt idx="3">
                  <c:v>0</c:v>
                </c:pt>
                <c:pt idx="4">
                  <c:v>2.7777777777777777</c:v>
                </c:pt>
              </c:numCache>
            </c:numRef>
          </c:val>
        </c:ser>
        <c:ser>
          <c:idx val="1"/>
          <c:order val="1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"/>
            <c:bubble3D val="0"/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4"/>
            <c:bubble3D val="0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val>
            <c:numRef>
              <c:f>Combat!$S$28:$S$32</c:f>
              <c:numCache>
                <c:formatCode>0.00</c:formatCode>
                <c:ptCount val="5"/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969696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47625</xdr:colOff>
      <xdr:row>32</xdr:row>
      <xdr:rowOff>47625</xdr:rowOff>
    </xdr:from>
    <xdr:to>
      <xdr:col>21</xdr:col>
      <xdr:colOff>47625</xdr:colOff>
      <xdr:row>43</xdr:row>
      <xdr:rowOff>152400</xdr:rowOff>
    </xdr:to>
    <xdr:graphicFrame macro="">
      <xdr:nvGraphicFramePr>
        <xdr:cNvPr id="1030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17</xdr:row>
          <xdr:rowOff>9525</xdr:rowOff>
        </xdr:from>
        <xdr:to>
          <xdr:col>3</xdr:col>
          <xdr:colOff>1828800</xdr:colOff>
          <xdr:row>18</xdr:row>
          <xdr:rowOff>171450</xdr:rowOff>
        </xdr:to>
        <xdr:sp macro="" textlink="">
          <xdr:nvSpPr>
            <xdr:cNvPr id="4099" name="Button 3" descr="2d6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FrutigerNEM"/>
                </a:rPr>
                <a:t>Roll 2d6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:AH46"/>
  <sheetViews>
    <sheetView tabSelected="1" workbookViewId="0">
      <selection activeCell="Y5" sqref="Y5"/>
    </sheetView>
  </sheetViews>
  <sheetFormatPr defaultColWidth="3.7109375" defaultRowHeight="12.75"/>
  <cols>
    <col min="1" max="2" width="3.7109375" style="24" customWidth="1"/>
    <col min="3" max="3" width="4.140625" style="24" bestFit="1" customWidth="1"/>
    <col min="4" max="28" width="3.7109375" style="24" customWidth="1"/>
    <col min="29" max="30" width="4.7109375" style="24" hidden="1" customWidth="1"/>
    <col min="31" max="34" width="3.7109375" style="24" hidden="1" customWidth="1"/>
    <col min="35" max="16384" width="3.7109375" style="24"/>
  </cols>
  <sheetData>
    <row r="1" spans="1:34" ht="13.5">
      <c r="A1" s="24" t="s">
        <v>374</v>
      </c>
    </row>
    <row r="2" spans="1:34">
      <c r="A2" s="24" t="s">
        <v>304</v>
      </c>
    </row>
    <row r="3" spans="1:34">
      <c r="A3" s="24" t="s">
        <v>303</v>
      </c>
    </row>
    <row r="4" spans="1:34">
      <c r="AC4" s="25"/>
      <c r="AD4" s="25"/>
      <c r="AE4" s="25"/>
      <c r="AF4" s="25"/>
      <c r="AG4" s="25"/>
      <c r="AH4" s="25"/>
    </row>
    <row r="6" spans="1:34" ht="18.75">
      <c r="B6" s="82" t="s">
        <v>300</v>
      </c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75" t="s">
        <v>191</v>
      </c>
      <c r="P6" s="75"/>
      <c r="Q6" s="75"/>
      <c r="R6" s="75" t="s">
        <v>96</v>
      </c>
      <c r="S6" s="75"/>
      <c r="T6" s="75"/>
      <c r="AC6" s="26" t="s">
        <v>93</v>
      </c>
      <c r="AD6" s="27" t="s">
        <v>290</v>
      </c>
      <c r="AE6" s="26" t="s">
        <v>190</v>
      </c>
      <c r="AF6" s="27" t="s">
        <v>291</v>
      </c>
      <c r="AG6" s="27"/>
      <c r="AH6" s="28"/>
    </row>
    <row r="7" spans="1:34">
      <c r="B7" s="72" t="s">
        <v>6</v>
      </c>
      <c r="C7" s="72"/>
      <c r="D7" s="72"/>
      <c r="E7" s="72"/>
      <c r="F7" s="73"/>
      <c r="G7" s="79" t="s">
        <v>137</v>
      </c>
      <c r="H7" s="80"/>
      <c r="I7" s="80"/>
      <c r="J7" s="80"/>
      <c r="K7" s="80"/>
      <c r="L7" s="80"/>
      <c r="M7" s="80"/>
      <c r="N7" s="81"/>
      <c r="O7" s="76" t="str">
        <f>VLOOKUP(G7,WARS_table,2,FALSE)</f>
        <v>8</v>
      </c>
      <c r="P7" s="77"/>
      <c r="Q7" s="77"/>
      <c r="R7" s="76" t="str">
        <f>VLOOKUP(G7,WARS_table,3,FALSE)</f>
        <v>2</v>
      </c>
      <c r="S7" s="77"/>
      <c r="T7" s="78"/>
      <c r="AC7" s="76">
        <f>IF(AC12,0,VLOOKUP(G7,WARS_table,5,FALSE))</f>
        <v>5</v>
      </c>
      <c r="AD7" s="77"/>
      <c r="AE7" s="76">
        <f>IF(AC12,0,VLOOKUP(G7,WARS_table,6,FALSE))</f>
        <v>17</v>
      </c>
      <c r="AF7" s="77"/>
      <c r="AG7" s="129">
        <f>IF(AC12,0,VLOOKUP(G7,WARS_table,7,FALSE))</f>
        <v>0</v>
      </c>
      <c r="AH7" s="130"/>
    </row>
    <row r="8" spans="1:34">
      <c r="B8" s="72" t="s">
        <v>282</v>
      </c>
      <c r="C8" s="72"/>
      <c r="D8" s="72"/>
      <c r="E8" s="72"/>
      <c r="F8" s="73"/>
      <c r="G8" s="79" t="s">
        <v>196</v>
      </c>
      <c r="H8" s="80"/>
      <c r="I8" s="80"/>
      <c r="J8" s="80"/>
      <c r="K8" s="80"/>
      <c r="L8" s="80"/>
      <c r="M8" s="80"/>
      <c r="N8" s="81"/>
      <c r="O8" s="76">
        <f>VLOOKUP(G8,ENEMY_LEADERS_table,2,FALSE)</f>
        <v>0</v>
      </c>
      <c r="P8" s="77"/>
      <c r="Q8" s="78"/>
      <c r="R8" s="29"/>
      <c r="S8" s="30"/>
      <c r="T8" s="31"/>
      <c r="AC8" s="76">
        <f>VLOOKUP(G8,ENEMY_LEADERS_table,5,FALSE)</f>
        <v>0</v>
      </c>
      <c r="AD8" s="77"/>
      <c r="AE8" s="76">
        <f>VLOOKUP(G8,ENEMY_LEADERS_table,6,FALSE)</f>
        <v>0</v>
      </c>
      <c r="AF8" s="77"/>
      <c r="AG8" s="76">
        <f>VLOOKUP(G8,ENEMY_LEADERS_table,7,FALSE)</f>
        <v>0</v>
      </c>
      <c r="AH8" s="77"/>
    </row>
    <row r="9" spans="1:34">
      <c r="B9" s="72" t="s">
        <v>282</v>
      </c>
      <c r="C9" s="72"/>
      <c r="D9" s="72"/>
      <c r="E9" s="72"/>
      <c r="F9" s="73"/>
      <c r="G9" s="79" t="s">
        <v>196</v>
      </c>
      <c r="H9" s="80"/>
      <c r="I9" s="80"/>
      <c r="J9" s="80"/>
      <c r="K9" s="80"/>
      <c r="L9" s="80"/>
      <c r="M9" s="80"/>
      <c r="N9" s="81"/>
      <c r="O9" s="76">
        <f>VLOOKUP(G9,ENEMY_LEADERS_table,2,FALSE)</f>
        <v>0</v>
      </c>
      <c r="P9" s="77"/>
      <c r="Q9" s="78"/>
      <c r="R9" s="32"/>
      <c r="S9" s="33"/>
      <c r="T9" s="34"/>
      <c r="AC9" s="76">
        <f>VLOOKUP(G9,ENEMY_LEADERS_table,5,FALSE)</f>
        <v>0</v>
      </c>
      <c r="AD9" s="77"/>
      <c r="AE9" s="76">
        <f>VLOOKUP(G9,ENEMY_LEADERS_table,6,FALSE)</f>
        <v>0</v>
      </c>
      <c r="AF9" s="77"/>
      <c r="AG9" s="76">
        <f>VLOOKUP(G9,ENEMY_LEADERS_table,7,FALSE)</f>
        <v>0</v>
      </c>
      <c r="AH9" s="77"/>
    </row>
    <row r="10" spans="1:34">
      <c r="B10" s="72" t="s">
        <v>282</v>
      </c>
      <c r="C10" s="72"/>
      <c r="D10" s="72"/>
      <c r="E10" s="72"/>
      <c r="F10" s="73"/>
      <c r="G10" s="79" t="s">
        <v>196</v>
      </c>
      <c r="H10" s="80"/>
      <c r="I10" s="80"/>
      <c r="J10" s="80"/>
      <c r="K10" s="80"/>
      <c r="L10" s="80"/>
      <c r="M10" s="80"/>
      <c r="N10" s="81"/>
      <c r="O10" s="76">
        <f>VLOOKUP(G10,ENEMY_LEADERS_table,2,FALSE)</f>
        <v>0</v>
      </c>
      <c r="P10" s="77"/>
      <c r="Q10" s="78"/>
      <c r="R10" s="32"/>
      <c r="S10" s="33"/>
      <c r="T10" s="34"/>
      <c r="AC10" s="76">
        <f>VLOOKUP(G10,ENEMY_LEADERS_table,5,FALSE)</f>
        <v>0</v>
      </c>
      <c r="AD10" s="77"/>
      <c r="AE10" s="76">
        <f>VLOOKUP(G10,ENEMY_LEADERS_table,6,FALSE)</f>
        <v>0</v>
      </c>
      <c r="AF10" s="77"/>
      <c r="AG10" s="76">
        <f>VLOOKUP(G10,ENEMY_LEADERS_table,7,FALSE)</f>
        <v>0</v>
      </c>
      <c r="AH10" s="77"/>
    </row>
    <row r="11" spans="1:34">
      <c r="B11" s="72" t="s">
        <v>289</v>
      </c>
      <c r="C11" s="72"/>
      <c r="D11" s="72"/>
      <c r="E11" s="72"/>
      <c r="F11" s="73"/>
      <c r="G11" s="79" t="s">
        <v>196</v>
      </c>
      <c r="H11" s="80"/>
      <c r="I11" s="80"/>
      <c r="J11" s="80"/>
      <c r="K11" s="80"/>
      <c r="L11" s="80"/>
      <c r="M11" s="80"/>
      <c r="N11" s="81"/>
      <c r="O11" s="76">
        <f>VLOOKUP(G11,SENATORS_table,2,FALSE)</f>
        <v>0</v>
      </c>
      <c r="P11" s="77"/>
      <c r="Q11" s="78"/>
      <c r="S11" s="36"/>
      <c r="T11" s="37"/>
      <c r="U11" s="39" t="str">
        <f>VLOOKUP(G11,SENATORS_table,6,FALSE)</f>
        <v xml:space="preserve"> </v>
      </c>
      <c r="AC11" s="127" t="s">
        <v>254</v>
      </c>
      <c r="AD11" s="128"/>
    </row>
    <row r="12" spans="1:34">
      <c r="B12" s="72" t="s">
        <v>288</v>
      </c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3"/>
      <c r="O12" s="124">
        <v>0</v>
      </c>
      <c r="P12" s="125"/>
      <c r="Q12" s="126"/>
      <c r="R12" s="124">
        <v>0</v>
      </c>
      <c r="S12" s="125"/>
      <c r="T12" s="126"/>
      <c r="AC12" s="122" t="b">
        <f>OR(NOT(ISERROR(SEARCH($AD$20,G7))),NOT(ISERROR(SEARCH($AC$20,G7))))</f>
        <v>0</v>
      </c>
      <c r="AD12" s="123"/>
    </row>
    <row r="13" spans="1:34">
      <c r="B13" s="72" t="s">
        <v>279</v>
      </c>
      <c r="C13" s="72"/>
      <c r="D13" s="72"/>
      <c r="E13" s="72"/>
      <c r="F13" s="73"/>
      <c r="G13" s="79" t="s">
        <v>196</v>
      </c>
      <c r="H13" s="80"/>
      <c r="I13" s="80"/>
      <c r="J13" s="80"/>
      <c r="K13" s="80"/>
      <c r="L13" s="80"/>
      <c r="M13" s="80"/>
      <c r="N13" s="81"/>
      <c r="O13" s="76">
        <f>VLOOKUP(G13,PROVINCES_table,2,FALSE)</f>
        <v>0</v>
      </c>
      <c r="P13" s="77"/>
      <c r="Q13" s="77"/>
      <c r="R13" s="76">
        <f>VLOOKUP(G13,PROVINCES_table,3,FALSE)</f>
        <v>0</v>
      </c>
      <c r="S13" s="77"/>
      <c r="T13" s="78"/>
    </row>
    <row r="14" spans="1:34">
      <c r="B14" s="72" t="s">
        <v>279</v>
      </c>
      <c r="C14" s="72"/>
      <c r="D14" s="72"/>
      <c r="E14" s="72"/>
      <c r="F14" s="73"/>
      <c r="G14" s="79" t="s">
        <v>196</v>
      </c>
      <c r="H14" s="80"/>
      <c r="I14" s="80"/>
      <c r="J14" s="80"/>
      <c r="K14" s="80"/>
      <c r="L14" s="80"/>
      <c r="M14" s="80"/>
      <c r="N14" s="81"/>
      <c r="O14" s="76">
        <f>VLOOKUP(G14,PROVINCES_table,2,FALSE)</f>
        <v>0</v>
      </c>
      <c r="P14" s="77"/>
      <c r="Q14" s="77"/>
      <c r="R14" s="76">
        <f>VLOOKUP(G14,PROVINCES_table,3,FALSE)</f>
        <v>0</v>
      </c>
      <c r="S14" s="77"/>
      <c r="T14" s="78"/>
    </row>
    <row r="15" spans="1:34">
      <c r="B15" s="72" t="s">
        <v>279</v>
      </c>
      <c r="C15" s="72"/>
      <c r="D15" s="72"/>
      <c r="E15" s="72"/>
      <c r="F15" s="73"/>
      <c r="G15" s="79" t="s">
        <v>196</v>
      </c>
      <c r="H15" s="80"/>
      <c r="I15" s="80"/>
      <c r="J15" s="80"/>
      <c r="K15" s="80"/>
      <c r="L15" s="80"/>
      <c r="M15" s="80"/>
      <c r="N15" s="81"/>
      <c r="O15" s="76">
        <f>VLOOKUP(G15,PROVINCES_table,2,FALSE)</f>
        <v>0</v>
      </c>
      <c r="P15" s="77"/>
      <c r="Q15" s="77"/>
      <c r="R15" s="76">
        <f>VLOOKUP(G15,PROVINCES_table,3,FALSE)</f>
        <v>0</v>
      </c>
      <c r="S15" s="77"/>
      <c r="T15" s="78"/>
    </row>
    <row r="16" spans="1:34">
      <c r="B16" s="72" t="s">
        <v>286</v>
      </c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3"/>
      <c r="O16" s="124">
        <v>0</v>
      </c>
      <c r="P16" s="125"/>
      <c r="Q16" s="126"/>
      <c r="R16" s="124">
        <v>0</v>
      </c>
      <c r="S16" s="125"/>
      <c r="T16" s="126"/>
    </row>
    <row r="17" spans="2:34">
      <c r="B17" s="72" t="s">
        <v>284</v>
      </c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3"/>
      <c r="O17" s="76">
        <f>O7+O8+O9+O10+O13+O14+O15+O16+O12+O11</f>
        <v>8</v>
      </c>
      <c r="P17" s="77"/>
      <c r="Q17" s="78"/>
      <c r="R17" s="76">
        <f>R7+R13+R14+R15+R16+R12</f>
        <v>2</v>
      </c>
      <c r="S17" s="77"/>
      <c r="T17" s="78"/>
    </row>
    <row r="18" spans="2:34">
      <c r="B18" s="39"/>
    </row>
    <row r="19" spans="2:34" ht="18.75">
      <c r="B19" s="82" t="s">
        <v>301</v>
      </c>
      <c r="C19" s="82"/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75" t="s">
        <v>191</v>
      </c>
      <c r="P19" s="75"/>
      <c r="Q19" s="75"/>
      <c r="R19" s="75" t="s">
        <v>96</v>
      </c>
      <c r="S19" s="75"/>
      <c r="T19" s="75"/>
      <c r="AC19" s="38" t="s">
        <v>202</v>
      </c>
      <c r="AD19" s="38"/>
    </row>
    <row r="20" spans="2:34">
      <c r="B20" s="72" t="s">
        <v>283</v>
      </c>
      <c r="C20" s="72"/>
      <c r="D20" s="72"/>
      <c r="E20" s="72"/>
      <c r="F20" s="73"/>
      <c r="G20" s="79" t="s">
        <v>219</v>
      </c>
      <c r="H20" s="80"/>
      <c r="I20" s="80"/>
      <c r="J20" s="80"/>
      <c r="K20" s="80"/>
      <c r="L20" s="80"/>
      <c r="M20" s="80"/>
      <c r="N20" s="81"/>
      <c r="O20" s="76">
        <f>VLOOKUP(G20,SENATORS_table,2,FALSE)+O21</f>
        <v>4</v>
      </c>
      <c r="P20" s="77"/>
      <c r="Q20" s="78"/>
      <c r="R20" s="29"/>
      <c r="S20" s="30"/>
      <c r="T20" s="31"/>
      <c r="U20" s="39" t="str">
        <f>VLOOKUP(G20,SENATORS_table,6,FALSE)</f>
        <v xml:space="preserve"> </v>
      </c>
      <c r="AC20" s="40" t="str">
        <f>VLOOKUP(G20,SENATORS_table,9,FALSE)</f>
        <v>xxx</v>
      </c>
      <c r="AD20" s="40" t="str">
        <f>VLOOKUP(G20,SENATORS_table,10,FALSE)</f>
        <v>xxx</v>
      </c>
    </row>
    <row r="21" spans="2:34">
      <c r="B21" s="72" t="s">
        <v>195</v>
      </c>
      <c r="C21" s="72"/>
      <c r="D21" s="72"/>
      <c r="E21" s="72"/>
      <c r="F21" s="73"/>
      <c r="G21" s="79" t="s">
        <v>196</v>
      </c>
      <c r="H21" s="80"/>
      <c r="I21" s="80"/>
      <c r="J21" s="80"/>
      <c r="K21" s="80"/>
      <c r="L21" s="80"/>
      <c r="M21" s="80"/>
      <c r="N21" s="81"/>
      <c r="O21" s="76">
        <f>VLOOKUP(G21,SENATORS_table,2,FALSE)</f>
        <v>0</v>
      </c>
      <c r="P21" s="77"/>
      <c r="Q21" s="78"/>
      <c r="R21" s="35"/>
      <c r="S21" s="36"/>
      <c r="T21" s="37"/>
    </row>
    <row r="22" spans="2:34">
      <c r="B22" s="72" t="s">
        <v>287</v>
      </c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3"/>
      <c r="O22" s="124">
        <v>12</v>
      </c>
      <c r="P22" s="125"/>
      <c r="Q22" s="126"/>
      <c r="R22" s="124">
        <v>2</v>
      </c>
      <c r="S22" s="125"/>
      <c r="T22" s="126"/>
    </row>
    <row r="23" spans="2:34">
      <c r="B23" s="72" t="s">
        <v>281</v>
      </c>
      <c r="C23" s="72"/>
      <c r="D23" s="72"/>
      <c r="E23" s="72"/>
      <c r="F23" s="73"/>
      <c r="G23" s="79" t="s">
        <v>196</v>
      </c>
      <c r="H23" s="80"/>
      <c r="I23" s="80"/>
      <c r="J23" s="80"/>
      <c r="K23" s="80"/>
      <c r="L23" s="80"/>
      <c r="M23" s="80"/>
      <c r="N23" s="81"/>
      <c r="O23" s="76">
        <f>VLOOKUP(G23,PROVINCES_table,2,FALSE)</f>
        <v>0</v>
      </c>
      <c r="P23" s="77"/>
      <c r="Q23" s="77"/>
      <c r="R23" s="76">
        <f>VLOOKUP(G23,PROVINCES_table,3,FALSE)</f>
        <v>0</v>
      </c>
      <c r="S23" s="77"/>
      <c r="T23" s="78"/>
    </row>
    <row r="24" spans="2:34">
      <c r="B24" s="72" t="s">
        <v>285</v>
      </c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3"/>
      <c r="O24" s="124">
        <v>0</v>
      </c>
      <c r="P24" s="125"/>
      <c r="Q24" s="126"/>
      <c r="R24" s="124">
        <v>0</v>
      </c>
      <c r="S24" s="125"/>
      <c r="T24" s="126"/>
    </row>
    <row r="25" spans="2:34">
      <c r="B25" s="72" t="s">
        <v>284</v>
      </c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3"/>
      <c r="O25" s="76">
        <f>O20+O22+O23+O24</f>
        <v>16</v>
      </c>
      <c r="P25" s="77"/>
      <c r="Q25" s="78"/>
      <c r="R25" s="76">
        <f>R22+R23+R24</f>
        <v>2</v>
      </c>
      <c r="S25" s="77"/>
      <c r="T25" s="78"/>
    </row>
    <row r="27" spans="2:34" ht="20.25">
      <c r="B27" s="41" t="str">
        <f>IF((O25-O17)&lt;&gt;0,IF((O25-O17)&lt;0,"-","+"),"")</f>
        <v>+</v>
      </c>
      <c r="C27" s="42">
        <f>ABS(O25-O17)</f>
        <v>8</v>
      </c>
      <c r="D27" s="74" t="s">
        <v>1</v>
      </c>
      <c r="E27" s="74"/>
      <c r="F27" s="74"/>
      <c r="G27" s="74"/>
      <c r="H27" s="74"/>
      <c r="I27" s="74"/>
      <c r="J27" s="74"/>
      <c r="K27" s="74"/>
      <c r="L27" s="74"/>
      <c r="M27" s="74"/>
      <c r="O27" s="75" t="s">
        <v>296</v>
      </c>
      <c r="P27" s="75"/>
      <c r="Q27" s="75"/>
      <c r="R27" s="75" t="s">
        <v>0</v>
      </c>
      <c r="S27" s="75"/>
    </row>
    <row r="28" spans="2:34">
      <c r="B28" s="85" t="s">
        <v>299</v>
      </c>
      <c r="C28" s="85"/>
      <c r="D28" s="75" t="s">
        <v>298</v>
      </c>
      <c r="E28" s="75"/>
      <c r="F28" s="75" t="s">
        <v>296</v>
      </c>
      <c r="G28" s="75"/>
      <c r="H28" s="75"/>
      <c r="I28" s="75" t="s">
        <v>302</v>
      </c>
      <c r="J28" s="75"/>
      <c r="K28" s="75"/>
      <c r="L28" s="75"/>
      <c r="M28" s="75"/>
      <c r="O28" s="116" t="s">
        <v>122</v>
      </c>
      <c r="P28" s="117"/>
      <c r="Q28" s="118"/>
      <c r="R28" s="102">
        <f>AH45</f>
        <v>93.981481481481481</v>
      </c>
      <c r="S28" s="103"/>
      <c r="AC28" s="38"/>
      <c r="AD28" s="38" t="s">
        <v>293</v>
      </c>
      <c r="AE28" s="38" t="s">
        <v>294</v>
      </c>
      <c r="AF28" s="38" t="s">
        <v>297</v>
      </c>
      <c r="AG28" s="38" t="s">
        <v>292</v>
      </c>
      <c r="AH28" s="38" t="s">
        <v>295</v>
      </c>
    </row>
    <row r="29" spans="2:34">
      <c r="B29" s="85">
        <v>3</v>
      </c>
      <c r="C29" s="86"/>
      <c r="D29" s="87">
        <f t="shared" ref="D29:D44" si="0">B29+$O$25-$O$17</f>
        <v>11</v>
      </c>
      <c r="E29" s="87"/>
      <c r="F29" s="88" t="str">
        <f t="shared" ref="F29:F44" si="1">IF(OR(B29=$AC$7,B29=$AC$8,B29=$AC$9,B29=$AC$10),$AC$6,IF(OR(B29=$AE$7,B29=$AE$8,B29=$AE$9,B29=$AE$10,B29=$AG$7),$AE$6,VLOOKUP(D29,COMBAT_table,4,FALSE)))</f>
        <v>Stalemate</v>
      </c>
      <c r="G29" s="89"/>
      <c r="H29" s="90"/>
      <c r="I29" s="88" t="str">
        <f t="shared" ref="I29:I44" si="2">IF(OR(B29=$AC$7,B29=$AC$8,B29=$AC$9,B29=$AC$10),$AD$6,IF(OR(B29=$AE$7,B29=$AE$8,B29=$AE$9,B29=$AE$10,B29=$AG$7),$AF$6,VLOOKUP(D29,COMBAT_table,5,FALSE)))</f>
        <v>2 Legions/2 Fleets</v>
      </c>
      <c r="J29" s="89"/>
      <c r="K29" s="89"/>
      <c r="L29" s="89"/>
      <c r="M29" s="90"/>
      <c r="O29" s="113" t="s">
        <v>114</v>
      </c>
      <c r="P29" s="114"/>
      <c r="Q29" s="115"/>
      <c r="R29" s="100">
        <f>AG45</f>
        <v>1.8518518518518516</v>
      </c>
      <c r="S29" s="101"/>
      <c r="AC29" s="38">
        <f t="shared" ref="AC29:AC44" si="3">VLOOKUP(B29,COMBAT_table,3,FALSE)</f>
        <v>0.46296296296296291</v>
      </c>
      <c r="AD29" s="38">
        <f t="shared" ref="AD29:AD44" si="4">IF(F29=$O$32,AC29,0)</f>
        <v>0</v>
      </c>
      <c r="AE29" s="38">
        <f t="shared" ref="AE29:AE44" si="5">IF(F29=$O$31,AC29,0)</f>
        <v>0</v>
      </c>
      <c r="AF29" s="38">
        <f t="shared" ref="AF29:AF44" si="6">IF(F29=$O$30,AC29,0)</f>
        <v>0</v>
      </c>
      <c r="AG29" s="38">
        <f t="shared" ref="AG29:AG44" si="7">IF(F29=$O$29,AC29,0)</f>
        <v>0.46296296296296291</v>
      </c>
      <c r="AH29" s="38">
        <f t="shared" ref="AH29:AH44" si="8">IF(F29=$O$28,AC29,0)</f>
        <v>0</v>
      </c>
    </row>
    <row r="30" spans="2:34">
      <c r="B30" s="85">
        <v>4</v>
      </c>
      <c r="C30" s="86"/>
      <c r="D30" s="83">
        <f t="shared" si="0"/>
        <v>12</v>
      </c>
      <c r="E30" s="83"/>
      <c r="F30" s="91" t="str">
        <f t="shared" si="1"/>
        <v>Stalemate</v>
      </c>
      <c r="G30" s="92"/>
      <c r="H30" s="93"/>
      <c r="I30" s="91" t="str">
        <f t="shared" si="2"/>
        <v>1 Legion/1 Fleet</v>
      </c>
      <c r="J30" s="92"/>
      <c r="K30" s="92"/>
      <c r="L30" s="92"/>
      <c r="M30" s="93"/>
      <c r="O30" s="110" t="s">
        <v>190</v>
      </c>
      <c r="P30" s="111"/>
      <c r="Q30" s="112"/>
      <c r="R30" s="98">
        <f>AF45</f>
        <v>1.3888888888888888</v>
      </c>
      <c r="S30" s="99"/>
      <c r="AC30" s="38">
        <f t="shared" si="3"/>
        <v>1.3888888888888888</v>
      </c>
      <c r="AD30" s="38">
        <f t="shared" si="4"/>
        <v>0</v>
      </c>
      <c r="AE30" s="38">
        <f t="shared" si="5"/>
        <v>0</v>
      </c>
      <c r="AF30" s="38">
        <f t="shared" si="6"/>
        <v>0</v>
      </c>
      <c r="AG30" s="38">
        <f t="shared" si="7"/>
        <v>1.3888888888888888</v>
      </c>
      <c r="AH30" s="38">
        <f t="shared" si="8"/>
        <v>0</v>
      </c>
    </row>
    <row r="31" spans="2:34">
      <c r="B31" s="85">
        <v>5</v>
      </c>
      <c r="C31" s="86"/>
      <c r="D31" s="83">
        <f t="shared" si="0"/>
        <v>13</v>
      </c>
      <c r="E31" s="83"/>
      <c r="F31" s="91" t="str">
        <f t="shared" si="1"/>
        <v>Disaster</v>
      </c>
      <c r="G31" s="92"/>
      <c r="H31" s="93"/>
      <c r="I31" s="91" t="str">
        <f t="shared" si="2"/>
        <v>Half</v>
      </c>
      <c r="J31" s="92"/>
      <c r="K31" s="92"/>
      <c r="L31" s="92"/>
      <c r="M31" s="93"/>
      <c r="O31" s="107" t="s">
        <v>103</v>
      </c>
      <c r="P31" s="108"/>
      <c r="Q31" s="109"/>
      <c r="R31" s="96">
        <f>AE45</f>
        <v>0</v>
      </c>
      <c r="S31" s="97"/>
      <c r="AC31" s="38">
        <f t="shared" si="3"/>
        <v>2.7777777777777777</v>
      </c>
      <c r="AD31" s="38">
        <f t="shared" si="4"/>
        <v>2.7777777777777777</v>
      </c>
      <c r="AE31" s="38">
        <f t="shared" si="5"/>
        <v>0</v>
      </c>
      <c r="AF31" s="38">
        <f t="shared" si="6"/>
        <v>0</v>
      </c>
      <c r="AG31" s="38">
        <f t="shared" si="7"/>
        <v>0</v>
      </c>
      <c r="AH31" s="38">
        <f t="shared" si="8"/>
        <v>0</v>
      </c>
    </row>
    <row r="32" spans="2:34">
      <c r="B32" s="85">
        <v>6</v>
      </c>
      <c r="C32" s="86"/>
      <c r="D32" s="83">
        <f t="shared" si="0"/>
        <v>14</v>
      </c>
      <c r="E32" s="83"/>
      <c r="F32" s="91" t="str">
        <f t="shared" si="1"/>
        <v>Victory</v>
      </c>
      <c r="G32" s="92"/>
      <c r="H32" s="93"/>
      <c r="I32" s="91" t="str">
        <f t="shared" si="2"/>
        <v>4 Legions/4 Fleets</v>
      </c>
      <c r="J32" s="92"/>
      <c r="K32" s="92"/>
      <c r="L32" s="92"/>
      <c r="M32" s="93"/>
      <c r="O32" s="104" t="s">
        <v>93</v>
      </c>
      <c r="P32" s="105"/>
      <c r="Q32" s="106"/>
      <c r="R32" s="94">
        <f>AD45</f>
        <v>2.7777777777777777</v>
      </c>
      <c r="S32" s="95"/>
      <c r="AC32" s="38">
        <f t="shared" si="3"/>
        <v>4.6296296296296298</v>
      </c>
      <c r="AD32" s="38">
        <f t="shared" si="4"/>
        <v>0</v>
      </c>
      <c r="AE32" s="38">
        <f t="shared" si="5"/>
        <v>0</v>
      </c>
      <c r="AF32" s="38">
        <f t="shared" si="6"/>
        <v>0</v>
      </c>
      <c r="AG32" s="38">
        <f t="shared" si="7"/>
        <v>0</v>
      </c>
      <c r="AH32" s="38">
        <f t="shared" si="8"/>
        <v>4.6296296296296298</v>
      </c>
    </row>
    <row r="33" spans="2:34">
      <c r="B33" s="85">
        <v>7</v>
      </c>
      <c r="C33" s="86"/>
      <c r="D33" s="83">
        <f t="shared" si="0"/>
        <v>15</v>
      </c>
      <c r="E33" s="83"/>
      <c r="F33" s="91" t="str">
        <f t="shared" si="1"/>
        <v>Victory</v>
      </c>
      <c r="G33" s="92"/>
      <c r="H33" s="93"/>
      <c r="I33" s="91" t="str">
        <f t="shared" si="2"/>
        <v>3 Legions/3 Fleets</v>
      </c>
      <c r="J33" s="92"/>
      <c r="K33" s="92"/>
      <c r="L33" s="92"/>
      <c r="M33" s="93"/>
      <c r="AC33" s="38">
        <f t="shared" si="3"/>
        <v>6.9444444444444446</v>
      </c>
      <c r="AD33" s="38">
        <f t="shared" si="4"/>
        <v>0</v>
      </c>
      <c r="AE33" s="38">
        <f t="shared" si="5"/>
        <v>0</v>
      </c>
      <c r="AF33" s="38">
        <f t="shared" si="6"/>
        <v>0</v>
      </c>
      <c r="AG33" s="38">
        <f t="shared" si="7"/>
        <v>0</v>
      </c>
      <c r="AH33" s="38">
        <f t="shared" si="8"/>
        <v>6.9444444444444446</v>
      </c>
    </row>
    <row r="34" spans="2:34">
      <c r="B34" s="85">
        <v>8</v>
      </c>
      <c r="C34" s="86"/>
      <c r="D34" s="83">
        <f t="shared" si="0"/>
        <v>16</v>
      </c>
      <c r="E34" s="83"/>
      <c r="F34" s="91" t="str">
        <f t="shared" si="1"/>
        <v>Victory</v>
      </c>
      <c r="G34" s="92"/>
      <c r="H34" s="93"/>
      <c r="I34" s="91" t="str">
        <f t="shared" si="2"/>
        <v>2 Legions/2 Fleets</v>
      </c>
      <c r="J34" s="92"/>
      <c r="K34" s="92"/>
      <c r="L34" s="92"/>
      <c r="M34" s="93"/>
      <c r="AC34" s="38">
        <f t="shared" si="3"/>
        <v>9.7222222222222232</v>
      </c>
      <c r="AD34" s="38">
        <f t="shared" si="4"/>
        <v>0</v>
      </c>
      <c r="AE34" s="38">
        <f t="shared" si="5"/>
        <v>0</v>
      </c>
      <c r="AF34" s="38">
        <f t="shared" si="6"/>
        <v>0</v>
      </c>
      <c r="AG34" s="38">
        <f t="shared" si="7"/>
        <v>0</v>
      </c>
      <c r="AH34" s="38">
        <f t="shared" si="8"/>
        <v>9.7222222222222232</v>
      </c>
    </row>
    <row r="35" spans="2:34">
      <c r="B35" s="85">
        <v>9</v>
      </c>
      <c r="C35" s="86"/>
      <c r="D35" s="83">
        <f t="shared" si="0"/>
        <v>17</v>
      </c>
      <c r="E35" s="83"/>
      <c r="F35" s="91" t="str">
        <f t="shared" si="1"/>
        <v>Victory</v>
      </c>
      <c r="G35" s="92"/>
      <c r="H35" s="93"/>
      <c r="I35" s="91" t="str">
        <f t="shared" si="2"/>
        <v>1 Legion/1 Fleet</v>
      </c>
      <c r="J35" s="92"/>
      <c r="K35" s="92"/>
      <c r="L35" s="92"/>
      <c r="M35" s="93"/>
      <c r="AC35" s="38">
        <f t="shared" si="3"/>
        <v>11.574074074074074</v>
      </c>
      <c r="AD35" s="38">
        <f t="shared" si="4"/>
        <v>0</v>
      </c>
      <c r="AE35" s="38">
        <f t="shared" si="5"/>
        <v>0</v>
      </c>
      <c r="AF35" s="38">
        <f t="shared" si="6"/>
        <v>0</v>
      </c>
      <c r="AG35" s="38">
        <f t="shared" si="7"/>
        <v>0</v>
      </c>
      <c r="AH35" s="38">
        <f t="shared" si="8"/>
        <v>11.574074074074074</v>
      </c>
    </row>
    <row r="36" spans="2:34">
      <c r="B36" s="85">
        <v>10</v>
      </c>
      <c r="C36" s="86"/>
      <c r="D36" s="83">
        <f t="shared" si="0"/>
        <v>18</v>
      </c>
      <c r="E36" s="83"/>
      <c r="F36" s="91" t="str">
        <f t="shared" si="1"/>
        <v>Victory</v>
      </c>
      <c r="G36" s="92"/>
      <c r="H36" s="93"/>
      <c r="I36" s="91" t="str">
        <f t="shared" si="2"/>
        <v>No Losses</v>
      </c>
      <c r="J36" s="92"/>
      <c r="K36" s="92"/>
      <c r="L36" s="92"/>
      <c r="M36" s="93"/>
      <c r="AC36" s="38">
        <f t="shared" si="3"/>
        <v>12.5</v>
      </c>
      <c r="AD36" s="38">
        <f t="shared" si="4"/>
        <v>0</v>
      </c>
      <c r="AE36" s="38">
        <f t="shared" si="5"/>
        <v>0</v>
      </c>
      <c r="AF36" s="38">
        <f t="shared" si="6"/>
        <v>0</v>
      </c>
      <c r="AG36" s="38">
        <f t="shared" si="7"/>
        <v>0</v>
      </c>
      <c r="AH36" s="38">
        <f t="shared" si="8"/>
        <v>12.5</v>
      </c>
    </row>
    <row r="37" spans="2:34">
      <c r="B37" s="85">
        <v>11</v>
      </c>
      <c r="C37" s="86"/>
      <c r="D37" s="83">
        <f t="shared" si="0"/>
        <v>19</v>
      </c>
      <c r="E37" s="83"/>
      <c r="F37" s="91" t="str">
        <f t="shared" si="1"/>
        <v>Victory</v>
      </c>
      <c r="G37" s="92"/>
      <c r="H37" s="93"/>
      <c r="I37" s="91" t="str">
        <f t="shared" si="2"/>
        <v>No Losses</v>
      </c>
      <c r="J37" s="92"/>
      <c r="K37" s="92"/>
      <c r="L37" s="92"/>
      <c r="M37" s="93"/>
      <c r="AC37" s="38">
        <f t="shared" si="3"/>
        <v>12.5</v>
      </c>
      <c r="AD37" s="38">
        <f t="shared" si="4"/>
        <v>0</v>
      </c>
      <c r="AE37" s="38">
        <f t="shared" si="5"/>
        <v>0</v>
      </c>
      <c r="AF37" s="38">
        <f t="shared" si="6"/>
        <v>0</v>
      </c>
      <c r="AG37" s="38">
        <f t="shared" si="7"/>
        <v>0</v>
      </c>
      <c r="AH37" s="38">
        <f t="shared" si="8"/>
        <v>12.5</v>
      </c>
    </row>
    <row r="38" spans="2:34">
      <c r="B38" s="85">
        <v>12</v>
      </c>
      <c r="C38" s="86"/>
      <c r="D38" s="83">
        <f t="shared" si="0"/>
        <v>20</v>
      </c>
      <c r="E38" s="83"/>
      <c r="F38" s="91" t="str">
        <f t="shared" si="1"/>
        <v>Victory</v>
      </c>
      <c r="G38" s="92"/>
      <c r="H38" s="93"/>
      <c r="I38" s="91" t="str">
        <f t="shared" si="2"/>
        <v>No Losses</v>
      </c>
      <c r="J38" s="92"/>
      <c r="K38" s="92"/>
      <c r="L38" s="92"/>
      <c r="M38" s="93"/>
      <c r="AC38" s="38">
        <f t="shared" si="3"/>
        <v>11.574074074074074</v>
      </c>
      <c r="AD38" s="38">
        <f t="shared" si="4"/>
        <v>0</v>
      </c>
      <c r="AE38" s="38">
        <f t="shared" si="5"/>
        <v>0</v>
      </c>
      <c r="AF38" s="38">
        <f t="shared" si="6"/>
        <v>0</v>
      </c>
      <c r="AG38" s="38">
        <f t="shared" si="7"/>
        <v>0</v>
      </c>
      <c r="AH38" s="38">
        <f t="shared" si="8"/>
        <v>11.574074074074074</v>
      </c>
    </row>
    <row r="39" spans="2:34">
      <c r="B39" s="85">
        <v>13</v>
      </c>
      <c r="C39" s="86"/>
      <c r="D39" s="83">
        <f t="shared" si="0"/>
        <v>21</v>
      </c>
      <c r="E39" s="83"/>
      <c r="F39" s="91" t="str">
        <f t="shared" si="1"/>
        <v>Victory</v>
      </c>
      <c r="G39" s="92"/>
      <c r="H39" s="93"/>
      <c r="I39" s="91" t="str">
        <f t="shared" si="2"/>
        <v>No Losses</v>
      </c>
      <c r="J39" s="92"/>
      <c r="K39" s="92"/>
      <c r="L39" s="92"/>
      <c r="M39" s="93"/>
      <c r="AC39" s="38">
        <f t="shared" si="3"/>
        <v>9.7222222222222232</v>
      </c>
      <c r="AD39" s="38">
        <f t="shared" si="4"/>
        <v>0</v>
      </c>
      <c r="AE39" s="38">
        <f t="shared" si="5"/>
        <v>0</v>
      </c>
      <c r="AF39" s="38">
        <f t="shared" si="6"/>
        <v>0</v>
      </c>
      <c r="AG39" s="38">
        <f t="shared" si="7"/>
        <v>0</v>
      </c>
      <c r="AH39" s="38">
        <f t="shared" si="8"/>
        <v>9.7222222222222232</v>
      </c>
    </row>
    <row r="40" spans="2:34">
      <c r="B40" s="85">
        <v>14</v>
      </c>
      <c r="C40" s="86"/>
      <c r="D40" s="83">
        <f t="shared" si="0"/>
        <v>22</v>
      </c>
      <c r="E40" s="83"/>
      <c r="F40" s="91" t="str">
        <f t="shared" si="1"/>
        <v>Victory</v>
      </c>
      <c r="G40" s="92"/>
      <c r="H40" s="93"/>
      <c r="I40" s="91" t="str">
        <f t="shared" si="2"/>
        <v>No Losses</v>
      </c>
      <c r="J40" s="92"/>
      <c r="K40" s="92"/>
      <c r="L40" s="92"/>
      <c r="M40" s="93"/>
      <c r="AC40" s="38">
        <f t="shared" si="3"/>
        <v>6.9444444444444446</v>
      </c>
      <c r="AD40" s="38">
        <f t="shared" si="4"/>
        <v>0</v>
      </c>
      <c r="AE40" s="38">
        <f t="shared" si="5"/>
        <v>0</v>
      </c>
      <c r="AF40" s="38">
        <f t="shared" si="6"/>
        <v>0</v>
      </c>
      <c r="AG40" s="38">
        <f t="shared" si="7"/>
        <v>0</v>
      </c>
      <c r="AH40" s="38">
        <f t="shared" si="8"/>
        <v>6.9444444444444446</v>
      </c>
    </row>
    <row r="41" spans="2:34">
      <c r="B41" s="85">
        <v>15</v>
      </c>
      <c r="C41" s="86"/>
      <c r="D41" s="83">
        <f t="shared" si="0"/>
        <v>23</v>
      </c>
      <c r="E41" s="83"/>
      <c r="F41" s="91" t="str">
        <f t="shared" si="1"/>
        <v>Victory</v>
      </c>
      <c r="G41" s="92"/>
      <c r="H41" s="93"/>
      <c r="I41" s="91" t="str">
        <f t="shared" si="2"/>
        <v>No Losses</v>
      </c>
      <c r="J41" s="92"/>
      <c r="K41" s="92"/>
      <c r="L41" s="92"/>
      <c r="M41" s="93"/>
      <c r="AC41" s="38">
        <f t="shared" si="3"/>
        <v>4.6296296296296298</v>
      </c>
      <c r="AD41" s="38">
        <f t="shared" si="4"/>
        <v>0</v>
      </c>
      <c r="AE41" s="38">
        <f t="shared" si="5"/>
        <v>0</v>
      </c>
      <c r="AF41" s="38">
        <f t="shared" si="6"/>
        <v>0</v>
      </c>
      <c r="AG41" s="38">
        <f t="shared" si="7"/>
        <v>0</v>
      </c>
      <c r="AH41" s="38">
        <f t="shared" si="8"/>
        <v>4.6296296296296298</v>
      </c>
    </row>
    <row r="42" spans="2:34">
      <c r="B42" s="85">
        <v>16</v>
      </c>
      <c r="C42" s="86"/>
      <c r="D42" s="83">
        <f t="shared" si="0"/>
        <v>24</v>
      </c>
      <c r="E42" s="83"/>
      <c r="F42" s="91" t="str">
        <f t="shared" si="1"/>
        <v>Victory</v>
      </c>
      <c r="G42" s="92"/>
      <c r="H42" s="93"/>
      <c r="I42" s="91" t="str">
        <f t="shared" si="2"/>
        <v>No Losses</v>
      </c>
      <c r="J42" s="92"/>
      <c r="K42" s="92"/>
      <c r="L42" s="92"/>
      <c r="M42" s="93"/>
      <c r="AC42" s="38">
        <f t="shared" si="3"/>
        <v>2.7777777777777777</v>
      </c>
      <c r="AD42" s="38">
        <f t="shared" si="4"/>
        <v>0</v>
      </c>
      <c r="AE42" s="38">
        <f t="shared" si="5"/>
        <v>0</v>
      </c>
      <c r="AF42" s="38">
        <f t="shared" si="6"/>
        <v>0</v>
      </c>
      <c r="AG42" s="38">
        <f t="shared" si="7"/>
        <v>0</v>
      </c>
      <c r="AH42" s="38">
        <f t="shared" si="8"/>
        <v>2.7777777777777777</v>
      </c>
    </row>
    <row r="43" spans="2:34">
      <c r="B43" s="85">
        <v>17</v>
      </c>
      <c r="C43" s="86"/>
      <c r="D43" s="83">
        <f t="shared" si="0"/>
        <v>25</v>
      </c>
      <c r="E43" s="83"/>
      <c r="F43" s="91" t="str">
        <f t="shared" si="1"/>
        <v>Standoff</v>
      </c>
      <c r="G43" s="92"/>
      <c r="H43" s="93"/>
      <c r="I43" s="91" t="str">
        <f t="shared" si="2"/>
        <v>One-fourth</v>
      </c>
      <c r="J43" s="92"/>
      <c r="K43" s="92"/>
      <c r="L43" s="92"/>
      <c r="M43" s="93"/>
      <c r="AC43" s="38">
        <f t="shared" si="3"/>
        <v>1.3888888888888888</v>
      </c>
      <c r="AD43" s="38">
        <f t="shared" si="4"/>
        <v>0</v>
      </c>
      <c r="AE43" s="38">
        <f t="shared" si="5"/>
        <v>0</v>
      </c>
      <c r="AF43" s="38">
        <f t="shared" si="6"/>
        <v>1.3888888888888888</v>
      </c>
      <c r="AG43" s="38">
        <f t="shared" si="7"/>
        <v>0</v>
      </c>
      <c r="AH43" s="38">
        <f t="shared" si="8"/>
        <v>0</v>
      </c>
    </row>
    <row r="44" spans="2:34">
      <c r="B44" s="85">
        <v>18</v>
      </c>
      <c r="C44" s="86"/>
      <c r="D44" s="84">
        <f t="shared" si="0"/>
        <v>26</v>
      </c>
      <c r="E44" s="84"/>
      <c r="F44" s="119" t="str">
        <f t="shared" si="1"/>
        <v>Victory</v>
      </c>
      <c r="G44" s="120"/>
      <c r="H44" s="121"/>
      <c r="I44" s="119" t="str">
        <f t="shared" si="2"/>
        <v>No Losses</v>
      </c>
      <c r="J44" s="120"/>
      <c r="K44" s="120"/>
      <c r="L44" s="120"/>
      <c r="M44" s="121"/>
      <c r="AC44" s="38">
        <f t="shared" si="3"/>
        <v>0.46296296296296291</v>
      </c>
      <c r="AD44" s="38">
        <f t="shared" si="4"/>
        <v>0</v>
      </c>
      <c r="AE44" s="38">
        <f t="shared" si="5"/>
        <v>0</v>
      </c>
      <c r="AF44" s="38">
        <f t="shared" si="6"/>
        <v>0</v>
      </c>
      <c r="AG44" s="38">
        <f t="shared" si="7"/>
        <v>0</v>
      </c>
      <c r="AH44" s="38">
        <f t="shared" si="8"/>
        <v>0.46296296296296291</v>
      </c>
    </row>
    <row r="45" spans="2:34">
      <c r="AC45" s="38"/>
      <c r="AD45" s="38">
        <f>SUM(AD29:AD44)</f>
        <v>2.7777777777777777</v>
      </c>
      <c r="AE45" s="38">
        <f>SUM(AE29:AE44)</f>
        <v>0</v>
      </c>
      <c r="AF45" s="38">
        <f>SUM(AF29:AF44)</f>
        <v>1.3888888888888888</v>
      </c>
      <c r="AG45" s="38">
        <f>SUM(AG29:AG44)</f>
        <v>1.8518518518518516</v>
      </c>
      <c r="AH45" s="38">
        <f>SUM(AH29:AH44)</f>
        <v>93.981481481481481</v>
      </c>
    </row>
    <row r="46" spans="2:34">
      <c r="AC46" s="38"/>
      <c r="AD46" s="38"/>
      <c r="AE46" s="38"/>
    </row>
  </sheetData>
  <mergeCells count="157">
    <mergeCell ref="AG7:AH7"/>
    <mergeCell ref="G20:N20"/>
    <mergeCell ref="O20:Q20"/>
    <mergeCell ref="G21:N21"/>
    <mergeCell ref="O21:Q21"/>
    <mergeCell ref="R12:T12"/>
    <mergeCell ref="AE7:AF7"/>
    <mergeCell ref="AE8:AF8"/>
    <mergeCell ref="AG8:AH8"/>
    <mergeCell ref="AE9:AF9"/>
    <mergeCell ref="AG9:AH9"/>
    <mergeCell ref="AE10:AF10"/>
    <mergeCell ref="AG10:AH10"/>
    <mergeCell ref="AC8:AD8"/>
    <mergeCell ref="AC9:AD9"/>
    <mergeCell ref="AC10:AD10"/>
    <mergeCell ref="O10:Q10"/>
    <mergeCell ref="AC7:AD7"/>
    <mergeCell ref="G7:N7"/>
    <mergeCell ref="G8:N8"/>
    <mergeCell ref="O7:Q7"/>
    <mergeCell ref="R7:T7"/>
    <mergeCell ref="O8:Q8"/>
    <mergeCell ref="O9:Q9"/>
    <mergeCell ref="AC12:AD12"/>
    <mergeCell ref="R23:T23"/>
    <mergeCell ref="O24:Q24"/>
    <mergeCell ref="R24:T24"/>
    <mergeCell ref="R22:T22"/>
    <mergeCell ref="B22:N22"/>
    <mergeCell ref="B14:F14"/>
    <mergeCell ref="AC11:AD11"/>
    <mergeCell ref="O14:Q14"/>
    <mergeCell ref="O22:Q22"/>
    <mergeCell ref="R13:T13"/>
    <mergeCell ref="R14:T14"/>
    <mergeCell ref="R15:T15"/>
    <mergeCell ref="O13:Q13"/>
    <mergeCell ref="O15:Q15"/>
    <mergeCell ref="R17:T17"/>
    <mergeCell ref="O12:Q12"/>
    <mergeCell ref="G13:N13"/>
    <mergeCell ref="B13:F13"/>
    <mergeCell ref="O16:Q16"/>
    <mergeCell ref="O23:Q23"/>
    <mergeCell ref="O17:Q17"/>
    <mergeCell ref="R16:T16"/>
    <mergeCell ref="B21:F21"/>
    <mergeCell ref="F44:H44"/>
    <mergeCell ref="F37:H37"/>
    <mergeCell ref="F38:H38"/>
    <mergeCell ref="F39:H39"/>
    <mergeCell ref="F40:H40"/>
    <mergeCell ref="I31:M31"/>
    <mergeCell ref="F41:H41"/>
    <mergeCell ref="F42:H42"/>
    <mergeCell ref="B15:F15"/>
    <mergeCell ref="B17:N17"/>
    <mergeCell ref="G15:N15"/>
    <mergeCell ref="B16:N16"/>
    <mergeCell ref="G23:N23"/>
    <mergeCell ref="F43:H43"/>
    <mergeCell ref="F33:H33"/>
    <mergeCell ref="F34:H34"/>
    <mergeCell ref="F35:H35"/>
    <mergeCell ref="F36:H36"/>
    <mergeCell ref="F31:H31"/>
    <mergeCell ref="F32:H32"/>
    <mergeCell ref="B20:F20"/>
    <mergeCell ref="I44:M44"/>
    <mergeCell ref="I28:M28"/>
    <mergeCell ref="I39:M39"/>
    <mergeCell ref="R32:S32"/>
    <mergeCell ref="R31:S31"/>
    <mergeCell ref="R30:S30"/>
    <mergeCell ref="R29:S29"/>
    <mergeCell ref="R28:S28"/>
    <mergeCell ref="O32:Q32"/>
    <mergeCell ref="O31:Q31"/>
    <mergeCell ref="O30:Q30"/>
    <mergeCell ref="I38:M38"/>
    <mergeCell ref="O29:Q29"/>
    <mergeCell ref="O28:Q28"/>
    <mergeCell ref="I40:M40"/>
    <mergeCell ref="I41:M41"/>
    <mergeCell ref="I42:M42"/>
    <mergeCell ref="I43:M43"/>
    <mergeCell ref="I32:M32"/>
    <mergeCell ref="I33:M33"/>
    <mergeCell ref="I34:M34"/>
    <mergeCell ref="I35:M35"/>
    <mergeCell ref="I36:M36"/>
    <mergeCell ref="I37:M37"/>
    <mergeCell ref="B29:C29"/>
    <mergeCell ref="B30:C30"/>
    <mergeCell ref="F28:H28"/>
    <mergeCell ref="I29:M29"/>
    <mergeCell ref="I30:M30"/>
    <mergeCell ref="F29:H29"/>
    <mergeCell ref="F30:H30"/>
    <mergeCell ref="D35:E35"/>
    <mergeCell ref="D36:E36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  <mergeCell ref="B36:C36"/>
    <mergeCell ref="D43:E43"/>
    <mergeCell ref="D44:E44"/>
    <mergeCell ref="B28:C28"/>
    <mergeCell ref="D28:E28"/>
    <mergeCell ref="B19:N19"/>
    <mergeCell ref="R27:S27"/>
    <mergeCell ref="B25:N25"/>
    <mergeCell ref="O25:Q25"/>
    <mergeCell ref="R25:T25"/>
    <mergeCell ref="B24:N24"/>
    <mergeCell ref="D37:E37"/>
    <mergeCell ref="D38:E38"/>
    <mergeCell ref="D39:E39"/>
    <mergeCell ref="D40:E40"/>
    <mergeCell ref="D41:E41"/>
    <mergeCell ref="D42:E42"/>
    <mergeCell ref="B43:C43"/>
    <mergeCell ref="B44:C44"/>
    <mergeCell ref="D29:E29"/>
    <mergeCell ref="D30:E30"/>
    <mergeCell ref="D31:E31"/>
    <mergeCell ref="D32:E32"/>
    <mergeCell ref="D33:E33"/>
    <mergeCell ref="D34:E34"/>
    <mergeCell ref="B23:F23"/>
    <mergeCell ref="D27:M27"/>
    <mergeCell ref="O6:Q6"/>
    <mergeCell ref="R6:T6"/>
    <mergeCell ref="O19:Q19"/>
    <mergeCell ref="O27:Q27"/>
    <mergeCell ref="R19:T19"/>
    <mergeCell ref="O11:Q11"/>
    <mergeCell ref="B11:F11"/>
    <mergeCell ref="B7:F7"/>
    <mergeCell ref="G14:N14"/>
    <mergeCell ref="B8:F8"/>
    <mergeCell ref="B12:N12"/>
    <mergeCell ref="G11:N11"/>
    <mergeCell ref="B6:N6"/>
    <mergeCell ref="G9:N9"/>
    <mergeCell ref="G10:N10"/>
    <mergeCell ref="B9:F9"/>
    <mergeCell ref="B10:F10"/>
  </mergeCells>
  <phoneticPr fontId="0" type="noConversion"/>
  <conditionalFormatting sqref="AE7:AF7 O8:Q11 O23:T23 AG7:AG10 O13:T15 AE8:AE9 AE10:AF10 AC7:AC10 O7:T7">
    <cfRule type="cellIs" dxfId="16" priority="1" stopIfTrue="1" operator="equal">
      <formula>0</formula>
    </cfRule>
  </conditionalFormatting>
  <dataValidations count="4">
    <dataValidation type="list" allowBlank="1" showInputMessage="1" showErrorMessage="1" sqref="G8:G10">
      <formula1>ENEMY_LEADERS</formula1>
    </dataValidation>
    <dataValidation type="list" allowBlank="1" showInputMessage="1" showErrorMessage="1" sqref="G7">
      <formula1>WARS</formula1>
    </dataValidation>
    <dataValidation type="list" allowBlank="1" showInputMessage="1" showErrorMessage="1" sqref="G20:G21 G11">
      <formula1>SENATORS</formula1>
    </dataValidation>
    <dataValidation type="list" allowBlank="1" showInputMessage="1" showErrorMessage="1" sqref="G13:G15 G23:N23 H14:N15">
      <formula1>PROVINCES</formula1>
    </dataValidation>
  </dataValidations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4" tint="-0.249977111117893"/>
  </sheetPr>
  <dimension ref="A1:N24"/>
  <sheetViews>
    <sheetView zoomScale="175" zoomScaleNormal="175" workbookViewId="0">
      <selection activeCell="F12" sqref="F12"/>
    </sheetView>
  </sheetViews>
  <sheetFormatPr defaultRowHeight="12.75"/>
  <cols>
    <col min="2" max="4" width="17.85546875" customWidth="1"/>
  </cols>
  <sheetData>
    <row r="1" spans="1:14" ht="23.25">
      <c r="A1" s="131" t="s">
        <v>319</v>
      </c>
      <c r="B1" s="131"/>
      <c r="C1" s="131"/>
      <c r="D1" s="131"/>
      <c r="E1" s="131"/>
      <c r="F1" s="47"/>
      <c r="G1" s="47"/>
      <c r="H1" s="47"/>
      <c r="I1" s="47"/>
      <c r="J1" s="47"/>
      <c r="K1" s="47"/>
      <c r="L1" s="47"/>
      <c r="M1" s="47"/>
      <c r="N1" s="47"/>
    </row>
    <row r="2" spans="1:14" ht="13.5" thickBot="1">
      <c r="A2" s="47"/>
      <c r="B2" s="47"/>
      <c r="C2" s="47"/>
      <c r="D2" s="47"/>
      <c r="E2" s="47"/>
      <c r="F2" s="47"/>
      <c r="G2" s="187" t="s">
        <v>370</v>
      </c>
      <c r="H2" s="47"/>
      <c r="I2" s="47"/>
      <c r="J2" s="47"/>
      <c r="K2" s="47"/>
      <c r="L2" s="47"/>
      <c r="M2" s="47"/>
      <c r="N2" s="47"/>
    </row>
    <row r="3" spans="1:14">
      <c r="A3" s="47"/>
      <c r="B3" s="188" t="s">
        <v>305</v>
      </c>
      <c r="C3" s="49"/>
      <c r="D3" s="191" t="s">
        <v>306</v>
      </c>
      <c r="E3" s="47"/>
      <c r="F3" s="47"/>
      <c r="G3" s="47"/>
      <c r="H3" s="47"/>
      <c r="I3" s="47"/>
      <c r="J3" s="47"/>
      <c r="K3" s="47"/>
      <c r="L3" s="47"/>
      <c r="M3" s="47"/>
      <c r="N3" s="47"/>
    </row>
    <row r="4" spans="1:14">
      <c r="A4" s="47"/>
      <c r="B4" s="198" t="s">
        <v>227</v>
      </c>
      <c r="C4" s="49"/>
      <c r="D4" s="198" t="s">
        <v>208</v>
      </c>
      <c r="E4" s="47"/>
      <c r="F4" s="47"/>
      <c r="G4" s="47" t="s">
        <v>371</v>
      </c>
      <c r="H4" s="47"/>
      <c r="I4" s="47"/>
      <c r="J4" s="47"/>
      <c r="K4" s="47"/>
      <c r="L4" s="47"/>
      <c r="M4" s="47"/>
      <c r="N4" s="47"/>
    </row>
    <row r="5" spans="1:14">
      <c r="A5" s="47"/>
      <c r="B5" s="189"/>
      <c r="C5" s="49"/>
      <c r="D5" s="189"/>
      <c r="E5" s="47"/>
      <c r="F5" s="47"/>
      <c r="G5" s="47"/>
      <c r="H5" s="47"/>
      <c r="I5" s="47"/>
      <c r="J5" s="47"/>
      <c r="K5" s="47"/>
      <c r="L5" s="47"/>
      <c r="M5" s="47"/>
      <c r="N5" s="47"/>
    </row>
    <row r="6" spans="1:14">
      <c r="A6" s="47"/>
      <c r="B6" s="190" t="s">
        <v>310</v>
      </c>
      <c r="C6" s="49"/>
      <c r="D6" s="190" t="s">
        <v>308</v>
      </c>
      <c r="E6" s="47"/>
      <c r="F6" s="47"/>
      <c r="G6" s="47"/>
      <c r="H6" s="47"/>
      <c r="I6" s="47"/>
      <c r="J6" s="47"/>
      <c r="K6" s="47"/>
      <c r="L6" s="47"/>
      <c r="M6" s="47"/>
      <c r="N6" s="47"/>
    </row>
    <row r="7" spans="1:14">
      <c r="A7" s="47"/>
      <c r="B7" s="198" t="s">
        <v>316</v>
      </c>
      <c r="C7" s="49"/>
      <c r="D7" s="199" t="str">
        <f>VLOOKUP(D4,(data!A91:E143),3,FALSE)</f>
        <v>2</v>
      </c>
      <c r="E7" s="47"/>
      <c r="F7" s="47"/>
      <c r="G7" s="47"/>
      <c r="H7" s="47"/>
      <c r="I7" s="47"/>
      <c r="J7" s="47"/>
      <c r="K7" s="47"/>
      <c r="L7" s="47"/>
      <c r="M7" s="47"/>
      <c r="N7" s="47"/>
    </row>
    <row r="8" spans="1:14">
      <c r="A8" s="47"/>
      <c r="B8" s="189"/>
      <c r="C8" s="49"/>
      <c r="D8" s="189"/>
      <c r="E8" s="47"/>
      <c r="F8" s="47"/>
      <c r="G8" s="47"/>
      <c r="H8" s="47"/>
      <c r="I8" s="47"/>
      <c r="J8" s="47"/>
      <c r="K8" s="47"/>
      <c r="L8" s="47"/>
      <c r="M8" s="47"/>
      <c r="N8" s="47"/>
    </row>
    <row r="9" spans="1:14">
      <c r="A9" s="47"/>
      <c r="B9" s="190" t="s">
        <v>311</v>
      </c>
      <c r="C9" s="49"/>
      <c r="D9" s="190" t="s">
        <v>307</v>
      </c>
      <c r="E9" s="47"/>
      <c r="F9" s="47"/>
      <c r="G9" s="47"/>
      <c r="H9" s="47"/>
      <c r="I9" s="47"/>
      <c r="J9" s="47"/>
      <c r="K9" s="47"/>
      <c r="L9" s="47"/>
      <c r="M9" s="47"/>
      <c r="N9" s="47"/>
    </row>
    <row r="10" spans="1:14">
      <c r="A10" s="47"/>
      <c r="B10" s="199">
        <f>(VLOOKUP(B7,'Non-Combat Calculations'!K6:L7,2,FALSE))+(VLOOKUP(B4,data!A91:E143,4,FALSE))</f>
        <v>15</v>
      </c>
      <c r="C10" s="49"/>
      <c r="D10" s="198">
        <v>12</v>
      </c>
      <c r="E10" s="47"/>
      <c r="F10" s="47"/>
      <c r="G10" s="47"/>
      <c r="H10" s="47"/>
      <c r="I10" s="47"/>
      <c r="J10" s="47"/>
      <c r="K10" s="47"/>
      <c r="L10" s="47"/>
      <c r="M10" s="47"/>
      <c r="N10" s="47"/>
    </row>
    <row r="11" spans="1:14">
      <c r="A11" s="47"/>
      <c r="B11" s="189"/>
      <c r="C11" s="49"/>
      <c r="D11" s="189"/>
      <c r="E11" s="47"/>
      <c r="F11" s="47"/>
      <c r="G11" s="47"/>
      <c r="H11" s="47"/>
      <c r="I11" s="47"/>
      <c r="J11" s="47"/>
      <c r="K11" s="47"/>
      <c r="L11" s="47"/>
      <c r="M11" s="47"/>
      <c r="N11" s="47"/>
    </row>
    <row r="12" spans="1:14">
      <c r="A12" s="47"/>
      <c r="B12" s="190" t="s">
        <v>312</v>
      </c>
      <c r="C12" s="49"/>
      <c r="D12" s="190" t="s">
        <v>309</v>
      </c>
      <c r="E12" s="47"/>
      <c r="F12" s="47"/>
      <c r="G12" s="47"/>
      <c r="H12" s="47"/>
      <c r="I12" s="47"/>
      <c r="J12" s="47"/>
      <c r="K12" s="47"/>
      <c r="L12" s="47"/>
      <c r="M12" s="47"/>
      <c r="N12" s="47"/>
    </row>
    <row r="13" spans="1:14" ht="13.5" thickBot="1">
      <c r="A13" s="47"/>
      <c r="B13" s="200">
        <v>3</v>
      </c>
      <c r="C13" s="49"/>
      <c r="D13" s="200">
        <v>4</v>
      </c>
      <c r="E13" s="47"/>
      <c r="F13" s="47"/>
      <c r="G13" s="47"/>
      <c r="H13" s="47"/>
      <c r="I13" s="47"/>
      <c r="J13" s="47"/>
      <c r="K13" s="47"/>
      <c r="L13" s="47"/>
      <c r="M13" s="47"/>
      <c r="N13" s="47"/>
    </row>
    <row r="14" spans="1:14" ht="13.5" thickBot="1">
      <c r="A14" s="47"/>
      <c r="B14" s="49"/>
      <c r="C14" s="49"/>
      <c r="D14" s="49"/>
      <c r="E14" s="47"/>
      <c r="F14" s="47"/>
      <c r="G14" s="47"/>
      <c r="H14" s="47"/>
      <c r="I14" s="47"/>
      <c r="J14" s="47"/>
      <c r="K14" s="47"/>
      <c r="L14" s="47"/>
      <c r="M14" s="47"/>
      <c r="N14" s="47"/>
    </row>
    <row r="15" spans="1:14">
      <c r="A15" s="47"/>
      <c r="B15" s="194"/>
      <c r="C15" s="196" t="s">
        <v>372</v>
      </c>
      <c r="D15" s="192"/>
      <c r="E15" s="47"/>
      <c r="F15" s="47"/>
      <c r="G15" s="47"/>
      <c r="H15" s="47"/>
      <c r="I15" s="47"/>
      <c r="J15" s="47"/>
      <c r="K15" s="47"/>
      <c r="L15" s="47"/>
      <c r="M15" s="47"/>
      <c r="N15" s="47"/>
    </row>
    <row r="16" spans="1:14" ht="13.5" thickBot="1">
      <c r="A16" s="47"/>
      <c r="B16" s="195"/>
      <c r="C16" s="197">
        <v>2</v>
      </c>
      <c r="D16" s="193"/>
      <c r="E16" s="47"/>
      <c r="F16" s="47"/>
      <c r="G16" s="47"/>
      <c r="H16" s="47"/>
      <c r="I16" s="47"/>
      <c r="J16" s="47"/>
      <c r="K16" s="47"/>
      <c r="L16" s="47"/>
      <c r="M16" s="47"/>
      <c r="N16" s="47"/>
    </row>
    <row r="17" spans="1:14">
      <c r="A17" s="47"/>
      <c r="B17" s="49"/>
      <c r="C17" s="49"/>
      <c r="D17" s="49"/>
      <c r="E17" s="47"/>
      <c r="F17" s="47"/>
      <c r="G17" s="47"/>
      <c r="H17" s="47"/>
      <c r="I17" s="47"/>
      <c r="J17" s="47"/>
      <c r="K17" s="47"/>
      <c r="L17" s="47"/>
      <c r="M17" s="47"/>
      <c r="N17" s="47"/>
    </row>
    <row r="18" spans="1:14" ht="13.5" thickBot="1">
      <c r="A18" s="47"/>
      <c r="B18" s="49"/>
      <c r="C18" s="48" t="s">
        <v>313</v>
      </c>
      <c r="D18" s="49"/>
      <c r="E18" s="47"/>
      <c r="F18" s="47"/>
      <c r="G18" s="47"/>
      <c r="H18" s="47"/>
      <c r="I18" s="47"/>
      <c r="J18" s="47"/>
      <c r="K18" s="47"/>
      <c r="L18" s="47"/>
      <c r="M18" s="47"/>
      <c r="N18" s="47"/>
    </row>
    <row r="19" spans="1:14" ht="13.5" thickBot="1">
      <c r="A19" s="47"/>
      <c r="B19" s="49"/>
      <c r="C19" s="45">
        <f>'Non-Combat Calculations'!I7</f>
        <v>-2</v>
      </c>
      <c r="D19" s="49"/>
      <c r="E19" s="47"/>
      <c r="F19" s="47"/>
      <c r="G19" s="47"/>
      <c r="H19" s="47"/>
      <c r="I19" s="47"/>
      <c r="J19" s="47"/>
      <c r="K19" s="47"/>
      <c r="L19" s="47"/>
      <c r="M19" s="47"/>
      <c r="N19" s="47"/>
    </row>
    <row r="20" spans="1:14">
      <c r="A20" s="47"/>
      <c r="B20" s="49"/>
      <c r="C20" s="49"/>
      <c r="D20" s="49"/>
      <c r="E20" s="47"/>
      <c r="F20" s="47"/>
      <c r="G20" s="47"/>
      <c r="H20" s="47"/>
      <c r="I20" s="47"/>
      <c r="J20" s="47"/>
      <c r="K20" s="47"/>
      <c r="L20" s="47"/>
      <c r="M20" s="47"/>
      <c r="N20" s="47"/>
    </row>
    <row r="21" spans="1:14" ht="13.5" thickBot="1">
      <c r="A21" s="47"/>
      <c r="B21" s="49"/>
      <c r="C21" s="48" t="s">
        <v>314</v>
      </c>
      <c r="D21" s="49"/>
      <c r="E21" s="47"/>
      <c r="F21" s="47"/>
      <c r="G21" s="47"/>
      <c r="H21" s="47"/>
      <c r="I21" s="47"/>
      <c r="J21" s="47"/>
      <c r="K21" s="47"/>
      <c r="L21" s="47"/>
      <c r="M21" s="47"/>
      <c r="N21" s="47"/>
    </row>
    <row r="22" spans="1:14">
      <c r="A22" s="47"/>
      <c r="B22" s="47"/>
      <c r="C22" s="132">
        <f>IF(C19&lt;2,0,
IF(C19=2,1/11,
IF(AND(C19&gt;MIN(1,4),C19&lt;MAX(1,4)),2/11,
IF(AND(C19&gt;MIN(1,5),C19&lt;MAX(1,5)),3/11,
IF(AND(C19&gt;MIN(1,6),C19&lt;MAX(1,6)),4/11,
IF(AND(C19&gt;MIN(1,7),C19&lt;MAX(1,7)),5/11,'Non-Combat Calculations'!G11))))))</f>
        <v>0</v>
      </c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</row>
    <row r="23" spans="1:14" ht="13.5" thickBot="1">
      <c r="A23" s="47"/>
      <c r="B23" s="47"/>
      <c r="C23" s="133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</row>
    <row r="24" spans="1:14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</row>
  </sheetData>
  <mergeCells count="2">
    <mergeCell ref="A1:E1"/>
    <mergeCell ref="C22:C23"/>
  </mergeCells>
  <dataValidations count="2">
    <dataValidation type="list" allowBlank="1" sqref="B7">
      <formula1>Senator_Alignment</formula1>
    </dataValidation>
    <dataValidation type="list" allowBlank="1" sqref="B4 D4">
      <formula1>SENATORS</formula1>
    </dataValidation>
  </dataValidation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1" tint="0.249977111117893"/>
  </sheetPr>
  <dimension ref="A1:H18"/>
  <sheetViews>
    <sheetView zoomScale="235" zoomScaleNormal="235" workbookViewId="0">
      <selection activeCell="E8" sqref="E8"/>
    </sheetView>
  </sheetViews>
  <sheetFormatPr defaultRowHeight="12.75"/>
  <cols>
    <col min="2" max="2" width="14.7109375" customWidth="1"/>
    <col min="3" max="3" width="21.5703125" customWidth="1"/>
    <col min="4" max="4" width="18.85546875" customWidth="1"/>
    <col min="5" max="5" width="29.28515625" customWidth="1"/>
  </cols>
  <sheetData>
    <row r="1" spans="1:8" ht="23.25">
      <c r="A1" s="138" t="s">
        <v>321</v>
      </c>
      <c r="B1" s="138"/>
      <c r="C1" s="138"/>
      <c r="D1" s="138"/>
      <c r="E1" s="138"/>
      <c r="F1" s="44"/>
      <c r="G1" s="44"/>
    </row>
    <row r="2" spans="1:8" ht="13.5" thickBot="1">
      <c r="A2" s="44"/>
      <c r="B2" s="44"/>
      <c r="C2" s="44"/>
      <c r="D2" s="44"/>
      <c r="E2" s="44"/>
      <c r="F2" s="44"/>
      <c r="G2" s="44"/>
    </row>
    <row r="3" spans="1:8" ht="13.5" thickBot="1">
      <c r="A3" s="44"/>
      <c r="B3" s="203" t="s">
        <v>322</v>
      </c>
      <c r="C3" s="204"/>
      <c r="D3" s="44"/>
      <c r="E3" s="44"/>
      <c r="F3" s="44"/>
      <c r="G3" s="44"/>
    </row>
    <row r="4" spans="1:8" ht="13.5" thickBot="1">
      <c r="A4" s="44"/>
      <c r="B4" s="205" t="s">
        <v>324</v>
      </c>
      <c r="C4" s="206"/>
      <c r="D4" s="46">
        <v>0</v>
      </c>
      <c r="E4" s="44"/>
      <c r="F4" s="44"/>
      <c r="G4" s="44"/>
    </row>
    <row r="5" spans="1:8" ht="13.5" thickBot="1">
      <c r="A5" s="44"/>
      <c r="B5" s="44"/>
      <c r="C5" s="44"/>
      <c r="D5" s="44"/>
      <c r="E5" s="44"/>
      <c r="F5" s="44"/>
      <c r="G5" s="44"/>
    </row>
    <row r="6" spans="1:8" ht="13.5" thickBot="1">
      <c r="A6" s="44"/>
      <c r="B6" s="203" t="s">
        <v>323</v>
      </c>
      <c r="C6" s="204"/>
      <c r="D6" s="44"/>
      <c r="E6" s="44"/>
      <c r="F6" s="44"/>
      <c r="G6" s="44"/>
    </row>
    <row r="7" spans="1:8" ht="13.5" thickBot="1">
      <c r="A7" s="44"/>
      <c r="B7" s="205" t="s">
        <v>325</v>
      </c>
      <c r="C7" s="206"/>
      <c r="D7" s="46">
        <v>0</v>
      </c>
      <c r="E7" s="44"/>
      <c r="F7" s="44"/>
      <c r="G7" s="44"/>
    </row>
    <row r="8" spans="1:8" ht="13.5" thickBot="1">
      <c r="A8" s="44"/>
      <c r="B8" s="44"/>
      <c r="C8" s="44"/>
      <c r="D8" s="44"/>
      <c r="E8" s="44"/>
      <c r="F8" s="44"/>
      <c r="G8" s="44"/>
    </row>
    <row r="9" spans="1:8" ht="13.5" thickBot="1">
      <c r="A9" s="44"/>
      <c r="B9" s="201" t="s">
        <v>373</v>
      </c>
      <c r="C9" s="202"/>
      <c r="D9" s="46">
        <v>0</v>
      </c>
      <c r="E9" s="44"/>
      <c r="F9" s="44"/>
      <c r="G9" s="44"/>
    </row>
    <row r="10" spans="1:8" ht="13.5" thickBot="1">
      <c r="A10" s="44"/>
      <c r="B10" s="44"/>
      <c r="C10" s="44"/>
      <c r="D10" s="44"/>
      <c r="E10" s="44"/>
      <c r="F10" s="44"/>
      <c r="G10" s="44"/>
    </row>
    <row r="11" spans="1:8" ht="13.5" thickBot="1">
      <c r="A11" s="44"/>
      <c r="B11" s="134" t="s">
        <v>326</v>
      </c>
      <c r="C11" s="135"/>
      <c r="D11" s="207">
        <f>IF((2/6+(D4*(1/6))-(D7*(1/6))-(D9*(1/6)*2))&lt;0,0,IF((2/6+(D4*(1/6))-(D7*(1/6))-(D9*(1/6)*2))&gt;1,1,(2/6+(D4*(1/6))-(D7*(1/6))-(D9*(1/6)*2))))</f>
        <v>0.33333333333333331</v>
      </c>
      <c r="E11" s="44"/>
      <c r="F11" s="44"/>
      <c r="G11" s="44"/>
    </row>
    <row r="12" spans="1:8" ht="13.5" thickBot="1">
      <c r="A12" s="44"/>
      <c r="B12" s="44"/>
      <c r="C12" s="44"/>
      <c r="D12" s="44"/>
      <c r="E12" s="44"/>
      <c r="F12" s="44"/>
      <c r="G12" s="44"/>
      <c r="H12" s="50"/>
    </row>
    <row r="13" spans="1:8" ht="13.5" thickBot="1">
      <c r="A13" s="44"/>
      <c r="B13" s="136" t="s">
        <v>327</v>
      </c>
      <c r="C13" s="137"/>
      <c r="D13" s="207">
        <f>IF(((2/6)+(2/6*D9)+(2/6*D7)-(1/6*D4))&lt;0,0,IF(((2/6)+(2/6*D9)+(2/6*D7)-(1/6*D4))&gt;1,1,((2/6)+(2/6*D9)+(2/6*D7)-(1/6*D4))))</f>
        <v>0.33333333333333331</v>
      </c>
      <c r="E13" s="44"/>
      <c r="F13" s="44"/>
      <c r="G13" s="44"/>
    </row>
    <row r="14" spans="1:8">
      <c r="A14" s="44"/>
      <c r="B14" s="44"/>
      <c r="C14" s="44"/>
      <c r="D14" s="44"/>
      <c r="E14" s="44"/>
      <c r="F14" s="44"/>
      <c r="G14" s="44"/>
    </row>
    <row r="15" spans="1:8">
      <c r="A15" s="44"/>
      <c r="B15" s="44"/>
      <c r="C15" s="44"/>
      <c r="D15" s="44"/>
      <c r="E15" s="44"/>
      <c r="F15" s="44"/>
      <c r="G15" s="44"/>
    </row>
    <row r="16" spans="1:8">
      <c r="A16" s="44"/>
      <c r="B16" s="44"/>
      <c r="C16" s="44"/>
      <c r="D16" s="44"/>
      <c r="E16" s="44"/>
      <c r="F16" s="44"/>
      <c r="G16" s="44"/>
    </row>
    <row r="17" spans="1:7">
      <c r="A17" s="44"/>
      <c r="B17" s="44"/>
      <c r="C17" s="44"/>
      <c r="D17" s="44"/>
      <c r="E17" s="44"/>
      <c r="F17" s="44"/>
      <c r="G17" s="44"/>
    </row>
    <row r="18" spans="1:7">
      <c r="A18" s="44"/>
      <c r="B18" s="44"/>
      <c r="C18" s="44"/>
      <c r="D18" s="44"/>
      <c r="E18" s="44"/>
      <c r="F18" s="44"/>
      <c r="G18" s="44"/>
    </row>
  </sheetData>
  <mergeCells count="8">
    <mergeCell ref="B11:C11"/>
    <mergeCell ref="B13:C13"/>
    <mergeCell ref="A1:E1"/>
    <mergeCell ref="B4:C4"/>
    <mergeCell ref="B7:C7"/>
    <mergeCell ref="B9:C9"/>
    <mergeCell ref="B3:C3"/>
    <mergeCell ref="B6:C6"/>
  </mergeCells>
  <dataValidations count="1">
    <dataValidation type="list" allowBlank="1" sqref="D7 D9 D4">
      <formula1>Assassin_Table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tabColor theme="9" tint="-0.499984740745262"/>
  </sheetPr>
  <dimension ref="A1:AC52"/>
  <sheetViews>
    <sheetView workbookViewId="0">
      <selection activeCell="N25" sqref="N25"/>
    </sheetView>
  </sheetViews>
  <sheetFormatPr defaultRowHeight="12.75"/>
  <cols>
    <col min="1" max="3" width="9.140625" style="51"/>
    <col min="4" max="4" width="27.5703125" style="51" customWidth="1"/>
    <col min="5" max="5" width="18.28515625" style="51" customWidth="1"/>
    <col min="6" max="6" width="10.42578125" style="51" bestFit="1" customWidth="1"/>
    <col min="7" max="15" width="9.140625" style="51"/>
    <col min="16" max="16" width="9.140625" style="51" customWidth="1"/>
    <col min="17" max="17" width="4.5703125" style="51" customWidth="1"/>
    <col min="18" max="18" width="5.85546875" style="51" customWidth="1"/>
    <col min="19" max="28" width="4.5703125" style="51" customWidth="1"/>
    <col min="29" max="16384" width="9.140625" style="51"/>
  </cols>
  <sheetData>
    <row r="1" spans="1:29" ht="23.25">
      <c r="A1" s="208" t="s">
        <v>328</v>
      </c>
      <c r="B1" s="208"/>
      <c r="C1" s="208"/>
      <c r="D1" s="208"/>
      <c r="E1" s="208"/>
      <c r="F1" s="208"/>
      <c r="G1" s="208"/>
      <c r="H1" s="208"/>
      <c r="I1" s="208"/>
      <c r="J1" s="208"/>
      <c r="K1" s="208"/>
      <c r="L1" s="209"/>
      <c r="M1" s="178"/>
      <c r="N1" s="210" t="s">
        <v>369</v>
      </c>
      <c r="O1" s="210"/>
      <c r="P1" s="210"/>
      <c r="Q1" s="210"/>
      <c r="R1" s="210"/>
      <c r="S1" s="210"/>
      <c r="T1" s="210"/>
      <c r="U1" s="210"/>
      <c r="V1" s="210"/>
      <c r="W1" s="210"/>
      <c r="X1" s="210"/>
      <c r="Y1" s="210"/>
      <c r="Z1" s="210"/>
      <c r="AA1" s="210"/>
      <c r="AB1" s="210"/>
      <c r="AC1" s="179"/>
    </row>
    <row r="2" spans="1:29" ht="15.75" thickBot="1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180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181"/>
    </row>
    <row r="3" spans="1:29" ht="16.5" thickBot="1">
      <c r="A3" s="66" t="s">
        <v>329</v>
      </c>
      <c r="B3" s="67"/>
      <c r="C3" s="68"/>
      <c r="D3" s="58" t="s">
        <v>212</v>
      </c>
      <c r="E3" s="140" t="s">
        <v>345</v>
      </c>
      <c r="F3" s="62"/>
      <c r="G3" s="60"/>
      <c r="H3" s="60"/>
      <c r="I3" s="60"/>
      <c r="J3" s="60"/>
      <c r="K3" s="60"/>
      <c r="L3" s="60"/>
      <c r="M3" s="180"/>
      <c r="N3" s="65"/>
      <c r="O3" s="65"/>
      <c r="P3" s="171" t="s">
        <v>364</v>
      </c>
      <c r="Q3" s="172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181"/>
    </row>
    <row r="4" spans="1:29" ht="15.75" thickBot="1">
      <c r="A4" s="60"/>
      <c r="B4" s="60"/>
      <c r="C4" s="60"/>
      <c r="D4" s="60"/>
      <c r="E4" s="61"/>
      <c r="F4" s="61"/>
      <c r="G4" s="60"/>
      <c r="H4" s="60"/>
      <c r="I4" s="60"/>
      <c r="J4" s="60"/>
      <c r="K4" s="60"/>
      <c r="L4" s="60"/>
      <c r="M4" s="180"/>
      <c r="N4" s="65"/>
      <c r="O4" s="65"/>
      <c r="P4" s="173"/>
      <c r="Q4" s="174"/>
      <c r="R4" s="175">
        <v>2</v>
      </c>
      <c r="S4" s="175">
        <v>3</v>
      </c>
      <c r="T4" s="175">
        <v>4</v>
      </c>
      <c r="U4" s="175">
        <v>5</v>
      </c>
      <c r="V4" s="175">
        <v>6</v>
      </c>
      <c r="W4" s="175">
        <v>7</v>
      </c>
      <c r="X4" s="175">
        <v>8</v>
      </c>
      <c r="Y4" s="175">
        <v>9</v>
      </c>
      <c r="Z4" s="175">
        <v>10</v>
      </c>
      <c r="AA4" s="175">
        <v>11</v>
      </c>
      <c r="AB4" s="175">
        <v>12</v>
      </c>
      <c r="AC4" s="181"/>
    </row>
    <row r="5" spans="1:29" ht="16.5" thickBot="1">
      <c r="A5" s="66" t="s">
        <v>330</v>
      </c>
      <c r="B5" s="67"/>
      <c r="C5" s="68"/>
      <c r="D5" s="58" t="s">
        <v>227</v>
      </c>
      <c r="E5" s="140" t="s">
        <v>346</v>
      </c>
      <c r="F5" s="62"/>
      <c r="G5" s="60"/>
      <c r="H5" s="60"/>
      <c r="I5" s="60"/>
      <c r="J5" s="60"/>
      <c r="K5" s="60"/>
      <c r="L5" s="60"/>
      <c r="M5" s="180"/>
      <c r="N5" s="164" t="s">
        <v>363</v>
      </c>
      <c r="O5" s="165"/>
      <c r="P5" s="182"/>
      <c r="Q5" s="182"/>
      <c r="R5" s="176"/>
      <c r="S5" s="176"/>
      <c r="T5" s="176"/>
      <c r="U5" s="176"/>
      <c r="V5" s="176"/>
      <c r="W5" s="176"/>
      <c r="X5" s="176"/>
      <c r="Y5" s="176"/>
      <c r="Z5" s="176"/>
      <c r="AA5" s="176"/>
      <c r="AB5" s="176"/>
      <c r="AC5" s="181"/>
    </row>
    <row r="6" spans="1:29" ht="15.75" thickBot="1">
      <c r="A6" s="60"/>
      <c r="B6" s="60"/>
      <c r="C6" s="60"/>
      <c r="D6" s="60"/>
      <c r="E6" s="61"/>
      <c r="F6" s="61"/>
      <c r="G6" s="60"/>
      <c r="H6" s="60"/>
      <c r="I6" s="60"/>
      <c r="J6" s="60"/>
      <c r="K6" s="60"/>
      <c r="L6" s="60"/>
      <c r="M6" s="180"/>
      <c r="N6" s="166"/>
      <c r="O6" s="167"/>
      <c r="P6" s="182"/>
      <c r="Q6" s="182"/>
      <c r="R6" s="177"/>
      <c r="S6" s="177"/>
      <c r="T6" s="177"/>
      <c r="U6" s="177"/>
      <c r="V6" s="177"/>
      <c r="W6" s="177"/>
      <c r="X6" s="177"/>
      <c r="Y6" s="177"/>
      <c r="Z6" s="177"/>
      <c r="AA6" s="177"/>
      <c r="AB6" s="177"/>
      <c r="AC6" s="181"/>
    </row>
    <row r="7" spans="1:29" ht="16.5" thickBot="1">
      <c r="A7" s="66" t="s">
        <v>342</v>
      </c>
      <c r="B7" s="67"/>
      <c r="C7" s="68"/>
      <c r="D7" s="57">
        <v>6</v>
      </c>
      <c r="E7" s="140" t="s">
        <v>357</v>
      </c>
      <c r="F7" s="62"/>
      <c r="G7" s="61"/>
      <c r="H7" s="60"/>
      <c r="I7" s="60"/>
      <c r="J7" s="60"/>
      <c r="K7" s="60"/>
      <c r="L7" s="60"/>
      <c r="M7" s="180"/>
      <c r="N7" s="65"/>
      <c r="O7" s="168">
        <v>2</v>
      </c>
      <c r="P7" s="169"/>
      <c r="Q7" s="170"/>
      <c r="R7" s="156" t="str">
        <f>IF(
    (IF(AND(E13="Yes",ISTEXT(VLOOKUP((R4+D9),'Non-Combat Calculations'!J19:K47,2,FALSE))),(VLOOKUP((R4+D9),'Non-Combat Calculations'!J19:K47,2,FALSE)),
          IF(E13="Yes",((VLOOKUP((D22+O7),'Non-Combat Calculations'!O19:P35,2,FALSE))+D7+(VLOOKUP((R4+D9),'Non-Combat Calculations'!J19:K47,2,FALSE))+D11),(D11+(VLOOKUP((D22+O7),'Non-Combat Calculations'!O19:P35,2,FALSE))+D7+1))))="Accused Killed","S",
              IF(
          IF(AND(E13="Yes",ISTEXT(VLOOKUP((R4+D9),'Non-Combat Calculations'!J19:K47,2,FALSE))),(VLOOKUP((R4+D9),'Non-Combat Calculations'!J19:K47,2,FALSE)),
              IF(E13="Yes",((VLOOKUP((D22+O7),'Non-Combat Calculations'!O19:P35,2,FALSE))+D7+(VLOOKUP((R4+D9),'Non-Combat Calculations'!J19:K47,2,FALSE))+D11),(D11+(VLOOKUP((D22+O7),'Non-Combat Calculations'!O19:P35,2,FALSE))+D7+1)))="Accused Freed","F",
                  IF(AND(E13="Yes",ISTEXT(VLOOKUP((R4+D9),'Non-Combat Calculations'!J19:K47,2,FALSE))),(VLOOKUP((R4+D9),'Non-Combat Calculations'!J19:K47,2,FALSE)),
                      IF(E13="Yes",((VLOOKUP((D22+O7),'Non-Combat Calculations'!O19:P35,2,FALSE))+D7+(VLOOKUP((R4+D9),'Non-Combat Calculations'!J19:K47,2,FALSE))+D11),(D11+(VLOOKUP((D22+O7),'Non-Combat Calculations'!O19:P35,2,FALSE))+D7+1)))))</f>
        <v>S</v>
      </c>
      <c r="S7" s="157">
        <f>IF(
    (IF(AND(E13="Yes",ISTEXT(VLOOKUP((S4+D9),'Non-Combat Calculations'!J19:K47,2,FALSE))),(VLOOKUP((S4+D9),'Non-Combat Calculations'!J19:K47,2,FALSE)),
          IF(E13="Yes",((VLOOKUP((D22+O7),'Non-Combat Calculations'!O19:P35,2,FALSE))+D7+(VLOOKUP((S4+D9),'Non-Combat Calculations'!J19:K47,2,FALSE))+D11),(D11+(VLOOKUP((D22+O7),'Non-Combat Calculations'!O19:P35,2,FALSE))+D7+1))))="Accused Killed","S",
              IF(
          IF(AND(E13="Yes",ISTEXT(VLOOKUP((S4+D9),'Non-Combat Calculations'!J19:K47,2,FALSE))),(VLOOKUP((S4+D9),'Non-Combat Calculations'!J19:K47,2,FALSE)),
              IF(E13="Yes",((VLOOKUP((D22+O7),'Non-Combat Calculations'!O19:P35,2,FALSE))+D7+(VLOOKUP((S4+D9),'Non-Combat Calculations'!J19:K47,2,FALSE))+D11),(D11+(VLOOKUP((D22+O7),'Non-Combat Calculations'!O19:P35,2,FALSE))+D7+1)))="Accused Freed","F",
                  IF(AND(E13="Yes",ISTEXT(VLOOKUP((S4+D9),'Non-Combat Calculations'!J19:K47,2,FALSE))),(VLOOKUP((S4+D9),'Non-Combat Calculations'!J19:K47,2,FALSE)),
                      IF(E13="Yes",((VLOOKUP((D22+O7),'Non-Combat Calculations'!O19:P35,2,FALSE))+D7+(VLOOKUP((S4+D9),'Non-Combat Calculations'!J19:K47,2,FALSE))+D11),(D11+(VLOOKUP((D22+O7),'Non-Combat Calculations'!O19:P35,2,FALSE))+D7+1)))))</f>
        <v>-15</v>
      </c>
      <c r="T7" s="157">
        <f>IF(
    (IF(AND(E13="Yes",ISTEXT(VLOOKUP((T4+D9),'Non-Combat Calculations'!J19:K47,2,FALSE))),(VLOOKUP((T4+D9),'Non-Combat Calculations'!J19:K47,2,FALSE)),
          IF(E13="Yes",((VLOOKUP((D22+O7),'Non-Combat Calculations'!O19:P35,2,FALSE))+D7+(VLOOKUP((T4+D9),'Non-Combat Calculations'!J19:K47,2,FALSE))+D11),(D11+(VLOOKUP((D22+O7),'Non-Combat Calculations'!O19:P35,2,FALSE))+D7+1))))="Accused Killed","S",
              IF(
          IF(AND(E13="Yes",ISTEXT(VLOOKUP((T4+D9),'Non-Combat Calculations'!J19:K47,2,FALSE))),(VLOOKUP((T4+D9),'Non-Combat Calculations'!J19:K47,2,FALSE)),
              IF(E13="Yes",((VLOOKUP((D22+O7),'Non-Combat Calculations'!O19:P35,2,FALSE))+D7+(VLOOKUP((T4+D9),'Non-Combat Calculations'!J19:K47,2,FALSE))+D11),(D11+(VLOOKUP((D22+O7),'Non-Combat Calculations'!O19:P35,2,FALSE))+D7+1)))="Accused Freed","F",
                  IF(AND(E13="Yes",ISTEXT(VLOOKUP((T4+D9),'Non-Combat Calculations'!J19:K47,2,FALSE))),(VLOOKUP((T4+D9),'Non-Combat Calculations'!J19:K47,2,FALSE)),
                      IF(E13="Yes",((VLOOKUP((D22+O7),'Non-Combat Calculations'!O19:P35,2,FALSE))+D7+(VLOOKUP((T4+D9),'Non-Combat Calculations'!J19:K47,2,FALSE))+D11),(D11+(VLOOKUP((D22+O7),'Non-Combat Calculations'!O19:P35,2,FALSE))+D7+1)))))</f>
        <v>-11</v>
      </c>
      <c r="U7" s="157">
        <f>IF(
    (IF(AND(E13="Yes",ISTEXT(VLOOKUP((U4+D9),'Non-Combat Calculations'!J19:K47,2,FALSE))),(VLOOKUP((U4+D9),'Non-Combat Calculations'!J19:K47,2,FALSE)),
          IF(E13="Yes",((VLOOKUP((D22+O7),'Non-Combat Calculations'!O19:P35,2,FALSE))+D7+(VLOOKUP((U4+D9),'Non-Combat Calculations'!J19:K47,2,FALSE))+D11),(D11+(VLOOKUP((D22+O7),'Non-Combat Calculations'!O19:P35,2,FALSE))+D7+1))))="Accused Killed","S",
              IF(
          IF(AND(E13="Yes",ISTEXT(VLOOKUP((U4+D9),'Non-Combat Calculations'!J19:K47,2,FALSE))),(VLOOKUP((U4+D9),'Non-Combat Calculations'!J19:K47,2,FALSE)),
              IF(E13="Yes",((VLOOKUP((D22+O7),'Non-Combat Calculations'!O19:P35,2,FALSE))+D7+(VLOOKUP((U4+D9),'Non-Combat Calculations'!J19:K47,2,FALSE))+D11),(D11+(VLOOKUP((D22+O7),'Non-Combat Calculations'!O19:P35,2,FALSE))+D7+1)))="Accused Freed","F",
                  IF(AND(E13="Yes",ISTEXT(VLOOKUP((U4+D9),'Non-Combat Calculations'!J19:K47,2,FALSE))),(VLOOKUP((U4+D9),'Non-Combat Calculations'!J19:K47,2,FALSE)),
                      IF(E13="Yes",((VLOOKUP((D22+O7),'Non-Combat Calculations'!O19:P35,2,FALSE))+D7+(VLOOKUP((U4+D9),'Non-Combat Calculations'!J19:K47,2,FALSE))+D11),(D11+(VLOOKUP((D22+O7),'Non-Combat Calculations'!O19:P35,2,FALSE))+D7+1)))))</f>
        <v>-7</v>
      </c>
      <c r="V7" s="157">
        <f>IF(
    (IF(AND(E13="Yes",ISTEXT(VLOOKUP((V4+D9),'Non-Combat Calculations'!J19:K47,2,FALSE))),(VLOOKUP((V4+D9),'Non-Combat Calculations'!J19:K47,2,FALSE)),
          IF(E13="Yes",((VLOOKUP((D22+O7),'Non-Combat Calculations'!O19:P35,2,FALSE))+D7+(VLOOKUP((V4+D9),'Non-Combat Calculations'!J19:K47,2,FALSE))+D11),(D11+(VLOOKUP((D22+O7),'Non-Combat Calculations'!O19:P35,2,FALSE))+D7+1))))="Accused Killed","S",
              IF(
          IF(AND(E13="Yes",ISTEXT(VLOOKUP((V4+D9),'Non-Combat Calculations'!J19:K47,2,FALSE))),(VLOOKUP((V4+D9),'Non-Combat Calculations'!J19:K47,2,FALSE)),
              IF(E13="Yes",((VLOOKUP((D22+O7),'Non-Combat Calculations'!O19:P35,2,FALSE))+D7+(VLOOKUP((V4+D9),'Non-Combat Calculations'!J19:K47,2,FALSE))+D11),(D11+(VLOOKUP((D22+O7),'Non-Combat Calculations'!O19:P35,2,FALSE))+D7+1)))="Accused Freed","F",
                  IF(AND(E13="Yes",ISTEXT(VLOOKUP((V4+D9),'Non-Combat Calculations'!J19:K47,2,FALSE))),(VLOOKUP((V4+D9),'Non-Combat Calculations'!J19:K47,2,FALSE)),
                      IF(E13="Yes",((VLOOKUP((D22+O7),'Non-Combat Calculations'!O19:P35,2,FALSE))+D7+(VLOOKUP((V4+D9),'Non-Combat Calculations'!J19:K47,2,FALSE))+D11),(D11+(VLOOKUP((D22+O7),'Non-Combat Calculations'!O19:P35,2,FALSE))+D7+1)))))</f>
        <v>-3</v>
      </c>
      <c r="W7" s="157">
        <f>IF(
    (IF(AND(E13="Yes",ISTEXT(VLOOKUP((W4+D9),'Non-Combat Calculations'!J19:K47,2,FALSE))),(VLOOKUP((W4+D9),'Non-Combat Calculations'!J19:K47,2,FALSE)),
          IF(E13="Yes",((VLOOKUP((D22+O7),'Non-Combat Calculations'!O19:P35,2,FALSE))+D7+(VLOOKUP((W4+D9),'Non-Combat Calculations'!J19:K47,2,FALSE))+D11),(D11+(VLOOKUP((D22+O7),'Non-Combat Calculations'!O19:P35,2,FALSE))+D7+1))))="Accused Killed","S",
              IF(
          IF(AND(E13="Yes",ISTEXT(VLOOKUP((W4+D9),'Non-Combat Calculations'!J19:K47,2,FALSE))),(VLOOKUP((W4+D9),'Non-Combat Calculations'!J19:K47,2,FALSE)),
              IF(E13="Yes",((VLOOKUP((D22+O7),'Non-Combat Calculations'!O19:P35,2,FALSE))+D7+(VLOOKUP((W4+D9),'Non-Combat Calculations'!J19:K47,2,FALSE))+D11),(D11+(VLOOKUP((D22+O7),'Non-Combat Calculations'!O19:P35,2,FALSE))+D7+1)))="Accused Freed","F",
                  IF(AND(E13="Yes",ISTEXT(VLOOKUP((W4+D9),'Non-Combat Calculations'!J19:K47,2,FALSE))),(VLOOKUP((W4+D9),'Non-Combat Calculations'!J19:K47,2,FALSE)),
                      IF(E13="Yes",((VLOOKUP((D22+O7),'Non-Combat Calculations'!O19:P35,2,FALSE))+D7+(VLOOKUP((W4+D9),'Non-Combat Calculations'!J19:K47,2,FALSE))+D11),(D11+(VLOOKUP((D22+O7),'Non-Combat Calculations'!O19:P35,2,FALSE))+D7+1)))))</f>
        <v>1</v>
      </c>
      <c r="X7" s="157">
        <f>IF(
    (IF(AND(E13="Yes",ISTEXT(VLOOKUP((X4+D9),'Non-Combat Calculations'!J19:K47,2,FALSE))),(VLOOKUP((X4+D9),'Non-Combat Calculations'!J19:K47,2,FALSE)),
          IF(E13="Yes",((VLOOKUP((D22+O7),'Non-Combat Calculations'!O19:P35,2,FALSE))+D7+(VLOOKUP((X4+D9),'Non-Combat Calculations'!J19:K47,2,FALSE))+D11),(D11+(VLOOKUP((D22+O7),'Non-Combat Calculations'!O19:P35,2,FALSE))+D7+1))))="Accused Killed","S",
              IF(
          IF(AND(E13="Yes",ISTEXT(VLOOKUP((X4+D9),'Non-Combat Calculations'!J19:K47,2,FALSE))),(VLOOKUP((X4+D9),'Non-Combat Calculations'!J19:K47,2,FALSE)),
              IF(E13="Yes",((VLOOKUP((D22+O7),'Non-Combat Calculations'!O19:P35,2,FALSE))+D7+(VLOOKUP((X4+D9),'Non-Combat Calculations'!J19:K47,2,FALSE))+D11),(D11+(VLOOKUP((D22+O7),'Non-Combat Calculations'!O19:P35,2,FALSE))+D7+1)))="Accused Freed","F",
                  IF(AND(E13="Yes",ISTEXT(VLOOKUP((X4+D9),'Non-Combat Calculations'!J19:K47,2,FALSE))),(VLOOKUP((X4+D9),'Non-Combat Calculations'!J19:K47,2,FALSE)),
                      IF(E13="Yes",((VLOOKUP((D22+O7),'Non-Combat Calculations'!O19:P35,2,FALSE))+D7+(VLOOKUP((X4+D9),'Non-Combat Calculations'!J19:K47,2,FALSE))+D11),(D11+(VLOOKUP((D22+O7),'Non-Combat Calculations'!O19:P35,2,FALSE))+D7+1)))))</f>
        <v>5</v>
      </c>
      <c r="Y7" s="157">
        <f>IF(
    (IF(AND(E13="Yes",ISTEXT(VLOOKUP((Y4+D9),'Non-Combat Calculations'!J19:K47,2,FALSE))),(VLOOKUP((Y4+D9),'Non-Combat Calculations'!J19:K47,2,FALSE)),
          IF(E13="Yes",((VLOOKUP((D22+O7),'Non-Combat Calculations'!O19:P35,2,FALSE))+D7+(VLOOKUP((Y4+D9),'Non-Combat Calculations'!J19:K47,2,FALSE))+D11),(D11+(VLOOKUP((D22+O7),'Non-Combat Calculations'!O19:P35,2,FALSE))+D7+1))))="Accused Killed","S",
              IF(
          IF(AND(E13="Yes",ISTEXT(VLOOKUP((Y4+D9),'Non-Combat Calculations'!J19:K47,2,FALSE))),(VLOOKUP((Y4+D9),'Non-Combat Calculations'!J19:K47,2,FALSE)),
              IF(E13="Yes",((VLOOKUP((D22+O7),'Non-Combat Calculations'!O19:P35,2,FALSE))+D7+(VLOOKUP((Y4+D9),'Non-Combat Calculations'!J19:K47,2,FALSE))+D11),(D11+(VLOOKUP((D22+O7),'Non-Combat Calculations'!O19:P35,2,FALSE))+D7+1)))="Accused Freed","F",
                  IF(AND(E13="Yes",ISTEXT(VLOOKUP((Y4+D9),'Non-Combat Calculations'!J19:K47,2,FALSE))),(VLOOKUP((Y4+D9),'Non-Combat Calculations'!J19:K47,2,FALSE)),
                      IF(E13="Yes",((VLOOKUP((D22+O7),'Non-Combat Calculations'!O19:P35,2,FALSE))+D7+(VLOOKUP((Y4+D9),'Non-Combat Calculations'!J19:K47,2,FALSE))+D11),(D11+(VLOOKUP((D22+O7),'Non-Combat Calculations'!O19:P35,2,FALSE))+D7+1)))))</f>
        <v>9</v>
      </c>
      <c r="Z7" s="157">
        <f>IF(
    (IF(AND(E13="Yes",ISTEXT(VLOOKUP((Z4+D9),'Non-Combat Calculations'!J19:K47,2,FALSE))),(VLOOKUP((Z4+D9),'Non-Combat Calculations'!J19:K47,2,FALSE)),
          IF(E13="Yes",((VLOOKUP((D22+O7),'Non-Combat Calculations'!O19:P35,2,FALSE))+D7+(VLOOKUP((Z4+D9),'Non-Combat Calculations'!J19:K47,2,FALSE))+D11),(D11+(VLOOKUP((D22+O7),'Non-Combat Calculations'!O19:P35,2,FALSE))+D7+1))))="Accused Killed","S",
              IF(
          IF(AND(E13="Yes",ISTEXT(VLOOKUP((Z4+D9),'Non-Combat Calculations'!J19:K47,2,FALSE))),(VLOOKUP((Z4+D9),'Non-Combat Calculations'!J19:K47,2,FALSE)),
              IF(E13="Yes",((VLOOKUP((D22+O7),'Non-Combat Calculations'!O19:P35,2,FALSE))+D7+(VLOOKUP((Z4+D9),'Non-Combat Calculations'!J19:K47,2,FALSE))+D11),(D11+(VLOOKUP((D22+O7),'Non-Combat Calculations'!O19:P35,2,FALSE))+D7+1)))="Accused Freed","F",
                  IF(AND(E13="Yes",ISTEXT(VLOOKUP((Z4+D9),'Non-Combat Calculations'!J19:K47,2,FALSE))),(VLOOKUP((Z4+D9),'Non-Combat Calculations'!J19:K47,2,FALSE)),
                      IF(E13="Yes",((VLOOKUP((D22+O7),'Non-Combat Calculations'!O19:P35,2,FALSE))+D7+(VLOOKUP((Z4+D9),'Non-Combat Calculations'!J19:K47,2,FALSE))+D11),(D11+(VLOOKUP((D22+O7),'Non-Combat Calculations'!O19:P35,2,FALSE))+D7+1)))))</f>
        <v>13</v>
      </c>
      <c r="AA7" s="157">
        <f>IF(
    (IF(AND(E13="Yes",ISTEXT(VLOOKUP((AA4+D9),'Non-Combat Calculations'!J19:K47,2,FALSE))),(VLOOKUP((AA4+D9),'Non-Combat Calculations'!J19:K47,2,FALSE)),
          IF(E13="Yes",((VLOOKUP((D22+O7),'Non-Combat Calculations'!O19:P35,2,FALSE))+D7+(VLOOKUP((AA4+D9),'Non-Combat Calculations'!J19:K47,2,FALSE))+D11),(D11+(VLOOKUP((D22+O7),'Non-Combat Calculations'!O19:P35,2,FALSE))+D7+1))))="Accused Killed","S",
              IF(
          IF(AND(E13="Yes",ISTEXT(VLOOKUP((AA4+D9),'Non-Combat Calculations'!J19:K47,2,FALSE))),(VLOOKUP((AA4+D9),'Non-Combat Calculations'!J19:K47,2,FALSE)),
              IF(E13="Yes",((VLOOKUP((D22+O7),'Non-Combat Calculations'!O19:P35,2,FALSE))+D7+(VLOOKUP((AA4+D9),'Non-Combat Calculations'!J19:K47,2,FALSE))+D11),(D11+(VLOOKUP((D22+O7),'Non-Combat Calculations'!O19:P35,2,FALSE))+D7+1)))="Accused Freed","F",
                  IF(AND(E13="Yes",ISTEXT(VLOOKUP((AA4+D9),'Non-Combat Calculations'!J19:K47,2,FALSE))),(VLOOKUP((AA4+D9),'Non-Combat Calculations'!J19:K47,2,FALSE)),
                      IF(E13="Yes",((VLOOKUP((D22+O7),'Non-Combat Calculations'!O19:P35,2,FALSE))+D7+(VLOOKUP((AA4+D9),'Non-Combat Calculations'!J19:K47,2,FALSE))+D11),(D11+(VLOOKUP((D22+O7),'Non-Combat Calculations'!O19:P35,2,FALSE))+D7+1)))))</f>
        <v>17</v>
      </c>
      <c r="AB7" s="158" t="str">
        <f>IF(
    (IF(AND(E13="Yes",ISTEXT(VLOOKUP((AB4+D9),'Non-Combat Calculations'!J19:K47,2,FALSE))),(VLOOKUP((AB4+D9),'Non-Combat Calculations'!J19:K47,2,FALSE)),
          IF(E13="Yes",((VLOOKUP((D22+O7),'Non-Combat Calculations'!O19:P35,2,FALSE))+D7+(VLOOKUP((AB4+D9),'Non-Combat Calculations'!J19:K47,2,FALSE))+D11),(D11+(VLOOKUP((D22+O7),'Non-Combat Calculations'!O19:P35,2,FALSE))+D7+1))))="Accused Killed","S",
              IF(
          IF(AND(E13="Yes",ISTEXT(VLOOKUP((AB4+D9),'Non-Combat Calculations'!J19:K47,2,FALSE))),(VLOOKUP((AB4+D9),'Non-Combat Calculations'!J19:K47,2,FALSE)),
              IF(E13="Yes",((VLOOKUP((D22+O7),'Non-Combat Calculations'!O19:P35,2,FALSE))+D7+(VLOOKUP((AB4+D9),'Non-Combat Calculations'!J19:K47,2,FALSE))+D11),(D11+(VLOOKUP((D22+O7),'Non-Combat Calculations'!O19:P35,2,FALSE))+D7+1)))="Accused Freed","F",
                  IF(AND(E13="Yes",ISTEXT(VLOOKUP((AB4+D9),'Non-Combat Calculations'!J19:K47,2,FALSE))),(VLOOKUP((AB4+D9),'Non-Combat Calculations'!J19:K47,2,FALSE)),
                      IF(E13="Yes",((VLOOKUP((D22+O7),'Non-Combat Calculations'!O19:P35,2,FALSE))+D7+(VLOOKUP((AB4+D9),'Non-Combat Calculations'!J19:K47,2,FALSE))+D11),(D11+(VLOOKUP((D22+O7),'Non-Combat Calculations'!O19:P35,2,FALSE))+D7+1)))))</f>
        <v>F</v>
      </c>
      <c r="AC7" s="181"/>
    </row>
    <row r="8" spans="1:29" ht="15.75" thickBot="1">
      <c r="A8" s="60"/>
      <c r="B8" s="60"/>
      <c r="C8" s="60"/>
      <c r="D8" s="60"/>
      <c r="E8" s="61"/>
      <c r="F8" s="61"/>
      <c r="G8" s="61"/>
      <c r="H8" s="60"/>
      <c r="I8" s="60"/>
      <c r="J8" s="60"/>
      <c r="K8" s="60"/>
      <c r="L8" s="60"/>
      <c r="M8" s="180"/>
      <c r="N8" s="65"/>
      <c r="O8" s="168">
        <v>3</v>
      </c>
      <c r="P8" s="169"/>
      <c r="Q8" s="170"/>
      <c r="R8" s="159" t="str">
        <f>IF(
    (IF(AND(E13="Yes",ISTEXT(VLOOKUP((R4+D9),'Non-Combat Calculations'!J19:K47,2,FALSE))),(VLOOKUP((R4+D9),'Non-Combat Calculations'!J19:K47,2,FALSE)),
          IF(E13="Yes",((VLOOKUP((D22+O8),'Non-Combat Calculations'!O19:P35,2,FALSE))+D7+(VLOOKUP((R4+D9),'Non-Combat Calculations'!J19:K47,2,FALSE))+D11),(D11+(VLOOKUP((D22+O8),'Non-Combat Calculations'!O19:P35,2,FALSE))+D7+1))))="Accused Killed","S",
              IF(
          IF(AND(E13="Yes",ISTEXT(VLOOKUP((R4+D9),'Non-Combat Calculations'!J19:K47,2,FALSE))),(VLOOKUP((R4+D9),'Non-Combat Calculations'!J19:K47,2,FALSE)),
              IF(E13="Yes",((VLOOKUP((D22+O8),'Non-Combat Calculations'!O19:P35,2,FALSE))+D7+(VLOOKUP((R4+D9),'Non-Combat Calculations'!J19:K47,2,FALSE))+D11),(D11+(VLOOKUP((D22+O8),'Non-Combat Calculations'!O19:P35,2,FALSE))+D7+1)))="Accused Freed","F",
                  IF(AND(E13="Yes",ISTEXT(VLOOKUP((R4+D9),'Non-Combat Calculations'!J19:K47,2,FALSE))),(VLOOKUP((R4+D9),'Non-Combat Calculations'!J19:K47,2,FALSE)),
                      IF(E13="Yes",((VLOOKUP((D22+O8),'Non-Combat Calculations'!O19:P35,2,FALSE))+D7+(VLOOKUP((R4+D9),'Non-Combat Calculations'!J19:K47,2,FALSE))+D11),(D11+(VLOOKUP((D22+O8),'Non-Combat Calculations'!O19:P35,2,FALSE))+D7+1)))))</f>
        <v>S</v>
      </c>
      <c r="S8" s="155">
        <f>IF(
    (IF(AND(E13="Yes",ISTEXT(VLOOKUP((S4+D9),'Non-Combat Calculations'!J19:K47,2,FALSE))),(VLOOKUP((S4+D9),'Non-Combat Calculations'!J19:K47,2,FALSE)),
          IF(E13="Yes",((VLOOKUP((D22+O8),'Non-Combat Calculations'!O19:P35,2,FALSE))+D7+(VLOOKUP((S4+D9),'Non-Combat Calculations'!J19:K47,2,FALSE))+D11),(D11+(VLOOKUP((D22+O8),'Non-Combat Calculations'!O19:P35,2,FALSE))+D7+1))))="Accused Killed","S",
              IF(
          IF(AND(E13="Yes",ISTEXT(VLOOKUP((S4+D9),'Non-Combat Calculations'!J19:K47,2,FALSE))),(VLOOKUP((S4+D9),'Non-Combat Calculations'!J19:K47,2,FALSE)),
              IF(E13="Yes",((VLOOKUP((D22+O8),'Non-Combat Calculations'!O19:P35,2,FALSE))+D7+(VLOOKUP((S4+D9),'Non-Combat Calculations'!J19:K47,2,FALSE))+D11),(D11+(VLOOKUP((D22+O8),'Non-Combat Calculations'!O19:P35,2,FALSE))+D7+1)))="Accused Freed","F",
                  IF(AND(E13="Yes",ISTEXT(VLOOKUP((S4+D9),'Non-Combat Calculations'!J19:K47,2,FALSE))),(VLOOKUP((S4+D9),'Non-Combat Calculations'!J19:K47,2,FALSE)),
                      IF(E13="Yes",((VLOOKUP((D22+O8),'Non-Combat Calculations'!O19:P35,2,FALSE))+D7+(VLOOKUP((S4+D9),'Non-Combat Calculations'!J19:K47,2,FALSE))+D11),(D11+(VLOOKUP((D22+O8),'Non-Combat Calculations'!O19:P35,2,FALSE))+D7+1)))))</f>
        <v>-11</v>
      </c>
      <c r="T8" s="155">
        <f>IF(
    (IF(AND(E13="Yes",ISTEXT(VLOOKUP((T4+D9),'Non-Combat Calculations'!J19:K47,2,FALSE))),(VLOOKUP((T4+D9),'Non-Combat Calculations'!J19:K47,2,FALSE)),
          IF(E13="Yes",((VLOOKUP((D22+O8),'Non-Combat Calculations'!O19:P35,2,FALSE))+D7+(VLOOKUP((T4+D9),'Non-Combat Calculations'!J19:K47,2,FALSE))+D11),(D11+(VLOOKUP((D22+O8),'Non-Combat Calculations'!O19:P35,2,FALSE))+D7+1))))="Accused Killed","S",
              IF(
          IF(AND(E13="Yes",ISTEXT(VLOOKUP((T4+D9),'Non-Combat Calculations'!J19:K47,2,FALSE))),(VLOOKUP((T4+D9),'Non-Combat Calculations'!J19:K47,2,FALSE)),
              IF(E13="Yes",((VLOOKUP((D22+O8),'Non-Combat Calculations'!O19:P35,2,FALSE))+D7+(VLOOKUP((T4+D9),'Non-Combat Calculations'!J19:K47,2,FALSE))+D11),(D11+(VLOOKUP((D22+O8),'Non-Combat Calculations'!O19:P35,2,FALSE))+D7+1)))="Accused Freed","F",
                  IF(AND(E13="Yes",ISTEXT(VLOOKUP((T4+D9),'Non-Combat Calculations'!J19:K47,2,FALSE))),(VLOOKUP((T4+D9),'Non-Combat Calculations'!J19:K47,2,FALSE)),
                      IF(E13="Yes",((VLOOKUP((D22+O8),'Non-Combat Calculations'!O19:P35,2,FALSE))+D7+(VLOOKUP((T4+D9),'Non-Combat Calculations'!J19:K47,2,FALSE))+D11),(D11+(VLOOKUP((D22+O8),'Non-Combat Calculations'!O19:P35,2,FALSE))+D7+1)))))</f>
        <v>-7</v>
      </c>
      <c r="U8" s="155">
        <f>IF(
    (IF(AND(E13="Yes",ISTEXT(VLOOKUP((U4+D9),'Non-Combat Calculations'!J19:K47,2,FALSE))),(VLOOKUP((U4+D9),'Non-Combat Calculations'!J19:K47,2,FALSE)),
          IF(E13="Yes",((VLOOKUP((D22+O8),'Non-Combat Calculations'!O19:P35,2,FALSE))+D7+(VLOOKUP((U4+D9),'Non-Combat Calculations'!J19:K47,2,FALSE))+D11),(D11+(VLOOKUP((D22+O8),'Non-Combat Calculations'!O19:P35,2,FALSE))+D7+1))))="Accused Killed","S",
              IF(
          IF(AND(E13="Yes",ISTEXT(VLOOKUP((U4+D9),'Non-Combat Calculations'!J19:K47,2,FALSE))),(VLOOKUP((U4+D9),'Non-Combat Calculations'!J19:K47,2,FALSE)),
              IF(E13="Yes",((VLOOKUP((D22+O8),'Non-Combat Calculations'!O19:P35,2,FALSE))+D7+(VLOOKUP((U4+D9),'Non-Combat Calculations'!J19:K47,2,FALSE))+D11),(D11+(VLOOKUP((D22+O8),'Non-Combat Calculations'!O19:P35,2,FALSE))+D7+1)))="Accused Freed","F",
                  IF(AND(E13="Yes",ISTEXT(VLOOKUP((U4+D9),'Non-Combat Calculations'!J19:K47,2,FALSE))),(VLOOKUP((U4+D9),'Non-Combat Calculations'!J19:K47,2,FALSE)),
                      IF(E13="Yes",((VLOOKUP((D22+O8),'Non-Combat Calculations'!O19:P35,2,FALSE))+D7+(VLOOKUP((U4+D9),'Non-Combat Calculations'!J19:K47,2,FALSE))+D11),(D11+(VLOOKUP((D22+O8),'Non-Combat Calculations'!O19:P35,2,FALSE))+D7+1)))))</f>
        <v>-3</v>
      </c>
      <c r="V8" s="155">
        <f>IF(
    (IF(AND(E13="Yes",ISTEXT(VLOOKUP((V4+D9),'Non-Combat Calculations'!J19:K47,2,FALSE))),(VLOOKUP((V4+D9),'Non-Combat Calculations'!J19:K47,2,FALSE)),
          IF(E13="Yes",((VLOOKUP((D22+O8),'Non-Combat Calculations'!O19:P35,2,FALSE))+D7+(VLOOKUP((V4+D9),'Non-Combat Calculations'!J19:K47,2,FALSE))+D11),(D11+(VLOOKUP((D22+O8),'Non-Combat Calculations'!O19:P35,2,FALSE))+D7+1))))="Accused Killed","S",
              IF(
          IF(AND(E13="Yes",ISTEXT(VLOOKUP((V4+D9),'Non-Combat Calculations'!J19:K47,2,FALSE))),(VLOOKUP((V4+D9),'Non-Combat Calculations'!J19:K47,2,FALSE)),
              IF(E13="Yes",((VLOOKUP((D22+O8),'Non-Combat Calculations'!O19:P35,2,FALSE))+D7+(VLOOKUP((V4+D9),'Non-Combat Calculations'!J19:K47,2,FALSE))+D11),(D11+(VLOOKUP((D22+O8),'Non-Combat Calculations'!O19:P35,2,FALSE))+D7+1)))="Accused Freed","F",
                  IF(AND(E13="Yes",ISTEXT(VLOOKUP((V4+D9),'Non-Combat Calculations'!J19:K47,2,FALSE))),(VLOOKUP((V4+D9),'Non-Combat Calculations'!J19:K47,2,FALSE)),
                      IF(E13="Yes",((VLOOKUP((D22+O8),'Non-Combat Calculations'!O19:P35,2,FALSE))+D7+(VLOOKUP((V4+D9),'Non-Combat Calculations'!J19:K47,2,FALSE))+D11),(D11+(VLOOKUP((D22+O8),'Non-Combat Calculations'!O19:P35,2,FALSE))+D7+1)))))</f>
        <v>1</v>
      </c>
      <c r="W8" s="155">
        <f>IF(
    (IF(AND(E13="Yes",ISTEXT(VLOOKUP((W4+D9),'Non-Combat Calculations'!J19:K47,2,FALSE))),(VLOOKUP((W4+D9),'Non-Combat Calculations'!J19:K47,2,FALSE)),
          IF(E13="Yes",((VLOOKUP((D22+O8),'Non-Combat Calculations'!O19:P35,2,FALSE))+D7+(VLOOKUP((W4+D9),'Non-Combat Calculations'!J19:K47,2,FALSE))+D11),(D11+(VLOOKUP((D22+O8),'Non-Combat Calculations'!O19:P35,2,FALSE))+D7+1))))="Accused Killed","S",
              IF(
          IF(AND(E13="Yes",ISTEXT(VLOOKUP((W4+D9),'Non-Combat Calculations'!J19:K47,2,FALSE))),(VLOOKUP((W4+D9),'Non-Combat Calculations'!J19:K47,2,FALSE)),
              IF(E13="Yes",((VLOOKUP((D22+O8),'Non-Combat Calculations'!O19:P35,2,FALSE))+D7+(VLOOKUP((W4+D9),'Non-Combat Calculations'!J19:K47,2,FALSE))+D11),(D11+(VLOOKUP((D22+O8),'Non-Combat Calculations'!O19:P35,2,FALSE))+D7+1)))="Accused Freed","F",
                  IF(AND(E13="Yes",ISTEXT(VLOOKUP((W4+D9),'Non-Combat Calculations'!J19:K47,2,FALSE))),(VLOOKUP((W4+D9),'Non-Combat Calculations'!J19:K47,2,FALSE)),
                      IF(E13="Yes",((VLOOKUP((D22+O8),'Non-Combat Calculations'!O19:P35,2,FALSE))+D7+(VLOOKUP((W4+D9),'Non-Combat Calculations'!J19:K47,2,FALSE))+D11),(D11+(VLOOKUP((D22+O8),'Non-Combat Calculations'!O19:P35,2,FALSE))+D7+1)))))</f>
        <v>5</v>
      </c>
      <c r="X8" s="155">
        <f>IF(
    (IF(AND(E13="Yes",ISTEXT(VLOOKUP((X4+D9),'Non-Combat Calculations'!J19:K47,2,FALSE))),(VLOOKUP((X4+D9),'Non-Combat Calculations'!J19:K47,2,FALSE)),
          IF(E13="Yes",((VLOOKUP((D22+O8),'Non-Combat Calculations'!O19:P35,2,FALSE))+D7+(VLOOKUP((X4+D9),'Non-Combat Calculations'!J19:K47,2,FALSE))+D11),(D11+(VLOOKUP((D22+O8),'Non-Combat Calculations'!O19:P35,2,FALSE))+D7+1))))="Accused Killed","S",
              IF(
          IF(AND(E13="Yes",ISTEXT(VLOOKUP((X4+D9),'Non-Combat Calculations'!J19:K47,2,FALSE))),(VLOOKUP((X4+D9),'Non-Combat Calculations'!J19:K47,2,FALSE)),
              IF(E13="Yes",((VLOOKUP((D22+O8),'Non-Combat Calculations'!O19:P35,2,FALSE))+D7+(VLOOKUP((X4+D9),'Non-Combat Calculations'!J19:K47,2,FALSE))+D11),(D11+(VLOOKUP((D22+O8),'Non-Combat Calculations'!O19:P35,2,FALSE))+D7+1)))="Accused Freed","F",
                  IF(AND(E13="Yes",ISTEXT(VLOOKUP((X4+D9),'Non-Combat Calculations'!J19:K47,2,FALSE))),(VLOOKUP((X4+D9),'Non-Combat Calculations'!J19:K47,2,FALSE)),
                      IF(E13="Yes",((VLOOKUP((D22+O8),'Non-Combat Calculations'!O19:P35,2,FALSE))+D7+(VLOOKUP((X4+D9),'Non-Combat Calculations'!J19:K47,2,FALSE))+D11),(D11+(VLOOKUP((D22+O8),'Non-Combat Calculations'!O19:P35,2,FALSE))+D7+1)))))</f>
        <v>9</v>
      </c>
      <c r="Y8" s="155">
        <f>IF(
    (IF(AND(E13="Yes",ISTEXT(VLOOKUP((Y4+D9),'Non-Combat Calculations'!J19:K47,2,FALSE))),(VLOOKUP((Y4+D9),'Non-Combat Calculations'!J19:K47,2,FALSE)),
          IF(E13="Yes",((VLOOKUP((D22+O8),'Non-Combat Calculations'!O19:P35,2,FALSE))+D7+(VLOOKUP((Y4+D9),'Non-Combat Calculations'!J19:K47,2,FALSE))+D11),(D11+(VLOOKUP((D22+O8),'Non-Combat Calculations'!O19:P35,2,FALSE))+D7+1))))="Accused Killed","S",
              IF(
          IF(AND(E13="Yes",ISTEXT(VLOOKUP((Y4+D9),'Non-Combat Calculations'!J19:K47,2,FALSE))),(VLOOKUP((Y4+D9),'Non-Combat Calculations'!J19:K47,2,FALSE)),
              IF(E13="Yes",((VLOOKUP((D22+O8),'Non-Combat Calculations'!O19:P35,2,FALSE))+D7+(VLOOKUP((Y4+D9),'Non-Combat Calculations'!J19:K47,2,FALSE))+D11),(D11+(VLOOKUP((D22+O8),'Non-Combat Calculations'!O19:P35,2,FALSE))+D7+1)))="Accused Freed","F",
                  IF(AND(E13="Yes",ISTEXT(VLOOKUP((Y4+D9),'Non-Combat Calculations'!J19:K47,2,FALSE))),(VLOOKUP((Y4+D9),'Non-Combat Calculations'!J19:K47,2,FALSE)),
                      IF(E13="Yes",((VLOOKUP((D22+O8),'Non-Combat Calculations'!O19:P35,2,FALSE))+D7+(VLOOKUP((Y4+D9),'Non-Combat Calculations'!J19:K47,2,FALSE))+D11),(D11+(VLOOKUP((D22+O8),'Non-Combat Calculations'!O19:P35,2,FALSE))+D7+1)))))</f>
        <v>13</v>
      </c>
      <c r="Z8" s="155">
        <f>IF(
    (IF(AND(E13="Yes",ISTEXT(VLOOKUP((Z4+D9),'Non-Combat Calculations'!J19:K47,2,FALSE))),(VLOOKUP((Z4+D9),'Non-Combat Calculations'!J19:K47,2,FALSE)),
          IF(E13="Yes",((VLOOKUP((D22+O8),'Non-Combat Calculations'!O19:P35,2,FALSE))+D7+(VLOOKUP((Z4+D9),'Non-Combat Calculations'!J19:K47,2,FALSE))+D11),(D11+(VLOOKUP((D22+O8),'Non-Combat Calculations'!O19:P35,2,FALSE))+D7+1))))="Accused Killed","S",
              IF(
          IF(AND(E13="Yes",ISTEXT(VLOOKUP((Z4+D9),'Non-Combat Calculations'!J19:K47,2,FALSE))),(VLOOKUP((Z4+D9),'Non-Combat Calculations'!J19:K47,2,FALSE)),
              IF(E13="Yes",((VLOOKUP((D22+O8),'Non-Combat Calculations'!O19:P35,2,FALSE))+D7+(VLOOKUP((Z4+D9),'Non-Combat Calculations'!J19:K47,2,FALSE))+D11),(D11+(VLOOKUP((D22+O8),'Non-Combat Calculations'!O19:P35,2,FALSE))+D7+1)))="Accused Freed","F",
                  IF(AND(E13="Yes",ISTEXT(VLOOKUP((Z4+D9),'Non-Combat Calculations'!J19:K47,2,FALSE))),(VLOOKUP((Z4+D9),'Non-Combat Calculations'!J19:K47,2,FALSE)),
                      IF(E13="Yes",((VLOOKUP((D22+O8),'Non-Combat Calculations'!O19:P35,2,FALSE))+D7+(VLOOKUP((Z4+D9),'Non-Combat Calculations'!J19:K47,2,FALSE))+D11),(D11+(VLOOKUP((D22+O8),'Non-Combat Calculations'!O19:P35,2,FALSE))+D7+1)))))</f>
        <v>17</v>
      </c>
      <c r="AA8" s="155">
        <f>IF(
    (IF(AND(E13="Yes",ISTEXT(VLOOKUP((AA4+D9),'Non-Combat Calculations'!J19:K47,2,FALSE))),(VLOOKUP((AA4+D9),'Non-Combat Calculations'!J19:K47,2,FALSE)),
          IF(E13="Yes",((VLOOKUP((D22+O8),'Non-Combat Calculations'!O19:P35,2,FALSE))+D7+(VLOOKUP((AA4+D9),'Non-Combat Calculations'!J19:K47,2,FALSE))+D11),(D11+(VLOOKUP((D22+O8),'Non-Combat Calculations'!O19:P35,2,FALSE))+D7+1))))="Accused Killed","S",
              IF(
          IF(AND(E13="Yes",ISTEXT(VLOOKUP((AA4+D9),'Non-Combat Calculations'!J19:K47,2,FALSE))),(VLOOKUP((AA4+D9),'Non-Combat Calculations'!J19:K47,2,FALSE)),
              IF(E13="Yes",((VLOOKUP((D22+O8),'Non-Combat Calculations'!O19:P35,2,FALSE))+D7+(VLOOKUP((AA4+D9),'Non-Combat Calculations'!J19:K47,2,FALSE))+D11),(D11+(VLOOKUP((D22+O8),'Non-Combat Calculations'!O19:P35,2,FALSE))+D7+1)))="Accused Freed","F",
                  IF(AND(E13="Yes",ISTEXT(VLOOKUP((AA4+D9),'Non-Combat Calculations'!J19:K47,2,FALSE))),(VLOOKUP((AA4+D9),'Non-Combat Calculations'!J19:K47,2,FALSE)),
                      IF(E13="Yes",((VLOOKUP((D22+O8),'Non-Combat Calculations'!O19:P35,2,FALSE))+D7+(VLOOKUP((AA4+D9),'Non-Combat Calculations'!J19:K47,2,FALSE))+D11),(D11+(VLOOKUP((D22+O8),'Non-Combat Calculations'!O19:P35,2,FALSE))+D7+1)))))</f>
        <v>21</v>
      </c>
      <c r="AB8" s="160" t="str">
        <f>IF(
    (IF(AND(E13="Yes",ISTEXT(VLOOKUP((AB4+D9),'Non-Combat Calculations'!J19:K47,2,FALSE))),(VLOOKUP((AB4+D9),'Non-Combat Calculations'!J19:K47,2,FALSE)),
          IF(E13="Yes",((VLOOKUP((D22+O8),'Non-Combat Calculations'!O19:P35,2,FALSE))+D7+(VLOOKUP((AB4+D9),'Non-Combat Calculations'!J19:K47,2,FALSE))+D11),(D11+(VLOOKUP((D22+O8),'Non-Combat Calculations'!O19:P35,2,FALSE))+D7+1))))="Accused Killed","S",
              IF(
          IF(AND(E13="Yes",ISTEXT(VLOOKUP((AB4+D9),'Non-Combat Calculations'!J19:K47,2,FALSE))),(VLOOKUP((AB4+D9),'Non-Combat Calculations'!J19:K47,2,FALSE)),
              IF(E13="Yes",((VLOOKUP((D22+O8),'Non-Combat Calculations'!O19:P35,2,FALSE))+D7+(VLOOKUP((AB4+D9),'Non-Combat Calculations'!J19:K47,2,FALSE))+D11),(D11+(VLOOKUP((D22+O8),'Non-Combat Calculations'!O19:P35,2,FALSE))+D7+1)))="Accused Freed","F",
                  IF(AND(E13="Yes",ISTEXT(VLOOKUP((AB4+D9),'Non-Combat Calculations'!J19:K47,2,FALSE))),(VLOOKUP((AB4+D9),'Non-Combat Calculations'!J19:K47,2,FALSE)),
                      IF(E13="Yes",((VLOOKUP((D22+O8),'Non-Combat Calculations'!O19:P35,2,FALSE))+D7+(VLOOKUP((AB4+D9),'Non-Combat Calculations'!J19:K47,2,FALSE))+D11),(D11+(VLOOKUP((D22+O8),'Non-Combat Calculations'!O19:P35,2,FALSE))+D7+1)))))</f>
        <v>F</v>
      </c>
      <c r="AC8" s="181"/>
    </row>
    <row r="9" spans="1:29" ht="16.5" thickBot="1">
      <c r="A9" s="66" t="s">
        <v>336</v>
      </c>
      <c r="B9" s="67"/>
      <c r="C9" s="68"/>
      <c r="D9" s="59">
        <v>0</v>
      </c>
      <c r="E9" s="140" t="s">
        <v>348</v>
      </c>
      <c r="F9" s="62"/>
      <c r="G9" s="61"/>
      <c r="H9" s="60"/>
      <c r="I9" s="60"/>
      <c r="J9" s="60"/>
      <c r="K9" s="60"/>
      <c r="L9" s="60"/>
      <c r="M9" s="180"/>
      <c r="N9" s="65"/>
      <c r="O9" s="168">
        <v>4</v>
      </c>
      <c r="P9" s="169"/>
      <c r="Q9" s="170"/>
      <c r="R9" s="159" t="str">
        <f>IF(
    (IF(AND(E13="Yes",ISTEXT(VLOOKUP((R4+D9),'Non-Combat Calculations'!J19:K47,2,FALSE))),(VLOOKUP((R4+D9),'Non-Combat Calculations'!J19:K47,2,FALSE)),
          IF(E13="Yes",((VLOOKUP((D22+O9),'Non-Combat Calculations'!O19:P35,2,FALSE))+D7+(VLOOKUP((R4+D9),'Non-Combat Calculations'!J19:K47,2,FALSE))+D11),(D11+(VLOOKUP((D22+O9),'Non-Combat Calculations'!O19:P35,2,FALSE))+D7+1))))="Accused Killed","S",
              IF(
          IF(AND(E13="Yes",ISTEXT(VLOOKUP((R4+D9),'Non-Combat Calculations'!J19:K47,2,FALSE))),(VLOOKUP((R4+D9),'Non-Combat Calculations'!J19:K47,2,FALSE)),
              IF(E13="Yes",((VLOOKUP((D22+O9),'Non-Combat Calculations'!O19:P35,2,FALSE))+D7+(VLOOKUP((R4+D9),'Non-Combat Calculations'!J19:K47,2,FALSE))+D11),(D11+(VLOOKUP((D22+O9),'Non-Combat Calculations'!O19:P35,2,FALSE))+D7+1)))="Accused Freed","F",
                  IF(AND(E13="Yes",ISTEXT(VLOOKUP((R4+D9),'Non-Combat Calculations'!J19:K47,2,FALSE))),(VLOOKUP((R4+D9),'Non-Combat Calculations'!J19:K47,2,FALSE)),
                      IF(E13="Yes",((VLOOKUP((D22+O9),'Non-Combat Calculations'!O19:P35,2,FALSE))+D7+(VLOOKUP((R4+D9),'Non-Combat Calculations'!J19:K47,2,FALSE))+D11),(D11+(VLOOKUP((D22+O9),'Non-Combat Calculations'!O19:P35,2,FALSE))+D7+1)))))</f>
        <v>S</v>
      </c>
      <c r="S9" s="155">
        <f>IF(
    (IF(AND(E13="Yes",ISTEXT(VLOOKUP((S4+D9),'Non-Combat Calculations'!J19:K47,2,FALSE))),(VLOOKUP((S4+D9),'Non-Combat Calculations'!J19:K47,2,FALSE)),
          IF(E13="Yes",((VLOOKUP((D22+O9),'Non-Combat Calculations'!O19:P35,2,FALSE))+D7+(VLOOKUP((S4+D9),'Non-Combat Calculations'!J19:K47,2,FALSE))+D11),(D11+(VLOOKUP((D22+O9),'Non-Combat Calculations'!O19:P35,2,FALSE))+D7+1))))="Accused Killed","S",
              IF(
          IF(AND(E13="Yes",ISTEXT(VLOOKUP((S4+D9),'Non-Combat Calculations'!J19:K47,2,FALSE))),(VLOOKUP((S4+D9),'Non-Combat Calculations'!J19:K47,2,FALSE)),
              IF(E13="Yes",((VLOOKUP((D22+O9),'Non-Combat Calculations'!O19:P35,2,FALSE))+D7+(VLOOKUP((S4+D9),'Non-Combat Calculations'!J19:K47,2,FALSE))+D11),(D11+(VLOOKUP((D22+O9),'Non-Combat Calculations'!O19:P35,2,FALSE))+D7+1)))="Accused Freed","F",
                  IF(AND(E13="Yes",ISTEXT(VLOOKUP((S4+D9),'Non-Combat Calculations'!J19:K47,2,FALSE))),(VLOOKUP((S4+D9),'Non-Combat Calculations'!J19:K47,2,FALSE)),
                      IF(E13="Yes",((VLOOKUP((D22+O9),'Non-Combat Calculations'!O19:P35,2,FALSE))+D7+(VLOOKUP((S4+D9),'Non-Combat Calculations'!J19:K47,2,FALSE))+D11),(D11+(VLOOKUP((D22+O9),'Non-Combat Calculations'!O19:P35,2,FALSE))+D7+1)))))</f>
        <v>-7</v>
      </c>
      <c r="T9" s="155">
        <f>IF(
    (IF(AND(E13="Yes",ISTEXT(VLOOKUP((T4+D9),'Non-Combat Calculations'!J19:K47,2,FALSE))),(VLOOKUP((T4+D9),'Non-Combat Calculations'!J19:K47,2,FALSE)),
          IF(E13="Yes",((VLOOKUP((D22+O9),'Non-Combat Calculations'!O19:P35,2,FALSE))+D7+(VLOOKUP((T4+D9),'Non-Combat Calculations'!J19:K47,2,FALSE))+D11),(D11+(VLOOKUP((D22+O9),'Non-Combat Calculations'!O19:P35,2,FALSE))+D7+1))))="Accused Killed","S",
              IF(
          IF(AND(E13="Yes",ISTEXT(VLOOKUP((T4+D9),'Non-Combat Calculations'!J19:K47,2,FALSE))),(VLOOKUP((T4+D9),'Non-Combat Calculations'!J19:K47,2,FALSE)),
              IF(E13="Yes",((VLOOKUP((D22+O9),'Non-Combat Calculations'!O19:P35,2,FALSE))+D7+(VLOOKUP((T4+D9),'Non-Combat Calculations'!J19:K47,2,FALSE))+D11),(D11+(VLOOKUP((D22+O9),'Non-Combat Calculations'!O19:P35,2,FALSE))+D7+1)))="Accused Freed","F",
                  IF(AND(E13="Yes",ISTEXT(VLOOKUP((T4+D9),'Non-Combat Calculations'!J19:K47,2,FALSE))),(VLOOKUP((T4+D9),'Non-Combat Calculations'!J19:K47,2,FALSE)),
                      IF(E13="Yes",((VLOOKUP((D22+O9),'Non-Combat Calculations'!O19:P35,2,FALSE))+D7+(VLOOKUP((T4+D9),'Non-Combat Calculations'!J19:K47,2,FALSE))+D11),(D11+(VLOOKUP((D22+O9),'Non-Combat Calculations'!O19:P35,2,FALSE))+D7+1)))))</f>
        <v>-3</v>
      </c>
      <c r="U9" s="155">
        <f>IF(
    (IF(AND(E13="Yes",ISTEXT(VLOOKUP((U4+D9),'Non-Combat Calculations'!J19:K47,2,FALSE))),(VLOOKUP((U4+D9),'Non-Combat Calculations'!J19:K47,2,FALSE)),
          IF(E13="Yes",((VLOOKUP((D22+O9),'Non-Combat Calculations'!O19:P35,2,FALSE))+D7+(VLOOKUP((U4+D9),'Non-Combat Calculations'!J19:K47,2,FALSE))+D11),(D11+(VLOOKUP((D22+O9),'Non-Combat Calculations'!O19:P35,2,FALSE))+D7+1))))="Accused Killed","S",
              IF(
          IF(AND(E13="Yes",ISTEXT(VLOOKUP((U4+D9),'Non-Combat Calculations'!J19:K47,2,FALSE))),(VLOOKUP((U4+D9),'Non-Combat Calculations'!J19:K47,2,FALSE)),
              IF(E13="Yes",((VLOOKUP((D22+O9),'Non-Combat Calculations'!O19:P35,2,FALSE))+D7+(VLOOKUP((U4+D9),'Non-Combat Calculations'!J19:K47,2,FALSE))+D11),(D11+(VLOOKUP((D22+O9),'Non-Combat Calculations'!O19:P35,2,FALSE))+D7+1)))="Accused Freed","F",
                  IF(AND(E13="Yes",ISTEXT(VLOOKUP((U4+D9),'Non-Combat Calculations'!J19:K47,2,FALSE))),(VLOOKUP((U4+D9),'Non-Combat Calculations'!J19:K47,2,FALSE)),
                      IF(E13="Yes",((VLOOKUP((D22+O9),'Non-Combat Calculations'!O19:P35,2,FALSE))+D7+(VLOOKUP((U4+D9),'Non-Combat Calculations'!J19:K47,2,FALSE))+D11),(D11+(VLOOKUP((D22+O9),'Non-Combat Calculations'!O19:P35,2,FALSE))+D7+1)))))</f>
        <v>1</v>
      </c>
      <c r="V9" s="155">
        <f>IF(
    (IF(AND(E13="Yes",ISTEXT(VLOOKUP((V4+D9),'Non-Combat Calculations'!J19:K47,2,FALSE))),(VLOOKUP((V4+D9),'Non-Combat Calculations'!J19:K47,2,FALSE)),
          IF(E13="Yes",((VLOOKUP((D22+O9),'Non-Combat Calculations'!O19:P35,2,FALSE))+D7+(VLOOKUP((V4+D9),'Non-Combat Calculations'!J19:K47,2,FALSE))+D11),(D11+(VLOOKUP((D22+O9),'Non-Combat Calculations'!O19:P35,2,FALSE))+D7+1))))="Accused Killed","S",
              IF(
          IF(AND(E13="Yes",ISTEXT(VLOOKUP((V4+D9),'Non-Combat Calculations'!J19:K47,2,FALSE))),(VLOOKUP((V4+D9),'Non-Combat Calculations'!J19:K47,2,FALSE)),
              IF(E13="Yes",((VLOOKUP((D22+O9),'Non-Combat Calculations'!O19:P35,2,FALSE))+D7+(VLOOKUP((V4+D9),'Non-Combat Calculations'!J19:K47,2,FALSE))+D11),(D11+(VLOOKUP((D22+O9),'Non-Combat Calculations'!O19:P35,2,FALSE))+D7+1)))="Accused Freed","F",
                  IF(AND(E13="Yes",ISTEXT(VLOOKUP((V4+D9),'Non-Combat Calculations'!J19:K47,2,FALSE))),(VLOOKUP((V4+D9),'Non-Combat Calculations'!J19:K47,2,FALSE)),
                      IF(E13="Yes",((VLOOKUP((D22+O9),'Non-Combat Calculations'!O19:P35,2,FALSE))+D7+(VLOOKUP((V4+D9),'Non-Combat Calculations'!J19:K47,2,FALSE))+D11),(D11+(VLOOKUP((D22+O9),'Non-Combat Calculations'!O19:P35,2,FALSE))+D7+1)))))</f>
        <v>5</v>
      </c>
      <c r="W9" s="155">
        <f>IF(
    (IF(AND(E13="Yes",ISTEXT(VLOOKUP((W4+D9),'Non-Combat Calculations'!J19:K47,2,FALSE))),(VLOOKUP((W4+D9),'Non-Combat Calculations'!J19:K47,2,FALSE)),
          IF(E13="Yes",((VLOOKUP((D22+O9),'Non-Combat Calculations'!O19:P35,2,FALSE))+D7+(VLOOKUP((W4+D9),'Non-Combat Calculations'!J19:K47,2,FALSE))+D11),(D11+(VLOOKUP((D22+O9),'Non-Combat Calculations'!O19:P35,2,FALSE))+D7+1))))="Accused Killed","S",
              IF(
          IF(AND(E13="Yes",ISTEXT(VLOOKUP((W4+D9),'Non-Combat Calculations'!J19:K47,2,FALSE))),(VLOOKUP((W4+D9),'Non-Combat Calculations'!J19:K47,2,FALSE)),
              IF(E13="Yes",((VLOOKUP((D22+O9),'Non-Combat Calculations'!O19:P35,2,FALSE))+D7+(VLOOKUP((W4+D9),'Non-Combat Calculations'!J19:K47,2,FALSE))+D11),(D11+(VLOOKUP((D22+O9),'Non-Combat Calculations'!O19:P35,2,FALSE))+D7+1)))="Accused Freed","F",
                  IF(AND(E13="Yes",ISTEXT(VLOOKUP((W4+D9),'Non-Combat Calculations'!J19:K47,2,FALSE))),(VLOOKUP((W4+D9),'Non-Combat Calculations'!J19:K47,2,FALSE)),
                      IF(E13="Yes",((VLOOKUP((D22+O9),'Non-Combat Calculations'!O19:P35,2,FALSE))+D7+(VLOOKUP((W4+D9),'Non-Combat Calculations'!J19:K47,2,FALSE))+D11),(D11+(VLOOKUP((D22+O9),'Non-Combat Calculations'!O19:P35,2,FALSE))+D7+1)))))</f>
        <v>9</v>
      </c>
      <c r="X9" s="155">
        <f>IF(
    (IF(AND(E13="Yes",ISTEXT(VLOOKUP((X4+D9),'Non-Combat Calculations'!J19:K47,2,FALSE))),(VLOOKUP((X4+D9),'Non-Combat Calculations'!J19:K47,2,FALSE)),
          IF(E13="Yes",((VLOOKUP((D22+O9),'Non-Combat Calculations'!O19:P35,2,FALSE))+D7+(VLOOKUP((X4+D9),'Non-Combat Calculations'!J19:K47,2,FALSE))+D11),(D11+(VLOOKUP((D22+O9),'Non-Combat Calculations'!O19:P35,2,FALSE))+D7+1))))="Accused Killed","S",
              IF(
          IF(AND(E13="Yes",ISTEXT(VLOOKUP((X4+D9),'Non-Combat Calculations'!J19:K47,2,FALSE))),(VLOOKUP((X4+D9),'Non-Combat Calculations'!J19:K47,2,FALSE)),
              IF(E13="Yes",((VLOOKUP((D22+O9),'Non-Combat Calculations'!O19:P35,2,FALSE))+D7+(VLOOKUP((X4+D9),'Non-Combat Calculations'!J19:K47,2,FALSE))+D11),(D11+(VLOOKUP((D22+O9),'Non-Combat Calculations'!O19:P35,2,FALSE))+D7+1)))="Accused Freed","F",
                  IF(AND(E13="Yes",ISTEXT(VLOOKUP((X4+D9),'Non-Combat Calculations'!J19:K47,2,FALSE))),(VLOOKUP((X4+D9),'Non-Combat Calculations'!J19:K47,2,FALSE)),
                      IF(E13="Yes",((VLOOKUP((D22+O9),'Non-Combat Calculations'!O19:P35,2,FALSE))+D7+(VLOOKUP((X4+D9),'Non-Combat Calculations'!J19:K47,2,FALSE))+D11),(D11+(VLOOKUP((D22+O9),'Non-Combat Calculations'!O19:P35,2,FALSE))+D7+1)))))</f>
        <v>13</v>
      </c>
      <c r="Y9" s="155">
        <f>IF(
    (IF(AND(E13="Yes",ISTEXT(VLOOKUP((Y4+D9),'Non-Combat Calculations'!J19:K47,2,FALSE))),(VLOOKUP((Y4+D9),'Non-Combat Calculations'!J19:K47,2,FALSE)),
          IF(E13="Yes",((VLOOKUP((D22+O9),'Non-Combat Calculations'!O19:P35,2,FALSE))+D7+(VLOOKUP((Y4+D9),'Non-Combat Calculations'!J19:K47,2,FALSE))+D11),(D11+(VLOOKUP((D22+O9),'Non-Combat Calculations'!O19:P35,2,FALSE))+D7+1))))="Accused Killed","S",
              IF(
          IF(AND(E13="Yes",ISTEXT(VLOOKUP((Y4+D9),'Non-Combat Calculations'!J19:K47,2,FALSE))),(VLOOKUP((Y4+D9),'Non-Combat Calculations'!J19:K47,2,FALSE)),
              IF(E13="Yes",((VLOOKUP((D22+O9),'Non-Combat Calculations'!O19:P35,2,FALSE))+D7+(VLOOKUP((Y4+D9),'Non-Combat Calculations'!J19:K47,2,FALSE))+D11),(D11+(VLOOKUP((D22+O9),'Non-Combat Calculations'!O19:P35,2,FALSE))+D7+1)))="Accused Freed","F",
                  IF(AND(E13="Yes",ISTEXT(VLOOKUP((Y4+D9),'Non-Combat Calculations'!J19:K47,2,FALSE))),(VLOOKUP((Y4+D9),'Non-Combat Calculations'!J19:K47,2,FALSE)),
                      IF(E13="Yes",((VLOOKUP((D22+O9),'Non-Combat Calculations'!O19:P35,2,FALSE))+D7+(VLOOKUP((Y4+D9),'Non-Combat Calculations'!J19:K47,2,FALSE))+D11),(D11+(VLOOKUP((D22+O9),'Non-Combat Calculations'!O19:P35,2,FALSE))+D7+1)))))</f>
        <v>17</v>
      </c>
      <c r="Z9" s="155">
        <f>IF(
    (IF(AND(E13="Yes",ISTEXT(VLOOKUP((Z4+D9),'Non-Combat Calculations'!J19:K47,2,FALSE))),(VLOOKUP((Z4+D9),'Non-Combat Calculations'!J19:K47,2,FALSE)),
          IF(E13="Yes",((VLOOKUP((D22+O9),'Non-Combat Calculations'!O19:P35,2,FALSE))+D7+(VLOOKUP((Z4+D9),'Non-Combat Calculations'!J19:K47,2,FALSE))+D11),(D11+(VLOOKUP((D22+O9),'Non-Combat Calculations'!O19:P35,2,FALSE))+D7+1))))="Accused Killed","S",
              IF(
          IF(AND(E13="Yes",ISTEXT(VLOOKUP((Z4+D9),'Non-Combat Calculations'!J19:K47,2,FALSE))),(VLOOKUP((Z4+D9),'Non-Combat Calculations'!J19:K47,2,FALSE)),
              IF(E13="Yes",((VLOOKUP((D22+O9),'Non-Combat Calculations'!O19:P35,2,FALSE))+D7+(VLOOKUP((Z4+D9),'Non-Combat Calculations'!J19:K47,2,FALSE))+D11),(D11+(VLOOKUP((D22+O9),'Non-Combat Calculations'!O19:P35,2,FALSE))+D7+1)))="Accused Freed","F",
                  IF(AND(E13="Yes",ISTEXT(VLOOKUP((Z4+D9),'Non-Combat Calculations'!J19:K47,2,FALSE))),(VLOOKUP((Z4+D9),'Non-Combat Calculations'!J19:K47,2,FALSE)),
                      IF(E13="Yes",((VLOOKUP((D22+O9),'Non-Combat Calculations'!O19:P35,2,FALSE))+D7+(VLOOKUP((Z4+D9),'Non-Combat Calculations'!J19:K47,2,FALSE))+D11),(D11+(VLOOKUP((D22+O9),'Non-Combat Calculations'!O19:P35,2,FALSE))+D7+1)))))</f>
        <v>21</v>
      </c>
      <c r="AA9" s="155">
        <f>IF(
    (IF(AND(E13="Yes",ISTEXT(VLOOKUP((AA4+D9),'Non-Combat Calculations'!J19:K47,2,FALSE))),(VLOOKUP((AA4+D9),'Non-Combat Calculations'!J19:K47,2,FALSE)),
          IF(E13="Yes",((VLOOKUP((D22+O9),'Non-Combat Calculations'!O19:P35,2,FALSE))+D7+(VLOOKUP((AA4+D9),'Non-Combat Calculations'!J19:K47,2,FALSE))+D11),(D11+(VLOOKUP((D22+O9),'Non-Combat Calculations'!O19:P35,2,FALSE))+D7+1))))="Accused Killed","S",
              IF(
          IF(AND(E13="Yes",ISTEXT(VLOOKUP((AA4+D9),'Non-Combat Calculations'!J19:K47,2,FALSE))),(VLOOKUP((AA4+D9),'Non-Combat Calculations'!J19:K47,2,FALSE)),
              IF(E13="Yes",((VLOOKUP((D22+O9),'Non-Combat Calculations'!O19:P35,2,FALSE))+D7+(VLOOKUP((AA4+D9),'Non-Combat Calculations'!J19:K47,2,FALSE))+D11),(D11+(VLOOKUP((D22+O9),'Non-Combat Calculations'!O19:P35,2,FALSE))+D7+1)))="Accused Freed","F",
                  IF(AND(E13="Yes",ISTEXT(VLOOKUP((AA4+D9),'Non-Combat Calculations'!J19:K47,2,FALSE))),(VLOOKUP((AA4+D9),'Non-Combat Calculations'!J19:K47,2,FALSE)),
                      IF(E13="Yes",((VLOOKUP((D22+O9),'Non-Combat Calculations'!O19:P35,2,FALSE))+D7+(VLOOKUP((AA4+D9),'Non-Combat Calculations'!J19:K47,2,FALSE))+D11),(D11+(VLOOKUP((D22+O9),'Non-Combat Calculations'!O19:P35,2,FALSE))+D7+1)))))</f>
        <v>25</v>
      </c>
      <c r="AB9" s="160" t="str">
        <f>IF(
    (IF(AND(E13="Yes",ISTEXT(VLOOKUP((AB4+D9),'Non-Combat Calculations'!J19:K47,2,FALSE))),(VLOOKUP((AB4+D9),'Non-Combat Calculations'!J19:K47,2,FALSE)),
          IF(E13="Yes",((VLOOKUP((D22+O9),'Non-Combat Calculations'!O19:P35,2,FALSE))+D7+(VLOOKUP((AB4+D9),'Non-Combat Calculations'!J19:K47,2,FALSE))+D11),(D11+(VLOOKUP((D22+O9),'Non-Combat Calculations'!O19:P35,2,FALSE))+D7+1))))="Accused Killed","S",
              IF(
          IF(AND(E13="Yes",ISTEXT(VLOOKUP((AB4+D9),'Non-Combat Calculations'!J19:K47,2,FALSE))),(VLOOKUP((AB4+D9),'Non-Combat Calculations'!J19:K47,2,FALSE)),
              IF(E13="Yes",((VLOOKUP((D22+O9),'Non-Combat Calculations'!O19:P35,2,FALSE))+D7+(VLOOKUP((AB4+D9),'Non-Combat Calculations'!J19:K47,2,FALSE))+D11),(D11+(VLOOKUP((D22+O9),'Non-Combat Calculations'!O19:P35,2,FALSE))+D7+1)))="Accused Freed","F",
                  IF(AND(E13="Yes",ISTEXT(VLOOKUP((AB4+D9),'Non-Combat Calculations'!J19:K47,2,FALSE))),(VLOOKUP((AB4+D9),'Non-Combat Calculations'!J19:K47,2,FALSE)),
                      IF(E13="Yes",((VLOOKUP((D22+O9),'Non-Combat Calculations'!O19:P35,2,FALSE))+D7+(VLOOKUP((AB4+D9),'Non-Combat Calculations'!J19:K47,2,FALSE))+D11),(D11+(VLOOKUP((D22+O9),'Non-Combat Calculations'!O19:P35,2,FALSE))+D7+1)))))</f>
        <v>F</v>
      </c>
      <c r="AC9" s="181"/>
    </row>
    <row r="10" spans="1:29" ht="15.75" thickBot="1">
      <c r="A10" s="60"/>
      <c r="B10" s="60"/>
      <c r="C10" s="60"/>
      <c r="D10" s="60"/>
      <c r="E10" s="61"/>
      <c r="F10" s="61"/>
      <c r="G10" s="61"/>
      <c r="H10" s="60"/>
      <c r="I10" s="60"/>
      <c r="J10" s="60"/>
      <c r="K10" s="60"/>
      <c r="L10" s="60"/>
      <c r="M10" s="180"/>
      <c r="N10" s="65"/>
      <c r="O10" s="168">
        <v>5</v>
      </c>
      <c r="P10" s="169"/>
      <c r="Q10" s="170"/>
      <c r="R10" s="159" t="str">
        <f>IF(
    (IF(AND(E13="Yes",ISTEXT(VLOOKUP((R4+D9),'Non-Combat Calculations'!J19:K47,2,FALSE))),(VLOOKUP((R4+D9),'Non-Combat Calculations'!J19:K47,2,FALSE)),
          IF(E13="Yes",((VLOOKUP((D22+O10),'Non-Combat Calculations'!O19:P35,2,FALSE))+D7+(VLOOKUP((R4+D9),'Non-Combat Calculations'!J19:K47,2,FALSE))+D11),(D11+(VLOOKUP((D22+O10),'Non-Combat Calculations'!O19:P35,2,FALSE))+D7+1))))="Accused Killed","S",
              IF(
          IF(AND(E13="Yes",ISTEXT(VLOOKUP((R4+D9),'Non-Combat Calculations'!J19:K47,2,FALSE))),(VLOOKUP((R4+D9),'Non-Combat Calculations'!J19:K47,2,FALSE)),
              IF(E13="Yes",((VLOOKUP((D22+O10),'Non-Combat Calculations'!O19:P35,2,FALSE))+D7+(VLOOKUP((R4+D9),'Non-Combat Calculations'!J19:K47,2,FALSE))+D11),(D11+(VLOOKUP((D22+O10),'Non-Combat Calculations'!O19:P35,2,FALSE))+D7+1)))="Accused Freed","F",
                  IF(AND(E13="Yes",ISTEXT(VLOOKUP((R4+D9),'Non-Combat Calculations'!J19:K47,2,FALSE))),(VLOOKUP((R4+D9),'Non-Combat Calculations'!J19:K47,2,FALSE)),
                      IF(E13="Yes",((VLOOKUP((D22+O10),'Non-Combat Calculations'!O19:P35,2,FALSE))+D7+(VLOOKUP((R4+D9),'Non-Combat Calculations'!J19:K47,2,FALSE))+D11),(D11+(VLOOKUP((D22+O10),'Non-Combat Calculations'!O19:P35,2,FALSE))+D7+1)))))</f>
        <v>S</v>
      </c>
      <c r="S10" s="155">
        <f>IF(
    (IF(AND(E13="Yes",ISTEXT(VLOOKUP((S4+D9),'Non-Combat Calculations'!J19:K47,2,FALSE))),(VLOOKUP((S4+D9),'Non-Combat Calculations'!J19:K47,2,FALSE)),
          IF(E13="Yes",((VLOOKUP((D22+O10),'Non-Combat Calculations'!O19:P35,2,FALSE))+D7+(VLOOKUP((S4+D9),'Non-Combat Calculations'!J19:K47,2,FALSE))+D11),(D11+(VLOOKUP((D22+O10),'Non-Combat Calculations'!O19:P35,2,FALSE))+D7+1))))="Accused Killed","S",
              IF(
          IF(AND(E13="Yes",ISTEXT(VLOOKUP((S4+D9),'Non-Combat Calculations'!J19:K47,2,FALSE))),(VLOOKUP((S4+D9),'Non-Combat Calculations'!J19:K47,2,FALSE)),
              IF(E13="Yes",((VLOOKUP((D22+O10),'Non-Combat Calculations'!O19:P35,2,FALSE))+D7+(VLOOKUP((S4+D9),'Non-Combat Calculations'!J19:K47,2,FALSE))+D11),(D11+(VLOOKUP((D22+O10),'Non-Combat Calculations'!O19:P35,2,FALSE))+D7+1)))="Accused Freed","F",
                  IF(AND(E13="Yes",ISTEXT(VLOOKUP((S4+D9),'Non-Combat Calculations'!J19:K47,2,FALSE))),(VLOOKUP((S4+D9),'Non-Combat Calculations'!J19:K47,2,FALSE)),
                      IF(E13="Yes",((VLOOKUP((D22+O10),'Non-Combat Calculations'!O19:P35,2,FALSE))+D7+(VLOOKUP((S4+D9),'Non-Combat Calculations'!J19:K47,2,FALSE))+D11),(D11+(VLOOKUP((D22+O10),'Non-Combat Calculations'!O19:P35,2,FALSE))+D7+1)))))</f>
        <v>-3</v>
      </c>
      <c r="T10" s="155">
        <f>IF(
    (IF(AND(E13="Yes",ISTEXT(VLOOKUP((T4+D9),'Non-Combat Calculations'!J19:K47,2,FALSE))),(VLOOKUP((T4+D9),'Non-Combat Calculations'!J19:K47,2,FALSE)),
          IF(E13="Yes",((VLOOKUP((D22+O10),'Non-Combat Calculations'!O19:P35,2,FALSE))+D7+(VLOOKUP((T4+D9),'Non-Combat Calculations'!J19:K47,2,FALSE))+D11),(D11+(VLOOKUP((D22+O10),'Non-Combat Calculations'!O19:P35,2,FALSE))+D7+1))))="Accused Killed","S",
              IF(
          IF(AND(E13="Yes",ISTEXT(VLOOKUP((T4+D9),'Non-Combat Calculations'!J19:K47,2,FALSE))),(VLOOKUP((T4+D9),'Non-Combat Calculations'!J19:K47,2,FALSE)),
              IF(E13="Yes",((VLOOKUP((D22+O10),'Non-Combat Calculations'!O19:P35,2,FALSE))+D7+(VLOOKUP((T4+D9),'Non-Combat Calculations'!J19:K47,2,FALSE))+D11),(D11+(VLOOKUP((D22+O10),'Non-Combat Calculations'!O19:P35,2,FALSE))+D7+1)))="Accused Freed","F",
                  IF(AND(E13="Yes",ISTEXT(VLOOKUP((T4+D9),'Non-Combat Calculations'!J19:K47,2,FALSE))),(VLOOKUP((T4+D9),'Non-Combat Calculations'!J19:K47,2,FALSE)),
                      IF(E13="Yes",((VLOOKUP((D22+O10),'Non-Combat Calculations'!O19:P35,2,FALSE))+D7+(VLOOKUP((T4+D9),'Non-Combat Calculations'!J19:K47,2,FALSE))+D11),(D11+(VLOOKUP((D22+O10),'Non-Combat Calculations'!O19:P35,2,FALSE))+D7+1)))))</f>
        <v>1</v>
      </c>
      <c r="U10" s="155">
        <f>IF(
    (IF(AND(E13="Yes",ISTEXT(VLOOKUP((U4+D9),'Non-Combat Calculations'!J19:K47,2,FALSE))),(VLOOKUP((U4+D9),'Non-Combat Calculations'!J19:K47,2,FALSE)),
          IF(E13="Yes",((VLOOKUP((D22+O10),'Non-Combat Calculations'!O19:P35,2,FALSE))+D7+(VLOOKUP((U4+D9),'Non-Combat Calculations'!J19:K47,2,FALSE))+D11),(D11+(VLOOKUP((D22+O10),'Non-Combat Calculations'!O19:P35,2,FALSE))+D7+1))))="Accused Killed","S",
              IF(
          IF(AND(E13="Yes",ISTEXT(VLOOKUP((U4+D9),'Non-Combat Calculations'!J19:K47,2,FALSE))),(VLOOKUP((U4+D9),'Non-Combat Calculations'!J19:K47,2,FALSE)),
              IF(E13="Yes",((VLOOKUP((D22+O10),'Non-Combat Calculations'!O19:P35,2,FALSE))+D7+(VLOOKUP((U4+D9),'Non-Combat Calculations'!J19:K47,2,FALSE))+D11),(D11+(VLOOKUP((D22+O10),'Non-Combat Calculations'!O19:P35,2,FALSE))+D7+1)))="Accused Freed","F",
                  IF(AND(E13="Yes",ISTEXT(VLOOKUP((U4+D9),'Non-Combat Calculations'!J19:K47,2,FALSE))),(VLOOKUP((U4+D9),'Non-Combat Calculations'!J19:K47,2,FALSE)),
                      IF(E13="Yes",((VLOOKUP((D22+O10),'Non-Combat Calculations'!O19:P35,2,FALSE))+D7+(VLOOKUP((U4+D9),'Non-Combat Calculations'!J19:K47,2,FALSE))+D11),(D11+(VLOOKUP((D22+O10),'Non-Combat Calculations'!O19:P35,2,FALSE))+D7+1)))))</f>
        <v>5</v>
      </c>
      <c r="V10" s="155">
        <f>IF(
    (IF(AND(E13="Yes",ISTEXT(VLOOKUP((V4+D9),'Non-Combat Calculations'!J19:K47,2,FALSE))),(VLOOKUP((V4+D9),'Non-Combat Calculations'!J19:K47,2,FALSE)),
          IF(E13="Yes",((VLOOKUP((D22+O10),'Non-Combat Calculations'!O19:P35,2,FALSE))+D7+(VLOOKUP((V4+D9),'Non-Combat Calculations'!J19:K47,2,FALSE))+D11),(D11+(VLOOKUP((D22+O10),'Non-Combat Calculations'!O19:P35,2,FALSE))+D7+1))))="Accused Killed","S",
              IF(
          IF(AND(E13="Yes",ISTEXT(VLOOKUP((V4+D9),'Non-Combat Calculations'!J19:K47,2,FALSE))),(VLOOKUP((V4+D9),'Non-Combat Calculations'!J19:K47,2,FALSE)),
              IF(E13="Yes",((VLOOKUP((D22+O10),'Non-Combat Calculations'!O19:P35,2,FALSE))+D7+(VLOOKUP((V4+D9),'Non-Combat Calculations'!J19:K47,2,FALSE))+D11),(D11+(VLOOKUP((D22+O10),'Non-Combat Calculations'!O19:P35,2,FALSE))+D7+1)))="Accused Freed","F",
                  IF(AND(E13="Yes",ISTEXT(VLOOKUP((V4+D9),'Non-Combat Calculations'!J19:K47,2,FALSE))),(VLOOKUP((V4+D9),'Non-Combat Calculations'!J19:K47,2,FALSE)),
                      IF(E13="Yes",((VLOOKUP((D22+O10),'Non-Combat Calculations'!O19:P35,2,FALSE))+D7+(VLOOKUP((V4+D9),'Non-Combat Calculations'!J19:K47,2,FALSE))+D11),(D11+(VLOOKUP((D22+O10),'Non-Combat Calculations'!O19:P35,2,FALSE))+D7+1)))))</f>
        <v>9</v>
      </c>
      <c r="W10" s="155">
        <f>IF(
    (IF(AND(E13="Yes",ISTEXT(VLOOKUP((W4+D9),'Non-Combat Calculations'!J19:K47,2,FALSE))),(VLOOKUP((W4+D9),'Non-Combat Calculations'!J19:K47,2,FALSE)),
          IF(E13="Yes",((VLOOKUP((D22+O10),'Non-Combat Calculations'!O19:P35,2,FALSE))+D7+(VLOOKUP((W4+D9),'Non-Combat Calculations'!J19:K47,2,FALSE))+D11),(D11+(VLOOKUP((D22+O10),'Non-Combat Calculations'!O19:P35,2,FALSE))+D7+1))))="Accused Killed","S",
              IF(
          IF(AND(E13="Yes",ISTEXT(VLOOKUP((W4+D9),'Non-Combat Calculations'!J19:K47,2,FALSE))),(VLOOKUP((W4+D9),'Non-Combat Calculations'!J19:K47,2,FALSE)),
              IF(E13="Yes",((VLOOKUP((D22+O10),'Non-Combat Calculations'!O19:P35,2,FALSE))+D7+(VLOOKUP((W4+D9),'Non-Combat Calculations'!J19:K47,2,FALSE))+D11),(D11+(VLOOKUP((D22+O10),'Non-Combat Calculations'!O19:P35,2,FALSE))+D7+1)))="Accused Freed","F",
                  IF(AND(E13="Yes",ISTEXT(VLOOKUP((W4+D9),'Non-Combat Calculations'!J19:K47,2,FALSE))),(VLOOKUP((W4+D9),'Non-Combat Calculations'!J19:K47,2,FALSE)),
                      IF(E13="Yes",((VLOOKUP((D22+O10),'Non-Combat Calculations'!O19:P35,2,FALSE))+D7+(VLOOKUP((W4+D9),'Non-Combat Calculations'!J19:K47,2,FALSE))+D11),(D11+(VLOOKUP((D22+O10),'Non-Combat Calculations'!O19:P35,2,FALSE))+D7+1)))))</f>
        <v>13</v>
      </c>
      <c r="X10" s="155">
        <f>IF(
    (IF(AND(E13="Yes",ISTEXT(VLOOKUP((X4+D9),'Non-Combat Calculations'!J19:K47,2,FALSE))),(VLOOKUP((X4+D9),'Non-Combat Calculations'!J19:K47,2,FALSE)),
          IF(E13="Yes",((VLOOKUP((D22+O10),'Non-Combat Calculations'!O19:P35,2,FALSE))+D7+(VLOOKUP((X4+D9),'Non-Combat Calculations'!J19:K47,2,FALSE))+D11),(D11+(VLOOKUP((D22+O10),'Non-Combat Calculations'!O19:P35,2,FALSE))+D7+1))))="Accused Killed","S",
              IF(
          IF(AND(E13="Yes",ISTEXT(VLOOKUP((X4+D9),'Non-Combat Calculations'!J19:K47,2,FALSE))),(VLOOKUP((X4+D9),'Non-Combat Calculations'!J19:K47,2,FALSE)),
              IF(E13="Yes",((VLOOKUP((D22+O10),'Non-Combat Calculations'!O19:P35,2,FALSE))+D7+(VLOOKUP((X4+D9),'Non-Combat Calculations'!J19:K47,2,FALSE))+D11),(D11+(VLOOKUP((D22+O10),'Non-Combat Calculations'!O19:P35,2,FALSE))+D7+1)))="Accused Freed","F",
                  IF(AND(E13="Yes",ISTEXT(VLOOKUP((X4+D9),'Non-Combat Calculations'!J19:K47,2,FALSE))),(VLOOKUP((X4+D9),'Non-Combat Calculations'!J19:K47,2,FALSE)),
                      IF(E13="Yes",((VLOOKUP((D22+O10),'Non-Combat Calculations'!O19:P35,2,FALSE))+D7+(VLOOKUP((X4+D9),'Non-Combat Calculations'!J19:K47,2,FALSE))+D11),(D11+(VLOOKUP((D22+O10),'Non-Combat Calculations'!O19:P35,2,FALSE))+D7+1)))))</f>
        <v>17</v>
      </c>
      <c r="Y10" s="155">
        <f>IF(
    (IF(AND(E13="Yes",ISTEXT(VLOOKUP((Y4+D9),'Non-Combat Calculations'!J19:K47,2,FALSE))),(VLOOKUP((Y4+D9),'Non-Combat Calculations'!J19:K47,2,FALSE)),
          IF(E13="Yes",((VLOOKUP((D22+O10),'Non-Combat Calculations'!O19:P35,2,FALSE))+D7+(VLOOKUP((Y4+D9),'Non-Combat Calculations'!J19:K47,2,FALSE))+D11),(D11+(VLOOKUP((D22+O10),'Non-Combat Calculations'!O19:P35,2,FALSE))+D7+1))))="Accused Killed","S",
              IF(
          IF(AND(E13="Yes",ISTEXT(VLOOKUP((Y4+D9),'Non-Combat Calculations'!J19:K47,2,FALSE))),(VLOOKUP((Y4+D9),'Non-Combat Calculations'!J19:K47,2,FALSE)),
              IF(E13="Yes",((VLOOKUP((D22+O10),'Non-Combat Calculations'!O19:P35,2,FALSE))+D7+(VLOOKUP((Y4+D9),'Non-Combat Calculations'!J19:K47,2,FALSE))+D11),(D11+(VLOOKUP((D22+O10),'Non-Combat Calculations'!O19:P35,2,FALSE))+D7+1)))="Accused Freed","F",
                  IF(AND(E13="Yes",ISTEXT(VLOOKUP((Y4+D9),'Non-Combat Calculations'!J19:K47,2,FALSE))),(VLOOKUP((Y4+D9),'Non-Combat Calculations'!J19:K47,2,FALSE)),
                      IF(E13="Yes",((VLOOKUP((D22+O10),'Non-Combat Calculations'!O19:P35,2,FALSE))+D7+(VLOOKUP((Y4+D9),'Non-Combat Calculations'!J19:K47,2,FALSE))+D11),(D11+(VLOOKUP((D22+O10),'Non-Combat Calculations'!O19:P35,2,FALSE))+D7+1)))))</f>
        <v>21</v>
      </c>
      <c r="Z10" s="155">
        <f>IF(
    (IF(AND(E13="Yes",ISTEXT(VLOOKUP((Z4+D9),'Non-Combat Calculations'!J19:K47,2,FALSE))),(VLOOKUP((Z4+D9),'Non-Combat Calculations'!J19:K47,2,FALSE)),
          IF(E13="Yes",((VLOOKUP((D22+O10),'Non-Combat Calculations'!O19:P35,2,FALSE))+D7+(VLOOKUP((Z4+D9),'Non-Combat Calculations'!J19:K47,2,FALSE))+D11),(D11+(VLOOKUP((D22+O10),'Non-Combat Calculations'!O19:P35,2,FALSE))+D7+1))))="Accused Killed","S",
              IF(
          IF(AND(E13="Yes",ISTEXT(VLOOKUP((Z4+D9),'Non-Combat Calculations'!J19:K47,2,FALSE))),(VLOOKUP((Z4+D9),'Non-Combat Calculations'!J19:K47,2,FALSE)),
              IF(E13="Yes",((VLOOKUP((D22+O10),'Non-Combat Calculations'!O19:P35,2,FALSE))+D7+(VLOOKUP((Z4+D9),'Non-Combat Calculations'!J19:K47,2,FALSE))+D11),(D11+(VLOOKUP((D22+O10),'Non-Combat Calculations'!O19:P35,2,FALSE))+D7+1)))="Accused Freed","F",
                  IF(AND(E13="Yes",ISTEXT(VLOOKUP((Z4+D9),'Non-Combat Calculations'!J19:K47,2,FALSE))),(VLOOKUP((Z4+D9),'Non-Combat Calculations'!J19:K47,2,FALSE)),
                      IF(E13="Yes",((VLOOKUP((D22+O10),'Non-Combat Calculations'!O19:P35,2,FALSE))+D7+(VLOOKUP((Z4+D9),'Non-Combat Calculations'!J19:K47,2,FALSE))+D11),(D11+(VLOOKUP((D22+O10),'Non-Combat Calculations'!O19:P35,2,FALSE))+D7+1)))))</f>
        <v>25</v>
      </c>
      <c r="AA10" s="155">
        <f>IF(
    (IF(AND(E13="Yes",ISTEXT(VLOOKUP((AA4+D9),'Non-Combat Calculations'!J19:K47,2,FALSE))),(VLOOKUP((AA4+D9),'Non-Combat Calculations'!J19:K47,2,FALSE)),
          IF(E13="Yes",((VLOOKUP((D22+O10),'Non-Combat Calculations'!O19:P35,2,FALSE))+D7+(VLOOKUP((AA4+D9),'Non-Combat Calculations'!J19:K47,2,FALSE))+D11),(D11+(VLOOKUP((D22+O10),'Non-Combat Calculations'!O19:P35,2,FALSE))+D7+1))))="Accused Killed","S",
              IF(
          IF(AND(E13="Yes",ISTEXT(VLOOKUP((AA4+D9),'Non-Combat Calculations'!J19:K47,2,FALSE))),(VLOOKUP((AA4+D9),'Non-Combat Calculations'!J19:K47,2,FALSE)),
              IF(E13="Yes",((VLOOKUP((D22+O10),'Non-Combat Calculations'!O19:P35,2,FALSE))+D7+(VLOOKUP((AA4+D9),'Non-Combat Calculations'!J19:K47,2,FALSE))+D11),(D11+(VLOOKUP((D22+O10),'Non-Combat Calculations'!O19:P35,2,FALSE))+D7+1)))="Accused Freed","F",
                  IF(AND(E13="Yes",ISTEXT(VLOOKUP((AA4+D9),'Non-Combat Calculations'!J19:K47,2,FALSE))),(VLOOKUP((AA4+D9),'Non-Combat Calculations'!J19:K47,2,FALSE)),
                      IF(E13="Yes",((VLOOKUP((D22+O10),'Non-Combat Calculations'!O19:P35,2,FALSE))+D7+(VLOOKUP((AA4+D9),'Non-Combat Calculations'!J19:K47,2,FALSE))+D11),(D11+(VLOOKUP((D22+O10),'Non-Combat Calculations'!O19:P35,2,FALSE))+D7+1)))))</f>
        <v>29</v>
      </c>
      <c r="AB10" s="160" t="str">
        <f>IF(
    (IF(AND(E13="Yes",ISTEXT(VLOOKUP((AB4+D9),'Non-Combat Calculations'!J19:K47,2,FALSE))),(VLOOKUP((AB4+D9),'Non-Combat Calculations'!J19:K47,2,FALSE)),
          IF(E13="Yes",((VLOOKUP((D22+O10),'Non-Combat Calculations'!O19:P35,2,FALSE))+D7+(VLOOKUP((AB4+D9),'Non-Combat Calculations'!J19:K47,2,FALSE))+D11),(D11+(VLOOKUP((D22+O10),'Non-Combat Calculations'!O19:P35,2,FALSE))+D7+1))))="Accused Killed","S",
              IF(
          IF(AND(E13="Yes",ISTEXT(VLOOKUP((AB4+D9),'Non-Combat Calculations'!J19:K47,2,FALSE))),(VLOOKUP((AB4+D9),'Non-Combat Calculations'!J19:K47,2,FALSE)),
              IF(E13="Yes",((VLOOKUP((D22+O10),'Non-Combat Calculations'!O19:P35,2,FALSE))+D7+(VLOOKUP((AB4+D9),'Non-Combat Calculations'!J19:K47,2,FALSE))+D11),(D11+(VLOOKUP((D22+O10),'Non-Combat Calculations'!O19:P35,2,FALSE))+D7+1)))="Accused Freed","F",
                  IF(AND(E13="Yes",ISTEXT(VLOOKUP((AB4+D9),'Non-Combat Calculations'!J19:K47,2,FALSE))),(VLOOKUP((AB4+D9),'Non-Combat Calculations'!J19:K47,2,FALSE)),
                      IF(E13="Yes",((VLOOKUP((D22+O10),'Non-Combat Calculations'!O19:P35,2,FALSE))+D7+(VLOOKUP((AB4+D9),'Non-Combat Calculations'!J19:K47,2,FALSE))+D11),(D11+(VLOOKUP((D22+O10),'Non-Combat Calculations'!O19:P35,2,FALSE))+D7+1)))))</f>
        <v>F</v>
      </c>
      <c r="AC10" s="181"/>
    </row>
    <row r="11" spans="1:29" ht="16.5" thickBot="1">
      <c r="A11" s="66" t="s">
        <v>356</v>
      </c>
      <c r="B11" s="67"/>
      <c r="C11" s="68"/>
      <c r="D11" s="59">
        <v>7</v>
      </c>
      <c r="E11" s="141" t="s">
        <v>359</v>
      </c>
      <c r="F11" s="61"/>
      <c r="G11" s="61"/>
      <c r="H11" s="60"/>
      <c r="I11" s="60"/>
      <c r="J11" s="60"/>
      <c r="K11" s="60"/>
      <c r="L11" s="60"/>
      <c r="M11" s="180"/>
      <c r="N11" s="65"/>
      <c r="O11" s="168">
        <v>6</v>
      </c>
      <c r="P11" s="169"/>
      <c r="Q11" s="170"/>
      <c r="R11" s="159" t="str">
        <f>IF(
    (IF(AND(E13="Yes",ISTEXT(VLOOKUP((R4+D9),'Non-Combat Calculations'!J19:K47,2,FALSE))),(VLOOKUP((R4+D9),'Non-Combat Calculations'!J19:K47,2,FALSE)),
          IF(E13="Yes",((VLOOKUP((D22+O11),'Non-Combat Calculations'!O19:P35,2,FALSE))+D7+(VLOOKUP((R4+D9),'Non-Combat Calculations'!J19:K47,2,FALSE))+D11),(D11+(VLOOKUP((D22+O11),'Non-Combat Calculations'!O19:P35,2,FALSE))+D7+1))))="Accused Killed","S",
              IF(
          IF(AND(E13="Yes",ISTEXT(VLOOKUP((R4+D9),'Non-Combat Calculations'!J19:K47,2,FALSE))),(VLOOKUP((R4+D9),'Non-Combat Calculations'!J19:K47,2,FALSE)),
              IF(E13="Yes",((VLOOKUP((D22+O11),'Non-Combat Calculations'!O19:P35,2,FALSE))+D7+(VLOOKUP((R4+D9),'Non-Combat Calculations'!J19:K47,2,FALSE))+D11),(D11+(VLOOKUP((D22+O11),'Non-Combat Calculations'!O19:P35,2,FALSE))+D7+1)))="Accused Freed","F",
                  IF(AND(E13="Yes",ISTEXT(VLOOKUP((R4+D9),'Non-Combat Calculations'!J19:K47,2,FALSE))),(VLOOKUP((R4+D9),'Non-Combat Calculations'!J19:K47,2,FALSE)),
                      IF(E13="Yes",((VLOOKUP((D22+O11),'Non-Combat Calculations'!O19:P35,2,FALSE))+D7+(VLOOKUP((R4+D9),'Non-Combat Calculations'!J19:K47,2,FALSE))+D11),(D11+(VLOOKUP((D22+O11),'Non-Combat Calculations'!O19:P35,2,FALSE))+D7+1)))))</f>
        <v>S</v>
      </c>
      <c r="S11" s="155">
        <f>IF(
    (IF(AND(E13="Yes",ISTEXT(VLOOKUP((S4+D9),'Non-Combat Calculations'!J19:K47,2,FALSE))),(VLOOKUP((S4+D9),'Non-Combat Calculations'!J19:K47,2,FALSE)),
          IF(E13="Yes",((VLOOKUP((D22+O11),'Non-Combat Calculations'!O19:P35,2,FALSE))+D7+(VLOOKUP((S4+D9),'Non-Combat Calculations'!J19:K47,2,FALSE))+D11),(D11+(VLOOKUP((D22+O11),'Non-Combat Calculations'!O19:P35,2,FALSE))+D7+1))))="Accused Killed","S",
              IF(
          IF(AND(E13="Yes",ISTEXT(VLOOKUP((S4+D9),'Non-Combat Calculations'!J19:K47,2,FALSE))),(VLOOKUP((S4+D9),'Non-Combat Calculations'!J19:K47,2,FALSE)),
              IF(E13="Yes",((VLOOKUP((D22+O11),'Non-Combat Calculations'!O19:P35,2,FALSE))+D7+(VLOOKUP((S4+D9),'Non-Combat Calculations'!J19:K47,2,FALSE))+D11),(D11+(VLOOKUP((D22+O11),'Non-Combat Calculations'!O19:P35,2,FALSE))+D7+1)))="Accused Freed","F",
                  IF(AND(E13="Yes",ISTEXT(VLOOKUP((S4+D9),'Non-Combat Calculations'!J19:K47,2,FALSE))),(VLOOKUP((S4+D9),'Non-Combat Calculations'!J19:K47,2,FALSE)),
                      IF(E13="Yes",((VLOOKUP((D22+O11),'Non-Combat Calculations'!O19:P35,2,FALSE))+D7+(VLOOKUP((S4+D9),'Non-Combat Calculations'!J19:K47,2,FALSE))+D11),(D11+(VLOOKUP((D22+O11),'Non-Combat Calculations'!O19:P35,2,FALSE))+D7+1)))))</f>
        <v>1</v>
      </c>
      <c r="T11" s="155">
        <f>IF(
    (IF(AND(E13="Yes",ISTEXT(VLOOKUP((T4+D9),'Non-Combat Calculations'!J19:K47,2,FALSE))),(VLOOKUP((T4+D9),'Non-Combat Calculations'!J19:K47,2,FALSE)),
          IF(E13="Yes",((VLOOKUP((D22+O11),'Non-Combat Calculations'!O19:P35,2,FALSE))+D7+(VLOOKUP((T4+D9),'Non-Combat Calculations'!J19:K47,2,FALSE))+D11),(D11+(VLOOKUP((D22+O11),'Non-Combat Calculations'!O19:P35,2,FALSE))+D7+1))))="Accused Killed","S",
              IF(
          IF(AND(E13="Yes",ISTEXT(VLOOKUP((T4+D9),'Non-Combat Calculations'!J19:K47,2,FALSE))),(VLOOKUP((T4+D9),'Non-Combat Calculations'!J19:K47,2,FALSE)),
              IF(E13="Yes",((VLOOKUP((D22+O11),'Non-Combat Calculations'!O19:P35,2,FALSE))+D7+(VLOOKUP((T4+D9),'Non-Combat Calculations'!J19:K47,2,FALSE))+D11),(D11+(VLOOKUP((D22+O11),'Non-Combat Calculations'!O19:P35,2,FALSE))+D7+1)))="Accused Freed","F",
                  IF(AND(E13="Yes",ISTEXT(VLOOKUP((T4+D9),'Non-Combat Calculations'!J19:K47,2,FALSE))),(VLOOKUP((T4+D9),'Non-Combat Calculations'!J19:K47,2,FALSE)),
                      IF(E13="Yes",((VLOOKUP((D22+O11),'Non-Combat Calculations'!O19:P35,2,FALSE))+D7+(VLOOKUP((T4+D9),'Non-Combat Calculations'!J19:K47,2,FALSE))+D11),(D11+(VLOOKUP((D22+O11),'Non-Combat Calculations'!O19:P35,2,FALSE))+D7+1)))))</f>
        <v>5</v>
      </c>
      <c r="U11" s="155">
        <f>IF(
    (IF(AND(E13="Yes",ISTEXT(VLOOKUP((U4+D9),'Non-Combat Calculations'!J19:K47,2,FALSE))),(VLOOKUP((U4+D9),'Non-Combat Calculations'!J19:K47,2,FALSE)),
          IF(E13="Yes",((VLOOKUP((D22+O11),'Non-Combat Calculations'!O19:P35,2,FALSE))+D7+(VLOOKUP((U4+D9),'Non-Combat Calculations'!J19:K47,2,FALSE))+D11),(D11+(VLOOKUP((D22+O11),'Non-Combat Calculations'!O19:P35,2,FALSE))+D7+1))))="Accused Killed","S",
              IF(
          IF(AND(E13="Yes",ISTEXT(VLOOKUP((U4+D9),'Non-Combat Calculations'!J19:K47,2,FALSE))),(VLOOKUP((U4+D9),'Non-Combat Calculations'!J19:K47,2,FALSE)),
              IF(E13="Yes",((VLOOKUP((D22+O11),'Non-Combat Calculations'!O19:P35,2,FALSE))+D7+(VLOOKUP((U4+D9),'Non-Combat Calculations'!J19:K47,2,FALSE))+D11),(D11+(VLOOKUP((D22+O11),'Non-Combat Calculations'!O19:P35,2,FALSE))+D7+1)))="Accused Freed","F",
                  IF(AND(E13="Yes",ISTEXT(VLOOKUP((U4+D9),'Non-Combat Calculations'!J19:K47,2,FALSE))),(VLOOKUP((U4+D9),'Non-Combat Calculations'!J19:K47,2,FALSE)),
                      IF(E13="Yes",((VLOOKUP((D22+O11),'Non-Combat Calculations'!O19:P35,2,FALSE))+D7+(VLOOKUP((U4+D9),'Non-Combat Calculations'!J19:K47,2,FALSE))+D11),(D11+(VLOOKUP((D22+O11),'Non-Combat Calculations'!O19:P35,2,FALSE))+D7+1)))))</f>
        <v>9</v>
      </c>
      <c r="V11" s="155">
        <f>IF(
    (IF(AND(E13="Yes",ISTEXT(VLOOKUP((V4+D9),'Non-Combat Calculations'!J19:K47,2,FALSE))),(VLOOKUP((V4+D9),'Non-Combat Calculations'!J19:K47,2,FALSE)),
          IF(E13="Yes",((VLOOKUP((D22+O11),'Non-Combat Calculations'!O19:P35,2,FALSE))+D7+(VLOOKUP((V4+D9),'Non-Combat Calculations'!J19:K47,2,FALSE))+D11),(D11+(VLOOKUP((D22+O11),'Non-Combat Calculations'!O19:P35,2,FALSE))+D7+1))))="Accused Killed","S",
              IF(
          IF(AND(E13="Yes",ISTEXT(VLOOKUP((V4+D9),'Non-Combat Calculations'!J19:K47,2,FALSE))),(VLOOKUP((V4+D9),'Non-Combat Calculations'!J19:K47,2,FALSE)),
              IF(E13="Yes",((VLOOKUP((D22+O11),'Non-Combat Calculations'!O19:P35,2,FALSE))+D7+(VLOOKUP((V4+D9),'Non-Combat Calculations'!J19:K47,2,FALSE))+D11),(D11+(VLOOKUP((D22+O11),'Non-Combat Calculations'!O19:P35,2,FALSE))+D7+1)))="Accused Freed","F",
                  IF(AND(E13="Yes",ISTEXT(VLOOKUP((V4+D9),'Non-Combat Calculations'!J19:K47,2,FALSE))),(VLOOKUP((V4+D9),'Non-Combat Calculations'!J19:K47,2,FALSE)),
                      IF(E13="Yes",((VLOOKUP((D22+O11),'Non-Combat Calculations'!O19:P35,2,FALSE))+D7+(VLOOKUP((V4+D9),'Non-Combat Calculations'!J19:K47,2,FALSE))+D11),(D11+(VLOOKUP((D22+O11),'Non-Combat Calculations'!O19:P35,2,FALSE))+D7+1)))))</f>
        <v>13</v>
      </c>
      <c r="W11" s="155">
        <f>IF(
    (IF(AND(E13="Yes",ISTEXT(VLOOKUP((W4+D9),'Non-Combat Calculations'!J19:K47,2,FALSE))),(VLOOKUP((W4+D9),'Non-Combat Calculations'!J19:K47,2,FALSE)),
          IF(E13="Yes",((VLOOKUP((D22+O11),'Non-Combat Calculations'!O19:P35,2,FALSE))+D7+(VLOOKUP((W4+D9),'Non-Combat Calculations'!J19:K47,2,FALSE))+D11),(D11+(VLOOKUP((D22+O11),'Non-Combat Calculations'!O19:P35,2,FALSE))+D7+1))))="Accused Killed","S",
              IF(
          IF(AND(E13="Yes",ISTEXT(VLOOKUP((W4+D9),'Non-Combat Calculations'!J19:K47,2,FALSE))),(VLOOKUP((W4+D9),'Non-Combat Calculations'!J19:K47,2,FALSE)),
              IF(E13="Yes",((VLOOKUP((D22+O11),'Non-Combat Calculations'!O19:P35,2,FALSE))+D7+(VLOOKUP((W4+D9),'Non-Combat Calculations'!J19:K47,2,FALSE))+D11),(D11+(VLOOKUP((D22+O11),'Non-Combat Calculations'!O19:P35,2,FALSE))+D7+1)))="Accused Freed","F",
                  IF(AND(E13="Yes",ISTEXT(VLOOKUP((W4+D9),'Non-Combat Calculations'!J19:K47,2,FALSE))),(VLOOKUP((W4+D9),'Non-Combat Calculations'!J19:K47,2,FALSE)),
                      IF(E13="Yes",((VLOOKUP((D22+O11),'Non-Combat Calculations'!O19:P35,2,FALSE))+D7+(VLOOKUP((W4+D9),'Non-Combat Calculations'!J19:K47,2,FALSE))+D11),(D11+(VLOOKUP((D22+O11),'Non-Combat Calculations'!O19:P35,2,FALSE))+D7+1)))))</f>
        <v>17</v>
      </c>
      <c r="X11" s="155">
        <f>IF(
    (IF(AND(E13="Yes",ISTEXT(VLOOKUP((X4+D9),'Non-Combat Calculations'!J19:K47,2,FALSE))),(VLOOKUP((X4+D9),'Non-Combat Calculations'!J19:K47,2,FALSE)),
          IF(E13="Yes",((VLOOKUP((D22+O11),'Non-Combat Calculations'!O19:P35,2,FALSE))+D7+(VLOOKUP((X4+D9),'Non-Combat Calculations'!J19:K47,2,FALSE))+D11),(D11+(VLOOKUP((D22+O11),'Non-Combat Calculations'!O19:P35,2,FALSE))+D7+1))))="Accused Killed","S",
              IF(
          IF(AND(E13="Yes",ISTEXT(VLOOKUP((X4+D9),'Non-Combat Calculations'!J19:K47,2,FALSE))),(VLOOKUP((X4+D9),'Non-Combat Calculations'!J19:K47,2,FALSE)),
              IF(E13="Yes",((VLOOKUP((D22+O11),'Non-Combat Calculations'!O19:P35,2,FALSE))+D7+(VLOOKUP((X4+D9),'Non-Combat Calculations'!J19:K47,2,FALSE))+D11),(D11+(VLOOKUP((D22+O11),'Non-Combat Calculations'!O19:P35,2,FALSE))+D7+1)))="Accused Freed","F",
                  IF(AND(E13="Yes",ISTEXT(VLOOKUP((X4+D9),'Non-Combat Calculations'!J19:K47,2,FALSE))),(VLOOKUP((X4+D9),'Non-Combat Calculations'!J19:K47,2,FALSE)),
                      IF(E13="Yes",((VLOOKUP((D22+O11),'Non-Combat Calculations'!O19:P35,2,FALSE))+D7+(VLOOKUP((X4+D9),'Non-Combat Calculations'!J19:K47,2,FALSE))+D11),(D11+(VLOOKUP((D22+O11),'Non-Combat Calculations'!O19:P35,2,FALSE))+D7+1)))))</f>
        <v>21</v>
      </c>
      <c r="Y11" s="155">
        <f>IF(
    (IF(AND(E13="Yes",ISTEXT(VLOOKUP((Y4+D9),'Non-Combat Calculations'!J19:K47,2,FALSE))),(VLOOKUP((Y4+D9),'Non-Combat Calculations'!J19:K47,2,FALSE)),
          IF(E13="Yes",((VLOOKUP((D22+O11),'Non-Combat Calculations'!O19:P35,2,FALSE))+D7+(VLOOKUP((Y4+D9),'Non-Combat Calculations'!J19:K47,2,FALSE))+D11),(D11+(VLOOKUP((D22+O11),'Non-Combat Calculations'!O19:P35,2,FALSE))+D7+1))))="Accused Killed","S",
              IF(
          IF(AND(E13="Yes",ISTEXT(VLOOKUP((Y4+D9),'Non-Combat Calculations'!J19:K47,2,FALSE))),(VLOOKUP((Y4+D9),'Non-Combat Calculations'!J19:K47,2,FALSE)),
              IF(E13="Yes",((VLOOKUP((D22+O11),'Non-Combat Calculations'!O19:P35,2,FALSE))+D7+(VLOOKUP((Y4+D9),'Non-Combat Calculations'!J19:K47,2,FALSE))+D11),(D11+(VLOOKUP((D22+O11),'Non-Combat Calculations'!O19:P35,2,FALSE))+D7+1)))="Accused Freed","F",
                  IF(AND(E13="Yes",ISTEXT(VLOOKUP((Y4+D9),'Non-Combat Calculations'!J19:K47,2,FALSE))),(VLOOKUP((Y4+D9),'Non-Combat Calculations'!J19:K47,2,FALSE)),
                      IF(E13="Yes",((VLOOKUP((D22+O11),'Non-Combat Calculations'!O19:P35,2,FALSE))+D7+(VLOOKUP((Y4+D9),'Non-Combat Calculations'!J19:K47,2,FALSE))+D11),(D11+(VLOOKUP((D22+O11),'Non-Combat Calculations'!O19:P35,2,FALSE))+D7+1)))))</f>
        <v>25</v>
      </c>
      <c r="Z11" s="155">
        <f>IF(
    (IF(AND(E13="Yes",ISTEXT(VLOOKUP((Z4+D9),'Non-Combat Calculations'!J19:K47,2,FALSE))),(VLOOKUP((Z4+D9),'Non-Combat Calculations'!J19:K47,2,FALSE)),
          IF(E13="Yes",((VLOOKUP((D22+O11),'Non-Combat Calculations'!O19:P35,2,FALSE))+D7+(VLOOKUP((Z4+D9),'Non-Combat Calculations'!J19:K47,2,FALSE))+D11),(D11+(VLOOKUP((D22+O11),'Non-Combat Calculations'!O19:P35,2,FALSE))+D7+1))))="Accused Killed","S",
              IF(
          IF(AND(E13="Yes",ISTEXT(VLOOKUP((Z4+D9),'Non-Combat Calculations'!J19:K47,2,FALSE))),(VLOOKUP((Z4+D9),'Non-Combat Calculations'!J19:K47,2,FALSE)),
              IF(E13="Yes",((VLOOKUP((D22+O11),'Non-Combat Calculations'!O19:P35,2,FALSE))+D7+(VLOOKUP((Z4+D9),'Non-Combat Calculations'!J19:K47,2,FALSE))+D11),(D11+(VLOOKUP((D22+O11),'Non-Combat Calculations'!O19:P35,2,FALSE))+D7+1)))="Accused Freed","F",
                  IF(AND(E13="Yes",ISTEXT(VLOOKUP((Z4+D9),'Non-Combat Calculations'!J19:K47,2,FALSE))),(VLOOKUP((Z4+D9),'Non-Combat Calculations'!J19:K47,2,FALSE)),
                      IF(E13="Yes",((VLOOKUP((D22+O11),'Non-Combat Calculations'!O19:P35,2,FALSE))+D7+(VLOOKUP((Z4+D9),'Non-Combat Calculations'!J19:K47,2,FALSE))+D11),(D11+(VLOOKUP((D22+O11),'Non-Combat Calculations'!O19:P35,2,FALSE))+D7+1)))))</f>
        <v>29</v>
      </c>
      <c r="AA11" s="155">
        <f>IF(
    (IF(AND(E13="Yes",ISTEXT(VLOOKUP((AA4+D9),'Non-Combat Calculations'!J19:K47,2,FALSE))),(VLOOKUP((AA4+D9),'Non-Combat Calculations'!J19:K47,2,FALSE)),
          IF(E13="Yes",((VLOOKUP((D22+O11),'Non-Combat Calculations'!O19:P35,2,FALSE))+D7+(VLOOKUP((AA4+D9),'Non-Combat Calculations'!J19:K47,2,FALSE))+D11),(D11+(VLOOKUP((D22+O11),'Non-Combat Calculations'!O19:P35,2,FALSE))+D7+1))))="Accused Killed","S",
              IF(
          IF(AND(E13="Yes",ISTEXT(VLOOKUP((AA4+D9),'Non-Combat Calculations'!J19:K47,2,FALSE))),(VLOOKUP((AA4+D9),'Non-Combat Calculations'!J19:K47,2,FALSE)),
              IF(E13="Yes",((VLOOKUP((D22+O11),'Non-Combat Calculations'!O19:P35,2,FALSE))+D7+(VLOOKUP((AA4+D9),'Non-Combat Calculations'!J19:K47,2,FALSE))+D11),(D11+(VLOOKUP((D22+O11),'Non-Combat Calculations'!O19:P35,2,FALSE))+D7+1)))="Accused Freed","F",
                  IF(AND(E13="Yes",ISTEXT(VLOOKUP((AA4+D9),'Non-Combat Calculations'!J19:K47,2,FALSE))),(VLOOKUP((AA4+D9),'Non-Combat Calculations'!J19:K47,2,FALSE)),
                      IF(E13="Yes",((VLOOKUP((D22+O11),'Non-Combat Calculations'!O19:P35,2,FALSE))+D7+(VLOOKUP((AA4+D9),'Non-Combat Calculations'!J19:K47,2,FALSE))+D11),(D11+(VLOOKUP((D22+O11),'Non-Combat Calculations'!O19:P35,2,FALSE))+D7+1)))))</f>
        <v>33</v>
      </c>
      <c r="AB11" s="160" t="str">
        <f>IF(
    (IF(AND(E13="Yes",ISTEXT(VLOOKUP((AB4+D9),'Non-Combat Calculations'!J19:K47,2,FALSE))),(VLOOKUP((AB4+D9),'Non-Combat Calculations'!J19:K47,2,FALSE)),
          IF(E13="Yes",((VLOOKUP((D22+O11),'Non-Combat Calculations'!O19:P35,2,FALSE))+D7+(VLOOKUP((AB4+D9),'Non-Combat Calculations'!J19:K47,2,FALSE))+D11),(D11+(VLOOKUP((D22+O11),'Non-Combat Calculations'!O19:P35,2,FALSE))+D7+1))))="Accused Killed","S",
              IF(
          IF(AND(E13="Yes",ISTEXT(VLOOKUP((AB4+D9),'Non-Combat Calculations'!J19:K47,2,FALSE))),(VLOOKUP((AB4+D9),'Non-Combat Calculations'!J19:K47,2,FALSE)),
              IF(E13="Yes",((VLOOKUP((D22+O11),'Non-Combat Calculations'!O19:P35,2,FALSE))+D7+(VLOOKUP((AB4+D9),'Non-Combat Calculations'!J19:K47,2,FALSE))+D11),(D11+(VLOOKUP((D22+O11),'Non-Combat Calculations'!O19:P35,2,FALSE))+D7+1)))="Accused Freed","F",
                  IF(AND(E13="Yes",ISTEXT(VLOOKUP((AB4+D9),'Non-Combat Calculations'!J19:K47,2,FALSE))),(VLOOKUP((AB4+D9),'Non-Combat Calculations'!J19:K47,2,FALSE)),
                      IF(E13="Yes",((VLOOKUP((D22+O11),'Non-Combat Calculations'!O19:P35,2,FALSE))+D7+(VLOOKUP((AB4+D9),'Non-Combat Calculations'!J19:K47,2,FALSE))+D11),(D11+(VLOOKUP((D22+O11),'Non-Combat Calculations'!O19:P35,2,FALSE))+D7+1)))))</f>
        <v>F</v>
      </c>
      <c r="AC11" s="181"/>
    </row>
    <row r="12" spans="1:29" ht="15.75" thickBot="1">
      <c r="A12" s="60"/>
      <c r="B12" s="60"/>
      <c r="C12" s="60"/>
      <c r="D12" s="60"/>
      <c r="E12" s="61"/>
      <c r="F12" s="61"/>
      <c r="G12" s="61"/>
      <c r="H12" s="60"/>
      <c r="I12" s="60"/>
      <c r="J12" s="60"/>
      <c r="K12" s="60"/>
      <c r="L12" s="60"/>
      <c r="M12" s="180"/>
      <c r="N12" s="65"/>
      <c r="O12" s="168">
        <v>7</v>
      </c>
      <c r="P12" s="169"/>
      <c r="Q12" s="170"/>
      <c r="R12" s="159" t="str">
        <f>IF(
    (IF(AND(E13="Yes",ISTEXT(VLOOKUP((R4+D9),'Non-Combat Calculations'!J19:K47,2,FALSE))),(VLOOKUP((R4+D9),'Non-Combat Calculations'!J19:K47,2,FALSE)),
          IF(E13="Yes",((VLOOKUP((D22+O12),'Non-Combat Calculations'!O19:P35,2,FALSE))+D7+(VLOOKUP((R4+D9),'Non-Combat Calculations'!J19:K47,2,FALSE))+D11),(D11+(VLOOKUP((D22+O12),'Non-Combat Calculations'!O19:P35,2,FALSE))+D7+1))))="Accused Killed","S",
              IF(
          IF(AND(E13="Yes",ISTEXT(VLOOKUP((R4+D9),'Non-Combat Calculations'!J19:K47,2,FALSE))),(VLOOKUP((R4+D9),'Non-Combat Calculations'!J19:K47,2,FALSE)),
              IF(E13="Yes",((VLOOKUP((D22+O12),'Non-Combat Calculations'!O19:P35,2,FALSE))+D7+(VLOOKUP((R4+D9),'Non-Combat Calculations'!J19:K47,2,FALSE))+D11),(D11+(VLOOKUP((D22+O12),'Non-Combat Calculations'!O19:P35,2,FALSE))+D7+1)))="Accused Freed","F",
                  IF(AND(E13="Yes",ISTEXT(VLOOKUP((R4+D9),'Non-Combat Calculations'!J19:K47,2,FALSE))),(VLOOKUP((R4+D9),'Non-Combat Calculations'!J19:K47,2,FALSE)),
                      IF(E13="Yes",((VLOOKUP((D22+O12),'Non-Combat Calculations'!O19:P35,2,FALSE))+D7+(VLOOKUP((R4+D9),'Non-Combat Calculations'!J19:K47,2,FALSE))+D11),(D11+(VLOOKUP((D22+O12),'Non-Combat Calculations'!O19:P35,2,FALSE))+D7+1)))))</f>
        <v>S</v>
      </c>
      <c r="S12" s="155">
        <f>IF(
    (IF(AND(E13="Yes",ISTEXT(VLOOKUP((S4+D9),'Non-Combat Calculations'!J19:K47,2,FALSE))),(VLOOKUP((S4+D9),'Non-Combat Calculations'!J19:K47,2,FALSE)),
          IF(E13="Yes",((VLOOKUP((D22+O12),'Non-Combat Calculations'!O19:P35,2,FALSE))+D7+(VLOOKUP((S4+D9),'Non-Combat Calculations'!J19:K47,2,FALSE))+D11),(D11+(VLOOKUP((D22+O12),'Non-Combat Calculations'!O19:P35,2,FALSE))+D7+1))))="Accused Killed","S",
              IF(
          IF(AND(E13="Yes",ISTEXT(VLOOKUP((S4+D9),'Non-Combat Calculations'!J19:K47,2,FALSE))),(VLOOKUP((S4+D9),'Non-Combat Calculations'!J19:K47,2,FALSE)),
              IF(E13="Yes",((VLOOKUP((D22+O12),'Non-Combat Calculations'!O19:P35,2,FALSE))+D7+(VLOOKUP((S4+D9),'Non-Combat Calculations'!J19:K47,2,FALSE))+D11),(D11+(VLOOKUP((D22+O12),'Non-Combat Calculations'!O19:P35,2,FALSE))+D7+1)))="Accused Freed","F",
                  IF(AND(E13="Yes",ISTEXT(VLOOKUP((S4+D9),'Non-Combat Calculations'!J19:K47,2,FALSE))),(VLOOKUP((S4+D9),'Non-Combat Calculations'!J19:K47,2,FALSE)),
                      IF(E13="Yes",((VLOOKUP((D22+O12),'Non-Combat Calculations'!O19:P35,2,FALSE))+D7+(VLOOKUP((S4+D9),'Non-Combat Calculations'!J19:K47,2,FALSE))+D11),(D11+(VLOOKUP((D22+O12),'Non-Combat Calculations'!O19:P35,2,FALSE))+D7+1)))))</f>
        <v>5</v>
      </c>
      <c r="T12" s="155">
        <f>IF(
    (IF(AND(E13="Yes",ISTEXT(VLOOKUP((T4+D9),'Non-Combat Calculations'!J19:K47,2,FALSE))),(VLOOKUP((T4+D9),'Non-Combat Calculations'!J19:K47,2,FALSE)),
          IF(E13="Yes",((VLOOKUP((D22+O12),'Non-Combat Calculations'!O19:P35,2,FALSE))+D7+(VLOOKUP((T4+D9),'Non-Combat Calculations'!J19:K47,2,FALSE))+D11),(D11+(VLOOKUP((D22+O12),'Non-Combat Calculations'!O19:P35,2,FALSE))+D7+1))))="Accused Killed","S",
              IF(
          IF(AND(E13="Yes",ISTEXT(VLOOKUP((T4+D9),'Non-Combat Calculations'!J19:K47,2,FALSE))),(VLOOKUP((T4+D9),'Non-Combat Calculations'!J19:K47,2,FALSE)),
              IF(E13="Yes",((VLOOKUP((D22+O12),'Non-Combat Calculations'!O19:P35,2,FALSE))+D7+(VLOOKUP((T4+D9),'Non-Combat Calculations'!J19:K47,2,FALSE))+D11),(D11+(VLOOKUP((D22+O12),'Non-Combat Calculations'!O19:P35,2,FALSE))+D7+1)))="Accused Freed","F",
                  IF(AND(E13="Yes",ISTEXT(VLOOKUP((T4+D9),'Non-Combat Calculations'!J19:K47,2,FALSE))),(VLOOKUP((T4+D9),'Non-Combat Calculations'!J19:K47,2,FALSE)),
                      IF(E13="Yes",((VLOOKUP((D22+O12),'Non-Combat Calculations'!O19:P35,2,FALSE))+D7+(VLOOKUP((T4+D9),'Non-Combat Calculations'!J19:K47,2,FALSE))+D11),(D11+(VLOOKUP((D22+O12),'Non-Combat Calculations'!O19:P35,2,FALSE))+D7+1)))))</f>
        <v>9</v>
      </c>
      <c r="U12" s="155">
        <f>IF(
    (IF(AND(E13="Yes",ISTEXT(VLOOKUP((U4+D9),'Non-Combat Calculations'!J19:K47,2,FALSE))),(VLOOKUP((U4+D9),'Non-Combat Calculations'!J19:K47,2,FALSE)),
          IF(E13="Yes",((VLOOKUP((D22+O12),'Non-Combat Calculations'!O19:P35,2,FALSE))+D7+(VLOOKUP((U4+D9),'Non-Combat Calculations'!J19:K47,2,FALSE))+D11),(D11+(VLOOKUP((D22+O12),'Non-Combat Calculations'!O19:P35,2,FALSE))+D7+1))))="Accused Killed","S",
              IF(
          IF(AND(E13="Yes",ISTEXT(VLOOKUP((U4+D9),'Non-Combat Calculations'!J19:K47,2,FALSE))),(VLOOKUP((U4+D9),'Non-Combat Calculations'!J19:K47,2,FALSE)),
              IF(E13="Yes",((VLOOKUP((D22+O12),'Non-Combat Calculations'!O19:P35,2,FALSE))+D7+(VLOOKUP((U4+D9),'Non-Combat Calculations'!J19:K47,2,FALSE))+D11),(D11+(VLOOKUP((D22+O12),'Non-Combat Calculations'!O19:P35,2,FALSE))+D7+1)))="Accused Freed","F",
                  IF(AND(E13="Yes",ISTEXT(VLOOKUP((U4+D9),'Non-Combat Calculations'!J19:K47,2,FALSE))),(VLOOKUP((U4+D9),'Non-Combat Calculations'!J19:K47,2,FALSE)),
                      IF(E13="Yes",((VLOOKUP((D22+O12),'Non-Combat Calculations'!O19:P35,2,FALSE))+D7+(VLOOKUP((U4+D9),'Non-Combat Calculations'!J19:K47,2,FALSE))+D11),(D11+(VLOOKUP((D22+O12),'Non-Combat Calculations'!O19:P35,2,FALSE))+D7+1)))))</f>
        <v>13</v>
      </c>
      <c r="V12" s="155">
        <f>IF(
    (IF(AND(E13="Yes",ISTEXT(VLOOKUP((V4+D9),'Non-Combat Calculations'!J19:K47,2,FALSE))),(VLOOKUP((V4+D9),'Non-Combat Calculations'!J19:K47,2,FALSE)),
          IF(E13="Yes",((VLOOKUP((D22+O12),'Non-Combat Calculations'!O19:P35,2,FALSE))+D7+(VLOOKUP((V4+D9),'Non-Combat Calculations'!J19:K47,2,FALSE))+D11),(D11+(VLOOKUP((D22+O12),'Non-Combat Calculations'!O19:P35,2,FALSE))+D7+1))))="Accused Killed","S",
              IF(
          IF(AND(E13="Yes",ISTEXT(VLOOKUP((V4+D9),'Non-Combat Calculations'!J19:K47,2,FALSE))),(VLOOKUP((V4+D9),'Non-Combat Calculations'!J19:K47,2,FALSE)),
              IF(E13="Yes",((VLOOKUP((D22+O12),'Non-Combat Calculations'!O19:P35,2,FALSE))+D7+(VLOOKUP((V4+D9),'Non-Combat Calculations'!J19:K47,2,FALSE))+D11),(D11+(VLOOKUP((D22+O12),'Non-Combat Calculations'!O19:P35,2,FALSE))+D7+1)))="Accused Freed","F",
                  IF(AND(E13="Yes",ISTEXT(VLOOKUP((V4+D9),'Non-Combat Calculations'!J19:K47,2,FALSE))),(VLOOKUP((V4+D9),'Non-Combat Calculations'!J19:K47,2,FALSE)),
                      IF(E13="Yes",((VLOOKUP((D22+O12),'Non-Combat Calculations'!O19:P35,2,FALSE))+D7+(VLOOKUP((V4+D9),'Non-Combat Calculations'!J19:K47,2,FALSE))+D11),(D11+(VLOOKUP((D22+O12),'Non-Combat Calculations'!O19:P35,2,FALSE))+D7+1)))))</f>
        <v>17</v>
      </c>
      <c r="W12" s="155">
        <f>IF(
    (IF(AND(E13="Yes",ISTEXT(VLOOKUP((W4+D9),'Non-Combat Calculations'!J19:K47,2,FALSE))),(VLOOKUP((W4+D9),'Non-Combat Calculations'!J19:K47,2,FALSE)),
          IF(E13="Yes",((VLOOKUP((D22+O12),'Non-Combat Calculations'!O19:P35,2,FALSE))+D7+(VLOOKUP((W4+D9),'Non-Combat Calculations'!J19:K47,2,FALSE))+D11),(D11+(VLOOKUP((D22+O12),'Non-Combat Calculations'!O19:P35,2,FALSE))+D7+1))))="Accused Killed","S",
              IF(
          IF(AND(E13="Yes",ISTEXT(VLOOKUP((W4+D9),'Non-Combat Calculations'!J19:K47,2,FALSE))),(VLOOKUP((W4+D9),'Non-Combat Calculations'!J19:K47,2,FALSE)),
              IF(E13="Yes",((VLOOKUP((D22+O12),'Non-Combat Calculations'!O19:P35,2,FALSE))+D7+(VLOOKUP((W4+D9),'Non-Combat Calculations'!J19:K47,2,FALSE))+D11),(D11+(VLOOKUP((D22+O12),'Non-Combat Calculations'!O19:P35,2,FALSE))+D7+1)))="Accused Freed","F",
                  IF(AND(E13="Yes",ISTEXT(VLOOKUP((W4+D9),'Non-Combat Calculations'!J19:K47,2,FALSE))),(VLOOKUP((W4+D9),'Non-Combat Calculations'!J19:K47,2,FALSE)),
                      IF(E13="Yes",((VLOOKUP((D22+O12),'Non-Combat Calculations'!O19:P35,2,FALSE))+D7+(VLOOKUP((W4+D9),'Non-Combat Calculations'!J19:K47,2,FALSE))+D11),(D11+(VLOOKUP((D22+O12),'Non-Combat Calculations'!O19:P35,2,FALSE))+D7+1)))))</f>
        <v>21</v>
      </c>
      <c r="X12" s="155">
        <f>IF(
    (IF(AND(E13="Yes",ISTEXT(VLOOKUP((X4+D9),'Non-Combat Calculations'!J19:K47,2,FALSE))),(VLOOKUP((X4+D9),'Non-Combat Calculations'!J19:K47,2,FALSE)),
          IF(E13="Yes",((VLOOKUP((D22+O12),'Non-Combat Calculations'!O19:P35,2,FALSE))+D7+(VLOOKUP((X4+D9),'Non-Combat Calculations'!J19:K47,2,FALSE))+D11),(D11+(VLOOKUP((D22+O12),'Non-Combat Calculations'!O19:P35,2,FALSE))+D7+1))))="Accused Killed","S",
              IF(
          IF(AND(E13="Yes",ISTEXT(VLOOKUP((X4+D9),'Non-Combat Calculations'!J19:K47,2,FALSE))),(VLOOKUP((X4+D9),'Non-Combat Calculations'!J19:K47,2,FALSE)),
              IF(E13="Yes",((VLOOKUP((D22+O12),'Non-Combat Calculations'!O19:P35,2,FALSE))+D7+(VLOOKUP((X4+D9),'Non-Combat Calculations'!J19:K47,2,FALSE))+D11),(D11+(VLOOKUP((D22+O12),'Non-Combat Calculations'!O19:P35,2,FALSE))+D7+1)))="Accused Freed","F",
                  IF(AND(E13="Yes",ISTEXT(VLOOKUP((X4+D9),'Non-Combat Calculations'!J19:K47,2,FALSE))),(VLOOKUP((X4+D9),'Non-Combat Calculations'!J19:K47,2,FALSE)),
                      IF(E13="Yes",((VLOOKUP((D22+O12),'Non-Combat Calculations'!O19:P35,2,FALSE))+D7+(VLOOKUP((X4+D9),'Non-Combat Calculations'!J19:K47,2,FALSE))+D11),(D11+(VLOOKUP((D22+O12),'Non-Combat Calculations'!O19:P35,2,FALSE))+D7+1)))))</f>
        <v>25</v>
      </c>
      <c r="Y12" s="155">
        <f>IF(
    (IF(AND(E13="Yes",ISTEXT(VLOOKUP((Y4+D9),'Non-Combat Calculations'!J19:K47,2,FALSE))),(VLOOKUP((Y4+D9),'Non-Combat Calculations'!J19:K47,2,FALSE)),
          IF(E13="Yes",((VLOOKUP((D22+O12),'Non-Combat Calculations'!O19:P35,2,FALSE))+D7+(VLOOKUP((Y4+D9),'Non-Combat Calculations'!J19:K47,2,FALSE))+D11),(D11+(VLOOKUP((D22+O12),'Non-Combat Calculations'!O19:P35,2,FALSE))+D7+1))))="Accused Killed","S",
              IF(
          IF(AND(E13="Yes",ISTEXT(VLOOKUP((Y4+D9),'Non-Combat Calculations'!J19:K47,2,FALSE))),(VLOOKUP((Y4+D9),'Non-Combat Calculations'!J19:K47,2,FALSE)),
              IF(E13="Yes",((VLOOKUP((D22+O12),'Non-Combat Calculations'!O19:P35,2,FALSE))+D7+(VLOOKUP((Y4+D9),'Non-Combat Calculations'!J19:K47,2,FALSE))+D11),(D11+(VLOOKUP((D22+O12),'Non-Combat Calculations'!O19:P35,2,FALSE))+D7+1)))="Accused Freed","F",
                  IF(AND(E13="Yes",ISTEXT(VLOOKUP((Y4+D9),'Non-Combat Calculations'!J19:K47,2,FALSE))),(VLOOKUP((Y4+D9),'Non-Combat Calculations'!J19:K47,2,FALSE)),
                      IF(E13="Yes",((VLOOKUP((D22+O12),'Non-Combat Calculations'!O19:P35,2,FALSE))+D7+(VLOOKUP((Y4+D9),'Non-Combat Calculations'!J19:K47,2,FALSE))+D11),(D11+(VLOOKUP((D22+O12),'Non-Combat Calculations'!O19:P35,2,FALSE))+D7+1)))))</f>
        <v>29</v>
      </c>
      <c r="Z12" s="155">
        <f>IF(
    (IF(AND(E13="Yes",ISTEXT(VLOOKUP((Z4+D9),'Non-Combat Calculations'!J19:K47,2,FALSE))),(VLOOKUP((Z4+D9),'Non-Combat Calculations'!J19:K47,2,FALSE)),
          IF(E13="Yes",((VLOOKUP((D22+O12),'Non-Combat Calculations'!O19:P35,2,FALSE))+D7+(VLOOKUP((Z4+D9),'Non-Combat Calculations'!J19:K47,2,FALSE))+D11),(D11+(VLOOKUP((D22+O12),'Non-Combat Calculations'!O19:P35,2,FALSE))+D7+1))))="Accused Killed","S",
              IF(
          IF(AND(E13="Yes",ISTEXT(VLOOKUP((Z4+D9),'Non-Combat Calculations'!J19:K47,2,FALSE))),(VLOOKUP((Z4+D9),'Non-Combat Calculations'!J19:K47,2,FALSE)),
              IF(E13="Yes",((VLOOKUP((D22+O12),'Non-Combat Calculations'!O19:P35,2,FALSE))+D7+(VLOOKUP((Z4+D9),'Non-Combat Calculations'!J19:K47,2,FALSE))+D11),(D11+(VLOOKUP((D22+O12),'Non-Combat Calculations'!O19:P35,2,FALSE))+D7+1)))="Accused Freed","F",
                  IF(AND(E13="Yes",ISTEXT(VLOOKUP((Z4+D9),'Non-Combat Calculations'!J19:K47,2,FALSE))),(VLOOKUP((Z4+D9),'Non-Combat Calculations'!J19:K47,2,FALSE)),
                      IF(E13="Yes",((VLOOKUP((D22+O12),'Non-Combat Calculations'!O19:P35,2,FALSE))+D7+(VLOOKUP((Z4+D9),'Non-Combat Calculations'!J19:K47,2,FALSE))+D11),(D11+(VLOOKUP((D22+O12),'Non-Combat Calculations'!O19:P35,2,FALSE))+D7+1)))))</f>
        <v>33</v>
      </c>
      <c r="AA12" s="155">
        <f>IF(
    (IF(AND(E13="Yes",ISTEXT(VLOOKUP((AA4+D9),'Non-Combat Calculations'!J19:K47,2,FALSE))),(VLOOKUP((AA4+D9),'Non-Combat Calculations'!J19:K47,2,FALSE)),
          IF(E13="Yes",((VLOOKUP((D22+O12),'Non-Combat Calculations'!O19:P35,2,FALSE))+D7+(VLOOKUP((AA4+D9),'Non-Combat Calculations'!J19:K47,2,FALSE))+D11),(D11+(VLOOKUP((D22+O12),'Non-Combat Calculations'!O19:P35,2,FALSE))+D7+1))))="Accused Killed","S",
              IF(
          IF(AND(E13="Yes",ISTEXT(VLOOKUP((AA4+D9),'Non-Combat Calculations'!J19:K47,2,FALSE))),(VLOOKUP((AA4+D9),'Non-Combat Calculations'!J19:K47,2,FALSE)),
              IF(E13="Yes",((VLOOKUP((D22+O12),'Non-Combat Calculations'!O19:P35,2,FALSE))+D7+(VLOOKUP((AA4+D9),'Non-Combat Calculations'!J19:K47,2,FALSE))+D11),(D11+(VLOOKUP((D22+O12),'Non-Combat Calculations'!O19:P35,2,FALSE))+D7+1)))="Accused Freed","F",
                  IF(AND(E13="Yes",ISTEXT(VLOOKUP((AA4+D9),'Non-Combat Calculations'!J19:K47,2,FALSE))),(VLOOKUP((AA4+D9),'Non-Combat Calculations'!J19:K47,2,FALSE)),
                      IF(E13="Yes",((VLOOKUP((D22+O12),'Non-Combat Calculations'!O19:P35,2,FALSE))+D7+(VLOOKUP((AA4+D9),'Non-Combat Calculations'!J19:K47,2,FALSE))+D11),(D11+(VLOOKUP((D22+O12),'Non-Combat Calculations'!O19:P35,2,FALSE))+D7+1)))))</f>
        <v>37</v>
      </c>
      <c r="AB12" s="160" t="str">
        <f>IF(
    (IF(AND(E13="Yes",ISTEXT(VLOOKUP((AB4+D9),'Non-Combat Calculations'!J19:K47,2,FALSE))),(VLOOKUP((AB4+D9),'Non-Combat Calculations'!J19:K47,2,FALSE)),
          IF(E13="Yes",((VLOOKUP((D22+O12),'Non-Combat Calculations'!O19:P35,2,FALSE))+D7+(VLOOKUP((AB4+D9),'Non-Combat Calculations'!J19:K47,2,FALSE))+D11),(D11+(VLOOKUP((D22+O12),'Non-Combat Calculations'!O19:P35,2,FALSE))+D7+1))))="Accused Killed","S",
              IF(
          IF(AND(E13="Yes",ISTEXT(VLOOKUP((AB4+D9),'Non-Combat Calculations'!J19:K47,2,FALSE))),(VLOOKUP((AB4+D9),'Non-Combat Calculations'!J19:K47,2,FALSE)),
              IF(E13="Yes",((VLOOKUP((D22+O12),'Non-Combat Calculations'!O19:P35,2,FALSE))+D7+(VLOOKUP((AB4+D9),'Non-Combat Calculations'!J19:K47,2,FALSE))+D11),(D11+(VLOOKUP((D22+O12),'Non-Combat Calculations'!O19:P35,2,FALSE))+D7+1)))="Accused Freed","F",
                  IF(AND(E13="Yes",ISTEXT(VLOOKUP((AB4+D9),'Non-Combat Calculations'!J19:K47,2,FALSE))),(VLOOKUP((AB4+D9),'Non-Combat Calculations'!J19:K47,2,FALSE)),
                      IF(E13="Yes",((VLOOKUP((D22+O12),'Non-Combat Calculations'!O19:P35,2,FALSE))+D7+(VLOOKUP((AB4+D9),'Non-Combat Calculations'!J19:K47,2,FALSE))+D11),(D11+(VLOOKUP((D22+O12),'Non-Combat Calculations'!O19:P35,2,FALSE))+D7+1)))))</f>
        <v>F</v>
      </c>
      <c r="AC12" s="181"/>
    </row>
    <row r="13" spans="1:29" ht="16.5" thickBot="1">
      <c r="A13" s="66" t="s">
        <v>334</v>
      </c>
      <c r="B13" s="67"/>
      <c r="C13" s="67"/>
      <c r="D13" s="71"/>
      <c r="E13" s="57" t="s">
        <v>316</v>
      </c>
      <c r="F13" s="140" t="s">
        <v>347</v>
      </c>
      <c r="G13" s="61"/>
      <c r="H13" s="60"/>
      <c r="I13" s="60"/>
      <c r="J13" s="60"/>
      <c r="K13" s="60"/>
      <c r="L13" s="60"/>
      <c r="M13" s="180"/>
      <c r="N13" s="65"/>
      <c r="O13" s="168">
        <v>8</v>
      </c>
      <c r="P13" s="169"/>
      <c r="Q13" s="170"/>
      <c r="R13" s="159" t="str">
        <f>IF(
    (IF(AND(E13="Yes",ISTEXT(VLOOKUP((R4+D9),'Non-Combat Calculations'!J19:K47,2,FALSE))),(VLOOKUP((R4+D9),'Non-Combat Calculations'!J19:K47,2,FALSE)),
          IF(E13="Yes",((VLOOKUP((D22+O13),'Non-Combat Calculations'!O19:P35,2,FALSE))+D7+(VLOOKUP((R4+D9),'Non-Combat Calculations'!J19:K47,2,FALSE))+D11),(D11+(VLOOKUP((D22+O13),'Non-Combat Calculations'!O19:P35,2,FALSE))+D7+1))))="Accused Killed","S",
              IF(
          IF(AND(E13="Yes",ISTEXT(VLOOKUP((R4+D9),'Non-Combat Calculations'!J19:K47,2,FALSE))),(VLOOKUP((R4+D9),'Non-Combat Calculations'!J19:K47,2,FALSE)),
              IF(E13="Yes",((VLOOKUP((D22+O13),'Non-Combat Calculations'!O19:P35,2,FALSE))+D7+(VLOOKUP((R4+D9),'Non-Combat Calculations'!J19:K47,2,FALSE))+D11),(D11+(VLOOKUP((D22+O13),'Non-Combat Calculations'!O19:P35,2,FALSE))+D7+1)))="Accused Freed","F",
                  IF(AND(E13="Yes",ISTEXT(VLOOKUP((R4+D9),'Non-Combat Calculations'!J19:K47,2,FALSE))),(VLOOKUP((R4+D9),'Non-Combat Calculations'!J19:K47,2,FALSE)),
                      IF(E13="Yes",((VLOOKUP((D22+O13),'Non-Combat Calculations'!O19:P35,2,FALSE))+D7+(VLOOKUP((R4+D9),'Non-Combat Calculations'!J19:K47,2,FALSE))+D11),(D11+(VLOOKUP((D22+O13),'Non-Combat Calculations'!O19:P35,2,FALSE))+D7+1)))))</f>
        <v>S</v>
      </c>
      <c r="S13" s="155">
        <f>IF(
    (IF(AND(E13="Yes",ISTEXT(VLOOKUP((S4+D9),'Non-Combat Calculations'!J19:K47,2,FALSE))),(VLOOKUP((S4+D9),'Non-Combat Calculations'!J19:K47,2,FALSE)),
          IF(E13="Yes",((VLOOKUP((D22+O13),'Non-Combat Calculations'!O19:P35,2,FALSE))+D7+(VLOOKUP((S4+D9),'Non-Combat Calculations'!J19:K47,2,FALSE))+D11),(D11+(VLOOKUP((D22+O13),'Non-Combat Calculations'!O19:P35,2,FALSE))+D7+1))))="Accused Killed","S",
              IF(
          IF(AND(E13="Yes",ISTEXT(VLOOKUP((S4+D9),'Non-Combat Calculations'!J19:K47,2,FALSE))),(VLOOKUP((S4+D9),'Non-Combat Calculations'!J19:K47,2,FALSE)),
              IF(E13="Yes",((VLOOKUP((D22+O13),'Non-Combat Calculations'!O19:P35,2,FALSE))+D7+(VLOOKUP((S4+D9),'Non-Combat Calculations'!J19:K47,2,FALSE))+D11),(D11+(VLOOKUP((D22+O13),'Non-Combat Calculations'!O19:P35,2,FALSE))+D7+1)))="Accused Freed","F",
                  IF(AND(E13="Yes",ISTEXT(VLOOKUP((S4+D9),'Non-Combat Calculations'!J19:K47,2,FALSE))),(VLOOKUP((S4+D9),'Non-Combat Calculations'!J19:K47,2,FALSE)),
                      IF(E13="Yes",((VLOOKUP((D22+O13),'Non-Combat Calculations'!O19:P35,2,FALSE))+D7+(VLOOKUP((S4+D9),'Non-Combat Calculations'!J19:K47,2,FALSE))+D11),(D11+(VLOOKUP((D22+O13),'Non-Combat Calculations'!O19:P35,2,FALSE))+D7+1)))))</f>
        <v>9</v>
      </c>
      <c r="T13" s="155">
        <f>IF(
    (IF(AND(E13="Yes",ISTEXT(VLOOKUP((T4+D9),'Non-Combat Calculations'!J19:K47,2,FALSE))),(VLOOKUP((T4+D9),'Non-Combat Calculations'!J19:K47,2,FALSE)),
          IF(E13="Yes",((VLOOKUP((D22+O13),'Non-Combat Calculations'!O19:P35,2,FALSE))+D7+(VLOOKUP((T4+D9),'Non-Combat Calculations'!J19:K47,2,FALSE))+D11),(D11+(VLOOKUP((D22+O13),'Non-Combat Calculations'!O19:P35,2,FALSE))+D7+1))))="Accused Killed","S",
              IF(
          IF(AND(E13="Yes",ISTEXT(VLOOKUP((T4+D9),'Non-Combat Calculations'!J19:K47,2,FALSE))),(VLOOKUP((T4+D9),'Non-Combat Calculations'!J19:K47,2,FALSE)),
              IF(E13="Yes",((VLOOKUP((D22+O13),'Non-Combat Calculations'!O19:P35,2,FALSE))+D7+(VLOOKUP((T4+D9),'Non-Combat Calculations'!J19:K47,2,FALSE))+D11),(D11+(VLOOKUP((D22+O13),'Non-Combat Calculations'!O19:P35,2,FALSE))+D7+1)))="Accused Freed","F",
                  IF(AND(E13="Yes",ISTEXT(VLOOKUP((T4+D9),'Non-Combat Calculations'!J19:K47,2,FALSE))),(VLOOKUP((T4+D9),'Non-Combat Calculations'!J19:K47,2,FALSE)),
                      IF(E13="Yes",((VLOOKUP((D22+O13),'Non-Combat Calculations'!O19:P35,2,FALSE))+D7+(VLOOKUP((T4+D9),'Non-Combat Calculations'!J19:K47,2,FALSE))+D11),(D11+(VLOOKUP((D22+O13),'Non-Combat Calculations'!O19:P35,2,FALSE))+D7+1)))))</f>
        <v>13</v>
      </c>
      <c r="U13" s="155">
        <f>IF(
    (IF(AND(E13="Yes",ISTEXT(VLOOKUP((U4+D9),'Non-Combat Calculations'!J19:K47,2,FALSE))),(VLOOKUP((U4+D9),'Non-Combat Calculations'!J19:K47,2,FALSE)),
          IF(E13="Yes",((VLOOKUP((D22+O13),'Non-Combat Calculations'!O19:P35,2,FALSE))+D7+(VLOOKUP((U4+D9),'Non-Combat Calculations'!J19:K47,2,FALSE))+D11),(D11+(VLOOKUP((D22+O13),'Non-Combat Calculations'!O19:P35,2,FALSE))+D7+1))))="Accused Killed","S",
              IF(
          IF(AND(E13="Yes",ISTEXT(VLOOKUP((U4+D9),'Non-Combat Calculations'!J19:K47,2,FALSE))),(VLOOKUP((U4+D9),'Non-Combat Calculations'!J19:K47,2,FALSE)),
              IF(E13="Yes",((VLOOKUP((D22+O13),'Non-Combat Calculations'!O19:P35,2,FALSE))+D7+(VLOOKUP((U4+D9),'Non-Combat Calculations'!J19:K47,2,FALSE))+D11),(D11+(VLOOKUP((D22+O13),'Non-Combat Calculations'!O19:P35,2,FALSE))+D7+1)))="Accused Freed","F",
                  IF(AND(E13="Yes",ISTEXT(VLOOKUP((U4+D9),'Non-Combat Calculations'!J19:K47,2,FALSE))),(VLOOKUP((U4+D9),'Non-Combat Calculations'!J19:K47,2,FALSE)),
                      IF(E13="Yes",((VLOOKUP((D22+O13),'Non-Combat Calculations'!O19:P35,2,FALSE))+D7+(VLOOKUP((U4+D9),'Non-Combat Calculations'!J19:K47,2,FALSE))+D11),(D11+(VLOOKUP((D22+O13),'Non-Combat Calculations'!O19:P35,2,FALSE))+D7+1)))))</f>
        <v>17</v>
      </c>
      <c r="V13" s="155">
        <f>IF(
    (IF(AND(E13="Yes",ISTEXT(VLOOKUP((V4+D9),'Non-Combat Calculations'!J19:K47,2,FALSE))),(VLOOKUP((V4+D9),'Non-Combat Calculations'!J19:K47,2,FALSE)),
          IF(E13="Yes",((VLOOKUP((D22+O13),'Non-Combat Calculations'!O19:P35,2,FALSE))+D7+(VLOOKUP((V4+D9),'Non-Combat Calculations'!J19:K47,2,FALSE))+D11),(D11+(VLOOKUP((D22+O13),'Non-Combat Calculations'!O19:P35,2,FALSE))+D7+1))))="Accused Killed","S",
              IF(
          IF(AND(E13="Yes",ISTEXT(VLOOKUP((V4+D9),'Non-Combat Calculations'!J19:K47,2,FALSE))),(VLOOKUP((V4+D9),'Non-Combat Calculations'!J19:K47,2,FALSE)),
              IF(E13="Yes",((VLOOKUP((D22+O13),'Non-Combat Calculations'!O19:P35,2,FALSE))+D7+(VLOOKUP((V4+D9),'Non-Combat Calculations'!J19:K47,2,FALSE))+D11),(D11+(VLOOKUP((D22+O13),'Non-Combat Calculations'!O19:P35,2,FALSE))+D7+1)))="Accused Freed","F",
                  IF(AND(E13="Yes",ISTEXT(VLOOKUP((V4+D9),'Non-Combat Calculations'!J19:K47,2,FALSE))),(VLOOKUP((V4+D9),'Non-Combat Calculations'!J19:K47,2,FALSE)),
                      IF(E13="Yes",((VLOOKUP((D22+O13),'Non-Combat Calculations'!O19:P35,2,FALSE))+D7+(VLOOKUP((V4+D9),'Non-Combat Calculations'!J19:K47,2,FALSE))+D11),(D11+(VLOOKUP((D22+O13),'Non-Combat Calculations'!O19:P35,2,FALSE))+D7+1)))))</f>
        <v>21</v>
      </c>
      <c r="W13" s="155">
        <f>IF(
    (IF(AND(E13="Yes",ISTEXT(VLOOKUP((W4+D9),'Non-Combat Calculations'!J19:K47,2,FALSE))),(VLOOKUP((W4+D9),'Non-Combat Calculations'!J19:K47,2,FALSE)),
          IF(E13="Yes",((VLOOKUP((D22+O13),'Non-Combat Calculations'!O19:P35,2,FALSE))+D7+(VLOOKUP((W4+D9),'Non-Combat Calculations'!J19:K47,2,FALSE))+D11),(D11+(VLOOKUP((D22+O13),'Non-Combat Calculations'!O19:P35,2,FALSE))+D7+1))))="Accused Killed","S",
              IF(
          IF(AND(E13="Yes",ISTEXT(VLOOKUP((W4+D9),'Non-Combat Calculations'!J19:K47,2,FALSE))),(VLOOKUP((W4+D9),'Non-Combat Calculations'!J19:K47,2,FALSE)),
              IF(E13="Yes",((VLOOKUP((D22+O13),'Non-Combat Calculations'!O19:P35,2,FALSE))+D7+(VLOOKUP((W4+D9),'Non-Combat Calculations'!J19:K47,2,FALSE))+D11),(D11+(VLOOKUP((D22+O13),'Non-Combat Calculations'!O19:P35,2,FALSE))+D7+1)))="Accused Freed","F",
                  IF(AND(E13="Yes",ISTEXT(VLOOKUP((W4+D9),'Non-Combat Calculations'!J19:K47,2,FALSE))),(VLOOKUP((W4+D9),'Non-Combat Calculations'!J19:K47,2,FALSE)),
                      IF(E13="Yes",((VLOOKUP((D22+O13),'Non-Combat Calculations'!O19:P35,2,FALSE))+D7+(VLOOKUP((W4+D9),'Non-Combat Calculations'!J19:K47,2,FALSE))+D11),(D11+(VLOOKUP((D22+O13),'Non-Combat Calculations'!O19:P35,2,FALSE))+D7+1)))))</f>
        <v>25</v>
      </c>
      <c r="X13" s="155">
        <f>IF(
    (IF(AND(E13="Yes",ISTEXT(VLOOKUP((X4+D9),'Non-Combat Calculations'!J19:K47,2,FALSE))),(VLOOKUP((X4+D9),'Non-Combat Calculations'!J19:K47,2,FALSE)),
          IF(E13="Yes",((VLOOKUP((D22+O13),'Non-Combat Calculations'!O19:P35,2,FALSE))+D7+(VLOOKUP((X4+D9),'Non-Combat Calculations'!J19:K47,2,FALSE))+D11),(D11+(VLOOKUP((D22+O13),'Non-Combat Calculations'!O19:P35,2,FALSE))+D7+1))))="Accused Killed","S",
              IF(
          IF(AND(E13="Yes",ISTEXT(VLOOKUP((X4+D9),'Non-Combat Calculations'!J19:K47,2,FALSE))),(VLOOKUP((X4+D9),'Non-Combat Calculations'!J19:K47,2,FALSE)),
              IF(E13="Yes",((VLOOKUP((D22+O13),'Non-Combat Calculations'!O19:P35,2,FALSE))+D7+(VLOOKUP((X4+D9),'Non-Combat Calculations'!J19:K47,2,FALSE))+D11),(D11+(VLOOKUP((D22+O13),'Non-Combat Calculations'!O19:P35,2,FALSE))+D7+1)))="Accused Freed","F",
                  IF(AND(E13="Yes",ISTEXT(VLOOKUP((X4+D9),'Non-Combat Calculations'!J19:K47,2,FALSE))),(VLOOKUP((X4+D9),'Non-Combat Calculations'!J19:K47,2,FALSE)),
                      IF(E13="Yes",((VLOOKUP((D22+O13),'Non-Combat Calculations'!O19:P35,2,FALSE))+D7+(VLOOKUP((X4+D9),'Non-Combat Calculations'!J19:K47,2,FALSE))+D11),(D11+(VLOOKUP((D22+O13),'Non-Combat Calculations'!O19:P35,2,FALSE))+D7+1)))))</f>
        <v>29</v>
      </c>
      <c r="Y13" s="155">
        <f>IF(
    (IF(AND(E13="Yes",ISTEXT(VLOOKUP((Y4+D9),'Non-Combat Calculations'!J19:K47,2,FALSE))),(VLOOKUP((Y4+D9),'Non-Combat Calculations'!J19:K47,2,FALSE)),
          IF(E13="Yes",((VLOOKUP((D22+O13),'Non-Combat Calculations'!O19:P35,2,FALSE))+D7+(VLOOKUP((Y4+D9),'Non-Combat Calculations'!J19:K47,2,FALSE))+D11),(D11+(VLOOKUP((D22+O13),'Non-Combat Calculations'!O19:P35,2,FALSE))+D7+1))))="Accused Killed","S",
              IF(
          IF(AND(E13="Yes",ISTEXT(VLOOKUP((Y4+D9),'Non-Combat Calculations'!J19:K47,2,FALSE))),(VLOOKUP((Y4+D9),'Non-Combat Calculations'!J19:K47,2,FALSE)),
              IF(E13="Yes",((VLOOKUP((D22+O13),'Non-Combat Calculations'!O19:P35,2,FALSE))+D7+(VLOOKUP((Y4+D9),'Non-Combat Calculations'!J19:K47,2,FALSE))+D11),(D11+(VLOOKUP((D22+O13),'Non-Combat Calculations'!O19:P35,2,FALSE))+D7+1)))="Accused Freed","F",
                  IF(AND(E13="Yes",ISTEXT(VLOOKUP((Y4+D9),'Non-Combat Calculations'!J19:K47,2,FALSE))),(VLOOKUP((Y4+D9),'Non-Combat Calculations'!J19:K47,2,FALSE)),
                      IF(E13="Yes",((VLOOKUP((D22+O13),'Non-Combat Calculations'!O19:P35,2,FALSE))+D7+(VLOOKUP((Y4+D9),'Non-Combat Calculations'!J19:K47,2,FALSE))+D11),(D11+(VLOOKUP((D22+O13),'Non-Combat Calculations'!O19:P35,2,FALSE))+D7+1)))))</f>
        <v>33</v>
      </c>
      <c r="Z13" s="155">
        <f>IF(
    (IF(AND(E13="Yes",ISTEXT(VLOOKUP((Z4+D9),'Non-Combat Calculations'!J19:K47,2,FALSE))),(VLOOKUP((Z4+D9),'Non-Combat Calculations'!J19:K47,2,FALSE)),
          IF(E13="Yes",((VLOOKUP((D22+O13),'Non-Combat Calculations'!O19:P35,2,FALSE))+D7+(VLOOKUP((Z4+D9),'Non-Combat Calculations'!J19:K47,2,FALSE))+D11),(D11+(VLOOKUP((D22+O13),'Non-Combat Calculations'!O19:P35,2,FALSE))+D7+1))))="Accused Killed","S",
              IF(
          IF(AND(E13="Yes",ISTEXT(VLOOKUP((Z4+D9),'Non-Combat Calculations'!J19:K47,2,FALSE))),(VLOOKUP((Z4+D9),'Non-Combat Calculations'!J19:K47,2,FALSE)),
              IF(E13="Yes",((VLOOKUP((D22+O13),'Non-Combat Calculations'!O19:P35,2,FALSE))+D7+(VLOOKUP((Z4+D9),'Non-Combat Calculations'!J19:K47,2,FALSE))+D11),(D11+(VLOOKUP((D22+O13),'Non-Combat Calculations'!O19:P35,2,FALSE))+D7+1)))="Accused Freed","F",
                  IF(AND(E13="Yes",ISTEXT(VLOOKUP((Z4+D9),'Non-Combat Calculations'!J19:K47,2,FALSE))),(VLOOKUP((Z4+D9),'Non-Combat Calculations'!J19:K47,2,FALSE)),
                      IF(E13="Yes",((VLOOKUP((D22+O13),'Non-Combat Calculations'!O19:P35,2,FALSE))+D7+(VLOOKUP((Z4+D9),'Non-Combat Calculations'!J19:K47,2,FALSE))+D11),(D11+(VLOOKUP((D22+O13),'Non-Combat Calculations'!O19:P35,2,FALSE))+D7+1)))))</f>
        <v>37</v>
      </c>
      <c r="AA13" s="155">
        <f>IF(
    (IF(AND(E13="Yes",ISTEXT(VLOOKUP((AA4+D9),'Non-Combat Calculations'!J19:K47,2,FALSE))),(VLOOKUP((AA4+D9),'Non-Combat Calculations'!J19:K47,2,FALSE)),
          IF(E13="Yes",((VLOOKUP((D22+O13),'Non-Combat Calculations'!O19:P35,2,FALSE))+D7+(VLOOKUP((AA4+D9),'Non-Combat Calculations'!J19:K47,2,FALSE))+D11),(D11+(VLOOKUP((D22+O13),'Non-Combat Calculations'!O19:P35,2,FALSE))+D7+1))))="Accused Killed","S",
              IF(
          IF(AND(E13="Yes",ISTEXT(VLOOKUP((AA4+D9),'Non-Combat Calculations'!J19:K47,2,FALSE))),(VLOOKUP((AA4+D9),'Non-Combat Calculations'!J19:K47,2,FALSE)),
              IF(E13="Yes",((VLOOKUP((D22+O13),'Non-Combat Calculations'!O19:P35,2,FALSE))+D7+(VLOOKUP((AA4+D9),'Non-Combat Calculations'!J19:K47,2,FALSE))+D11),(D11+(VLOOKUP((D22+O13),'Non-Combat Calculations'!O19:P35,2,FALSE))+D7+1)))="Accused Freed","F",
                  IF(AND(E13="Yes",ISTEXT(VLOOKUP((AA4+D9),'Non-Combat Calculations'!J19:K47,2,FALSE))),(VLOOKUP((AA4+D9),'Non-Combat Calculations'!J19:K47,2,FALSE)),
                      IF(E13="Yes",((VLOOKUP((D22+O13),'Non-Combat Calculations'!O19:P35,2,FALSE))+D7+(VLOOKUP((AA4+D9),'Non-Combat Calculations'!J19:K47,2,FALSE))+D11),(D11+(VLOOKUP((D22+O13),'Non-Combat Calculations'!O19:P35,2,FALSE))+D7+1)))))</f>
        <v>41</v>
      </c>
      <c r="AB13" s="160" t="str">
        <f>IF(
    (IF(AND(E13="Yes",ISTEXT(VLOOKUP((AB4+D9),'Non-Combat Calculations'!J19:K47,2,FALSE))),(VLOOKUP((AB4+D9),'Non-Combat Calculations'!J19:K47,2,FALSE)),
          IF(E13="Yes",((VLOOKUP((D22+O13),'Non-Combat Calculations'!O19:P35,2,FALSE))+D7+(VLOOKUP((AB4+D9),'Non-Combat Calculations'!J19:K47,2,FALSE))+D11),(D11+(VLOOKUP((D22+O13),'Non-Combat Calculations'!O19:P35,2,FALSE))+D7+1))))="Accused Killed","S",
              IF(
          IF(AND(E13="Yes",ISTEXT(VLOOKUP((AB4+D9),'Non-Combat Calculations'!J19:K47,2,FALSE))),(VLOOKUP((AB4+D9),'Non-Combat Calculations'!J19:K47,2,FALSE)),
              IF(E13="Yes",((VLOOKUP((D22+O13),'Non-Combat Calculations'!O19:P35,2,FALSE))+D7+(VLOOKUP((AB4+D9),'Non-Combat Calculations'!J19:K47,2,FALSE))+D11),(D11+(VLOOKUP((D22+O13),'Non-Combat Calculations'!O19:P35,2,FALSE))+D7+1)))="Accused Freed","F",
                  IF(AND(E13="Yes",ISTEXT(VLOOKUP((AB4+D9),'Non-Combat Calculations'!J19:K47,2,FALSE))),(VLOOKUP((AB4+D9),'Non-Combat Calculations'!J19:K47,2,FALSE)),
                      IF(E13="Yes",((VLOOKUP((D22+O13),'Non-Combat Calculations'!O19:P35,2,FALSE))+D7+(VLOOKUP((AB4+D9),'Non-Combat Calculations'!J19:K47,2,FALSE))+D11),(D11+(VLOOKUP((D22+O13),'Non-Combat Calculations'!O19:P35,2,FALSE))+D7+1)))))</f>
        <v>F</v>
      </c>
      <c r="AC13" s="181"/>
    </row>
    <row r="14" spans="1:29" ht="15.75" thickBot="1">
      <c r="A14" s="60"/>
      <c r="B14" s="60"/>
      <c r="C14" s="60"/>
      <c r="D14" s="60"/>
      <c r="E14" s="61"/>
      <c r="F14" s="61"/>
      <c r="G14" s="60"/>
      <c r="H14" s="60"/>
      <c r="I14" s="60"/>
      <c r="J14" s="60"/>
      <c r="K14" s="60"/>
      <c r="L14" s="60"/>
      <c r="M14" s="180"/>
      <c r="N14" s="65"/>
      <c r="O14" s="168">
        <v>9</v>
      </c>
      <c r="P14" s="169"/>
      <c r="Q14" s="170"/>
      <c r="R14" s="159" t="str">
        <f>IF(
    (IF(AND(E13="Yes",ISTEXT(VLOOKUP((R4+D9),'Non-Combat Calculations'!J19:K47,2,FALSE))),(VLOOKUP((R4+D9),'Non-Combat Calculations'!J19:K47,2,FALSE)),
          IF(E13="Yes",((VLOOKUP((D22+O14),'Non-Combat Calculations'!O19:P35,2,FALSE))+D7+(VLOOKUP((R4+D9),'Non-Combat Calculations'!J19:K47,2,FALSE))+D11),(D11+(VLOOKUP((D22+O14),'Non-Combat Calculations'!O19:P35,2,FALSE))+D7+1))))="Accused Killed","S",
              IF(
          IF(AND(E13="Yes",ISTEXT(VLOOKUP((R4+D9),'Non-Combat Calculations'!J19:K47,2,FALSE))),(VLOOKUP((R4+D9),'Non-Combat Calculations'!J19:K47,2,FALSE)),
              IF(E13="Yes",((VLOOKUP((D22+O14),'Non-Combat Calculations'!O19:P35,2,FALSE))+D7+(VLOOKUP((R4+D9),'Non-Combat Calculations'!J19:K47,2,FALSE))+D11),(D11+(VLOOKUP((D22+O14),'Non-Combat Calculations'!O19:P35,2,FALSE))+D7+1)))="Accsued Freed","F",
                  IF(AND(E13="Yes",ISTEXT(VLOOKUP((R4+D9),'Non-Combat Calculations'!J19:K47,2,FALSE))),(VLOOKUP((R4+D9),'Non-Combat Calculations'!J19:K47,2,FALSE)),
                      IF(E13="Yes",((VLOOKUP((D22+O14),'Non-Combat Calculations'!O19:P35,2,FALSE))+D7+(VLOOKUP((R4+D9),'Non-Combat Calculations'!J19:K47,2,FALSE))+D11),(D11+(VLOOKUP((D22+O14),'Non-Combat Calculations'!O19:P35,2,FALSE))+D7+1)))))</f>
        <v>S</v>
      </c>
      <c r="S14" s="155">
        <f>IF(
    (IF(AND(E13="Yes",ISTEXT(VLOOKUP((S4+D9),'Non-Combat Calculations'!J19:K47,2,FALSE))),(VLOOKUP((S4+D9),'Non-Combat Calculations'!J19:K47,2,FALSE)),
          IF(E13="Yes",((VLOOKUP((D22+O14),'Non-Combat Calculations'!O19:P35,2,FALSE))+D7+(VLOOKUP((S4+D9),'Non-Combat Calculations'!J19:K47,2,FALSE))+D11),(D11+(VLOOKUP((D22+O14),'Non-Combat Calculations'!O19:P35,2,FALSE))+D7+1))))="Accused Killed","S",
              IF(
          IF(AND(E13="Yes",ISTEXT(VLOOKUP((S4+D9),'Non-Combat Calculations'!J19:K47,2,FALSE))),(VLOOKUP((S4+D9),'Non-Combat Calculations'!J19:K47,2,FALSE)),
              IF(E13="Yes",((VLOOKUP((D22+O14),'Non-Combat Calculations'!O19:P35,2,FALSE))+D7+(VLOOKUP((S4+D9),'Non-Combat Calculations'!J19:K47,2,FALSE))+D11),(D11+(VLOOKUP((D22+O14),'Non-Combat Calculations'!O19:P35,2,FALSE))+D7+1)))="Accused Freed","F",
                  IF(AND(E13="Yes",ISTEXT(VLOOKUP((S4+D9),'Non-Combat Calculations'!J19:K47,2,FALSE))),(VLOOKUP((S4+D9),'Non-Combat Calculations'!J19:K47,2,FALSE)),
                      IF(E13="Yes",((VLOOKUP((D22+O14),'Non-Combat Calculations'!O19:P35,2,FALSE))+D7+(VLOOKUP((S4+D9),'Non-Combat Calculations'!J19:K47,2,FALSE))+D11),(D11+(VLOOKUP((D22+O14),'Non-Combat Calculations'!O19:P35,2,FALSE))+D7+1)))))</f>
        <v>13</v>
      </c>
      <c r="T14" s="155">
        <f>IF(
    (IF(AND(E13="Yes",ISTEXT(VLOOKUP((T4+D9),'Non-Combat Calculations'!J19:K47,2,FALSE))),(VLOOKUP((T4+D9),'Non-Combat Calculations'!J19:K47,2,FALSE)),
          IF(E13="Yes",((VLOOKUP((D22+O14),'Non-Combat Calculations'!O19:P35,2,FALSE))+D7+(VLOOKUP((T4+D9),'Non-Combat Calculations'!J19:K47,2,FALSE))+D11),(D11+(VLOOKUP((D22+O14),'Non-Combat Calculations'!O19:P35,2,FALSE))+D7+1))))="Accused Killed","S",
              IF(
          IF(AND(E13="Yes",ISTEXT(VLOOKUP((T4+D9),'Non-Combat Calculations'!J19:K47,2,FALSE))),(VLOOKUP((T4+D9),'Non-Combat Calculations'!J19:K47,2,FALSE)),
              IF(E13="Yes",((VLOOKUP((D22+O14),'Non-Combat Calculations'!O19:P35,2,FALSE))+D7+(VLOOKUP((T4+D9),'Non-Combat Calculations'!J19:K47,2,FALSE))+D11),(D11+(VLOOKUP((D22+O14),'Non-Combat Calculations'!O19:P35,2,FALSE))+D7+1)))="Accused Freed","F",
                  IF(AND(E13="Yes",ISTEXT(VLOOKUP((T4+D9),'Non-Combat Calculations'!J19:K47,2,FALSE))),(VLOOKUP((T4+D9),'Non-Combat Calculations'!J19:K47,2,FALSE)),
                      IF(E13="Yes",((VLOOKUP((D22+O14),'Non-Combat Calculations'!O19:P35,2,FALSE))+D7+(VLOOKUP((T4+D9),'Non-Combat Calculations'!J19:K47,2,FALSE))+D11),(D11+(VLOOKUP((D22+O14),'Non-Combat Calculations'!O19:P35,2,FALSE))+D7+1)))))</f>
        <v>17</v>
      </c>
      <c r="U14" s="155">
        <f>IF(
    (IF(AND(E13="Yes",ISTEXT(VLOOKUP((U4+D9),'Non-Combat Calculations'!J19:K47,2,FALSE))),(VLOOKUP((U4+D9),'Non-Combat Calculations'!J19:K47,2,FALSE)),
          IF(E13="Yes",((VLOOKUP((D22+O14),'Non-Combat Calculations'!O19:P35,2,FALSE))+D7+(VLOOKUP((U4+D9),'Non-Combat Calculations'!J19:K47,2,FALSE))+D11),(D11+(VLOOKUP((D22+O14),'Non-Combat Calculations'!O19:P35,2,FALSE))+D7+1))))="Accused Killed","S",
              IF(
          IF(AND(E13="Yes",ISTEXT(VLOOKUP((U4+D9),'Non-Combat Calculations'!J19:K47,2,FALSE))),(VLOOKUP((U4+D9),'Non-Combat Calculations'!J19:K47,2,FALSE)),
              IF(E13="Yes",((VLOOKUP((D22+O14),'Non-Combat Calculations'!O19:P35,2,FALSE))+D7+(VLOOKUP((U4+D9),'Non-Combat Calculations'!J19:K47,2,FALSE))+D11),(D11+(VLOOKUP((D22+O14),'Non-Combat Calculations'!O19:P35,2,FALSE))+D7+1)))="Accused Freed","F",
                  IF(AND(E13="Yes",ISTEXT(VLOOKUP((U4+D9),'Non-Combat Calculations'!J19:K47,2,FALSE))),(VLOOKUP((U4+D9),'Non-Combat Calculations'!J19:K47,2,FALSE)),
                      IF(E13="Yes",((VLOOKUP((D22+O14),'Non-Combat Calculations'!O19:P35,2,FALSE))+D7+(VLOOKUP((U4+D9),'Non-Combat Calculations'!J19:K47,2,FALSE))+D11),(D11+(VLOOKUP((D22+O14),'Non-Combat Calculations'!O19:P35,2,FALSE))+D7+1)))))</f>
        <v>21</v>
      </c>
      <c r="V14" s="155">
        <f>IF(
    (IF(AND(E13="Yes",ISTEXT(VLOOKUP((V4+D9),'Non-Combat Calculations'!J19:K47,2,FALSE))),(VLOOKUP((V4+D9),'Non-Combat Calculations'!J19:K47,2,FALSE)),
          IF(E13="Yes",((VLOOKUP((D22+O14),'Non-Combat Calculations'!O19:P35,2,FALSE))+D7+(VLOOKUP((V4+D9),'Non-Combat Calculations'!J19:K47,2,FALSE))+D11),(D11+(VLOOKUP((D22+O14),'Non-Combat Calculations'!O19:P35,2,FALSE))+D7+1))))="Accused Killed","S",
              IF(
          IF(AND(E13="Yes",ISTEXT(VLOOKUP((V4+D9),'Non-Combat Calculations'!J19:K47,2,FALSE))),(VLOOKUP((V4+D9),'Non-Combat Calculations'!J19:K47,2,FALSE)),
              IF(E13="Yes",((VLOOKUP((D22+O14),'Non-Combat Calculations'!O19:P35,2,FALSE))+D7+(VLOOKUP((V4+D9),'Non-Combat Calculations'!J19:K47,2,FALSE))+D11),(D11+(VLOOKUP((D22+O14),'Non-Combat Calculations'!O19:P35,2,FALSE))+D7+1)))="Accused Freed","F",
                  IF(AND(E13="Yes",ISTEXT(VLOOKUP((V4+D9),'Non-Combat Calculations'!J19:K47,2,FALSE))),(VLOOKUP((V4+D9),'Non-Combat Calculations'!J19:K47,2,FALSE)),
                      IF(E13="Yes",((VLOOKUP((D22+O14),'Non-Combat Calculations'!O19:P35,2,FALSE))+D7+(VLOOKUP((V4+D9),'Non-Combat Calculations'!J19:K47,2,FALSE))+D11),(D11+(VLOOKUP((D22+O14),'Non-Combat Calculations'!O19:P35,2,FALSE))+D7+1)))))</f>
        <v>25</v>
      </c>
      <c r="W14" s="155">
        <f>IF(
    (IF(AND(E13="Yes",ISTEXT(VLOOKUP((W4+D9),'Non-Combat Calculations'!J19:K47,2,FALSE))),(VLOOKUP((W4+D9),'Non-Combat Calculations'!J19:K47,2,FALSE)),
          IF(E13="Yes",((VLOOKUP((D22+O14),'Non-Combat Calculations'!O19:P35,2,FALSE))+D7+(VLOOKUP((W4+D9),'Non-Combat Calculations'!J19:K47,2,FALSE))+D11),(D11+(VLOOKUP((D22+O14),'Non-Combat Calculations'!O19:P35,2,FALSE))+D7+1))))="Accused Killed","S",
              IF(
          IF(AND(E13="Yes",ISTEXT(VLOOKUP((W4+D9),'Non-Combat Calculations'!J19:K47,2,FALSE))),(VLOOKUP((W4+D9),'Non-Combat Calculations'!J19:K47,2,FALSE)),
              IF(E13="Yes",((VLOOKUP((D22+O14),'Non-Combat Calculations'!O19:P35,2,FALSE))+D7+(VLOOKUP((W4+D9),'Non-Combat Calculations'!J19:K47,2,FALSE))+D11),(D11+(VLOOKUP((D22+O14),'Non-Combat Calculations'!O19:P35,2,FALSE))+D7+1)))="Accused Freed","F",
                  IF(AND(E13="Yes",ISTEXT(VLOOKUP((W4+D9),'Non-Combat Calculations'!J19:K47,2,FALSE))),(VLOOKUP((W4+D9),'Non-Combat Calculations'!J19:K47,2,FALSE)),
                      IF(E13="Yes",((VLOOKUP((D22+O14),'Non-Combat Calculations'!O19:P35,2,FALSE))+D7+(VLOOKUP((W4+D9),'Non-Combat Calculations'!J19:K47,2,FALSE))+D11),(D11+(VLOOKUP((D22+O14),'Non-Combat Calculations'!O19:P35,2,FALSE))+D7+1)))))</f>
        <v>29</v>
      </c>
      <c r="X14" s="155">
        <f>IF(
    (IF(AND(E13="Yes",ISTEXT(VLOOKUP((X4+D9),'Non-Combat Calculations'!J19:K47,2,FALSE))),(VLOOKUP((X4+D9),'Non-Combat Calculations'!J19:K47,2,FALSE)),
          IF(E13="Yes",((VLOOKUP((D22+O14),'Non-Combat Calculations'!O19:P35,2,FALSE))+D7+(VLOOKUP((X4+D9),'Non-Combat Calculations'!J19:K47,2,FALSE))+D11),(D11+(VLOOKUP((D22+O14),'Non-Combat Calculations'!O19:P35,2,FALSE))+D7+1))))="Accused Killed","S",
              IF(
          IF(AND(E13="Yes",ISTEXT(VLOOKUP((X4+D9),'Non-Combat Calculations'!J19:K47,2,FALSE))),(VLOOKUP((X4+D9),'Non-Combat Calculations'!J19:K47,2,FALSE)),
              IF(E13="Yes",((VLOOKUP((D22+O14),'Non-Combat Calculations'!O19:P35,2,FALSE))+D7+(VLOOKUP((X4+D9),'Non-Combat Calculations'!J19:K47,2,FALSE))+D11),(D11+(VLOOKUP((D22+O14),'Non-Combat Calculations'!O19:P35,2,FALSE))+D7+1)))="Accused Freed","F",
                  IF(AND(E13="Yes",ISTEXT(VLOOKUP((X4+D9),'Non-Combat Calculations'!J19:K47,2,FALSE))),(VLOOKUP((X4+D9),'Non-Combat Calculations'!J19:K47,2,FALSE)),
                      IF(E13="Yes",((VLOOKUP((D22+O14),'Non-Combat Calculations'!O19:P35,2,FALSE))+D7+(VLOOKUP((X4+D9),'Non-Combat Calculations'!J19:K47,2,FALSE))+D11),(D11+(VLOOKUP((D22+O14),'Non-Combat Calculations'!O19:P35,2,FALSE))+D7+1)))))</f>
        <v>33</v>
      </c>
      <c r="Y14" s="155">
        <f>IF(
    (IF(AND(E13="Yes",ISTEXT(VLOOKUP((Y4+D9),'Non-Combat Calculations'!J19:K47,2,FALSE))),(VLOOKUP((Y4+D9),'Non-Combat Calculations'!J19:K47,2,FALSE)),
          IF(E13="Yes",((VLOOKUP((D22+O14),'Non-Combat Calculations'!O19:P35,2,FALSE))+D7+(VLOOKUP((Y4+D9),'Non-Combat Calculations'!J19:K47,2,FALSE))+D11),(D11+(VLOOKUP((D22+O14),'Non-Combat Calculations'!O19:P35,2,FALSE))+D7+1))))="Accused Killed","S",
              IF(
          IF(AND(E13="Yes",ISTEXT(VLOOKUP((Y4+D9),'Non-Combat Calculations'!J19:K47,2,FALSE))),(VLOOKUP((Y4+D9),'Non-Combat Calculations'!J19:K47,2,FALSE)),
              IF(E13="Yes",((VLOOKUP((D22+O14),'Non-Combat Calculations'!O19:P35,2,FALSE))+D7+(VLOOKUP((Y4+D9),'Non-Combat Calculations'!J19:K47,2,FALSE))+D11),(D11+(VLOOKUP((D22+O14),'Non-Combat Calculations'!O19:P35,2,FALSE))+D7+1)))="Accused Freed","F",
                  IF(AND(E13="Yes",ISTEXT(VLOOKUP((Y4+D9),'Non-Combat Calculations'!J19:K47,2,FALSE))),(VLOOKUP((Y4+D9),'Non-Combat Calculations'!J19:K47,2,FALSE)),
                      IF(E13="Yes",((VLOOKUP((D22+O14),'Non-Combat Calculations'!O19:P35,2,FALSE))+D7+(VLOOKUP((Y4+D9),'Non-Combat Calculations'!J19:K47,2,FALSE))+D11),(D11+(VLOOKUP((D22+O14),'Non-Combat Calculations'!O19:P35,2,FALSE))+D7+1)))))</f>
        <v>37</v>
      </c>
      <c r="Z14" s="155">
        <f>IF(
    (IF(AND(E13="Yes",ISTEXT(VLOOKUP((Z4+D9),'Non-Combat Calculations'!J19:K47,2,FALSE))),(VLOOKUP((Z4+D9),'Non-Combat Calculations'!J19:K47,2,FALSE)),
          IF(E13="Yes",((VLOOKUP((D22+O14),'Non-Combat Calculations'!O19:P35,2,FALSE))+D7+(VLOOKUP((Z4+D9),'Non-Combat Calculations'!J19:K47,2,FALSE))+D11),(D11+(VLOOKUP((D22+O14),'Non-Combat Calculations'!O19:P35,2,FALSE))+D7+1))))="Accused Killed","S",
              IF(
          IF(AND(E13="Yes",ISTEXT(VLOOKUP((Z4+D9),'Non-Combat Calculations'!J19:K47,2,FALSE))),(VLOOKUP((Z4+D9),'Non-Combat Calculations'!J19:K47,2,FALSE)),
              IF(E13="Yes",((VLOOKUP((D22+O14),'Non-Combat Calculations'!O19:P35,2,FALSE))+D7+(VLOOKUP((Z4+D9),'Non-Combat Calculations'!J19:K47,2,FALSE))+D11),(D11+(VLOOKUP((D22+O14),'Non-Combat Calculations'!O19:P35,2,FALSE))+D7+1)))="Accused Freed","F",
                  IF(AND(E13="Yes",ISTEXT(VLOOKUP((Z4+D9),'Non-Combat Calculations'!J19:K47,2,FALSE))),(VLOOKUP((Z4+D9),'Non-Combat Calculations'!J19:K47,2,FALSE)),
                      IF(E13="Yes",((VLOOKUP((D22+O14),'Non-Combat Calculations'!O19:P35,2,FALSE))+D7+(VLOOKUP((Z4+D9),'Non-Combat Calculations'!J19:K47,2,FALSE))+D11),(D11+(VLOOKUP((D22+O14),'Non-Combat Calculations'!O19:P35,2,FALSE))+D7+1)))))</f>
        <v>41</v>
      </c>
      <c r="AA14" s="155">
        <f>IF(
    (IF(AND(E13="Yes",ISTEXT(VLOOKUP((AA4+D9),'Non-Combat Calculations'!J19:K47,2,FALSE))),(VLOOKUP((AA4+D9),'Non-Combat Calculations'!J19:K47,2,FALSE)),
          IF(E13="Yes",((VLOOKUP((D22+O14),'Non-Combat Calculations'!O19:P35,2,FALSE))+D7+(VLOOKUP((AA4+D9),'Non-Combat Calculations'!J19:K47,2,FALSE))+D11),(D11+(VLOOKUP((D22+O14),'Non-Combat Calculations'!O19:P35,2,FALSE))+D7+1))))="Accused Killed","S",
              IF(
          IF(AND(E13="Yes",ISTEXT(VLOOKUP((AA4+D9),'Non-Combat Calculations'!J19:K47,2,FALSE))),(VLOOKUP((AA4+D9),'Non-Combat Calculations'!J19:K47,2,FALSE)),
              IF(E13="Yes",((VLOOKUP((D22+O14),'Non-Combat Calculations'!O19:P35,2,FALSE))+D7+(VLOOKUP((AA4+D9),'Non-Combat Calculations'!J19:K47,2,FALSE))+D11),(D11+(VLOOKUP((D22+O14),'Non-Combat Calculations'!O19:P35,2,FALSE))+D7+1)))="Accused Freed","F",
                  IF(AND(E13="Yes",ISTEXT(VLOOKUP((AA4+D9),'Non-Combat Calculations'!J19:K47,2,FALSE))),(VLOOKUP((AA4+D9),'Non-Combat Calculations'!J19:K47,2,FALSE)),
                      IF(E13="Yes",((VLOOKUP((D22+O14),'Non-Combat Calculations'!O19:P35,2,FALSE))+D7+(VLOOKUP((AA4+D9),'Non-Combat Calculations'!J19:K47,2,FALSE))+D11),(D11+(VLOOKUP((D22+O14),'Non-Combat Calculations'!O19:P35,2,FALSE))+D7+1)))))</f>
        <v>45</v>
      </c>
      <c r="AB14" s="160" t="str">
        <f>IF(
    (IF(AND(E13="Yes",ISTEXT(VLOOKUP((AB4+D9),'Non-Combat Calculations'!J19:K47,2,FALSE))),(VLOOKUP((AB4+D9),'Non-Combat Calculations'!J19:K47,2,FALSE)),
          IF(E13="Yes",((VLOOKUP((D22+O14),'Non-Combat Calculations'!O19:P35,2,FALSE))+D7+(VLOOKUP((AB4+D9),'Non-Combat Calculations'!J19:K47,2,FALSE))+D11),(D11+(VLOOKUP((D22+O14),'Non-Combat Calculations'!O19:P35,2,FALSE))+D7+1))))="Accused Killed","S",
              IF(
          IF(AND(E13="Yes",ISTEXT(VLOOKUP((AB4+D9),'Non-Combat Calculations'!J19:K47,2,FALSE))),(VLOOKUP((AB4+D9),'Non-Combat Calculations'!J19:K47,2,FALSE)),
              IF(E13="Yes",((VLOOKUP((D22+O14),'Non-Combat Calculations'!O19:P35,2,FALSE))+D7+(VLOOKUP((AB4+D9),'Non-Combat Calculations'!J19:K47,2,FALSE))+D11),(D11+(VLOOKUP((D22+O14),'Non-Combat Calculations'!O19:P35,2,FALSE))+D7+1)))="Accused Freed","F",
                  IF(AND(E13="Yes",ISTEXT(VLOOKUP((AB4+D9),'Non-Combat Calculations'!J19:K47,2,FALSE))),(VLOOKUP((AB4+D9),'Non-Combat Calculations'!J19:K47,2,FALSE)),
                      IF(E13="Yes",((VLOOKUP((D22+O14),'Non-Combat Calculations'!O19:P35,2,FALSE))+D7+(VLOOKUP((AB4+D9),'Non-Combat Calculations'!J19:K47,2,FALSE))+D11),(D11+(VLOOKUP((D22+O14),'Non-Combat Calculations'!O19:P35,2,FALSE))+D7+1)))))</f>
        <v>F</v>
      </c>
      <c r="AC14" s="181"/>
    </row>
    <row r="15" spans="1:29" ht="16.5" thickBot="1">
      <c r="A15" s="66" t="s">
        <v>333</v>
      </c>
      <c r="B15" s="67"/>
      <c r="C15" s="67"/>
      <c r="D15" s="68"/>
      <c r="E15" s="57">
        <v>38</v>
      </c>
      <c r="F15" s="140" t="s">
        <v>349</v>
      </c>
      <c r="G15" s="61"/>
      <c r="H15" s="60"/>
      <c r="I15" s="60"/>
      <c r="J15" s="60"/>
      <c r="K15" s="60"/>
      <c r="L15" s="60"/>
      <c r="M15" s="180"/>
      <c r="N15" s="65"/>
      <c r="O15" s="168">
        <v>10</v>
      </c>
      <c r="P15" s="169"/>
      <c r="Q15" s="170"/>
      <c r="R15" s="159" t="str">
        <f>IF(
    (IF(AND(E13="Yes",ISTEXT(VLOOKUP((R4+D9),'Non-Combat Calculations'!J19:K47,2,FALSE))),(VLOOKUP((R4+D9),'Non-Combat Calculations'!J19:K47,2,FALSE)),
          IF(E13="Yes",((VLOOKUP((D22+O15),'Non-Combat Calculations'!O19:P35,2,FALSE))+D7+(VLOOKUP((R4+D9),'Non-Combat Calculations'!J19:K47,2,FALSE))+D11),(D11+(VLOOKUP((D22+O15),'Non-Combat Calculations'!O19:P35,2,FALSE))+D7+1))))="Accused Killed","S",
              IF(
          IF(AND(E13="Yes",ISTEXT(VLOOKUP((R4+D9),'Non-Combat Calculations'!J19:K47,2,FALSE))),(VLOOKUP((R4+D9),'Non-Combat Calculations'!J19:K47,2,FALSE)),
              IF(E13="Yes",((VLOOKUP((D22+O15),'Non-Combat Calculations'!O19:P35,2,FALSE))+D7+(VLOOKUP((R4+D9),'Non-Combat Calculations'!J19:K47,2,FALSE))+D11),(D11+(VLOOKUP((D22+O15),'Non-Combat Calculations'!O19:P35,2,FALSE))+D7+1)))="Accused Freed","F",
                  IF(AND(E13="Yes",ISTEXT(VLOOKUP((R4+D9),'Non-Combat Calculations'!J19:K47,2,FALSE))),(VLOOKUP((R4+D9),'Non-Combat Calculations'!J19:K47,2,FALSE)),
                      IF(E13="Yes",((VLOOKUP((D22+O15),'Non-Combat Calculations'!O19:P35,2,FALSE))+D7+(VLOOKUP((R4+D9),'Non-Combat Calculations'!J19:K47,2,FALSE))+D11),(D11+(VLOOKUP((D22+O15),'Non-Combat Calculations'!O19:P35,2,FALSE))+D7+1)))))</f>
        <v>S</v>
      </c>
      <c r="S15" s="155">
        <f>IF(
    (IF(AND(E13="Yes",ISTEXT(VLOOKUP((S4+D9),'Non-Combat Calculations'!J19:K47,2,FALSE))),(VLOOKUP((S4+D9),'Non-Combat Calculations'!J19:K47,2,FALSE)),
          IF(E13="Yes",((VLOOKUP((D22+O15),'Non-Combat Calculations'!O19:P35,2,FALSE))+D7+(VLOOKUP((S4+D9),'Non-Combat Calculations'!J19:K47,2,FALSE))+D11),(D11+(VLOOKUP((D22+O15),'Non-Combat Calculations'!O19:P35,2,FALSE))+D7+1))))="Accused Killed","S",
              IF(
          IF(AND(E13="Yes",ISTEXT(VLOOKUP((S4+D9),'Non-Combat Calculations'!J19:K47,2,FALSE))),(VLOOKUP((S4+D9),'Non-Combat Calculations'!J19:K47,2,FALSE)),
              IF(E13="Yes",((VLOOKUP((D22+O15),'Non-Combat Calculations'!O19:P35,2,FALSE))+D7+(VLOOKUP((S4+D9),'Non-Combat Calculations'!J19:K47,2,FALSE))+D11),(D11+(VLOOKUP((D22+O15),'Non-Combat Calculations'!O19:P35,2,FALSE))+D7+1)))="Accused Freed","F",
                  IF(AND(E13="Yes",ISTEXT(VLOOKUP((S4+D9),'Non-Combat Calculations'!J19:K47,2,FALSE))),(VLOOKUP((S4+D9),'Non-Combat Calculations'!J19:K47,2,FALSE)),
                      IF(E13="Yes",((VLOOKUP((D22+O15),'Non-Combat Calculations'!O19:P35,2,FALSE))+D7+(VLOOKUP((S4+D9),'Non-Combat Calculations'!J19:K47,2,FALSE))+D11),(D11+(VLOOKUP((D22+O15),'Non-Combat Calculations'!O19:P35,2,FALSE))+D7+1)))))</f>
        <v>17</v>
      </c>
      <c r="T15" s="155">
        <f>IF(
    (IF(AND(E13="Yes",ISTEXT(VLOOKUP((T4+D9),'Non-Combat Calculations'!J19:K47,2,FALSE))),(VLOOKUP((T4+D9),'Non-Combat Calculations'!J19:K47,2,FALSE)),
          IF(E13="Yes",((VLOOKUP((D22+O15),'Non-Combat Calculations'!O19:P35,2,FALSE))+D7+(VLOOKUP((T4+D9),'Non-Combat Calculations'!J19:K47,2,FALSE))+D11),(D11+(VLOOKUP((D22+O15),'Non-Combat Calculations'!O19:P35,2,FALSE))+D7+1))))="Accused Killed","S",
              IF(
          IF(AND(E13="Yes",ISTEXT(VLOOKUP((T4+D9),'Non-Combat Calculations'!J19:K47,2,FALSE))),(VLOOKUP((T4+D9),'Non-Combat Calculations'!J19:K47,2,FALSE)),
              IF(E13="Yes",((VLOOKUP((D22+O15),'Non-Combat Calculations'!O19:P35,2,FALSE))+D7+(VLOOKUP((T4+D9),'Non-Combat Calculations'!J19:K47,2,FALSE))+D11),(D11+(VLOOKUP((D22+O15),'Non-Combat Calculations'!O19:P35,2,FALSE))+D7+1)))="Accused Freed","F",
                  IF(AND(E13="Yes",ISTEXT(VLOOKUP((T4+D9),'Non-Combat Calculations'!J19:K47,2,FALSE))),(VLOOKUP((T4+D9),'Non-Combat Calculations'!J19:K47,2,FALSE)),
                      IF(E13="Yes",((VLOOKUP((D22+O15),'Non-Combat Calculations'!O19:P35,2,FALSE))+D7+(VLOOKUP((T4+D9),'Non-Combat Calculations'!J19:K47,2,FALSE))+D11),(D11+(VLOOKUP((D22+O15),'Non-Combat Calculations'!O19:P35,2,FALSE))+D7+1)))))</f>
        <v>21</v>
      </c>
      <c r="U15" s="155">
        <f>IF(
    (IF(AND(E13="Yes",ISTEXT(VLOOKUP((U4+D9),'Non-Combat Calculations'!J19:K47,2,FALSE))),(VLOOKUP((U4+D9),'Non-Combat Calculations'!J19:K47,2,FALSE)),
          IF(E13="Yes",((VLOOKUP((D22+O15),'Non-Combat Calculations'!O19:P35,2,FALSE))+D7+(VLOOKUP((U4+D9),'Non-Combat Calculations'!J19:K47,2,FALSE))+D11),(D11+(VLOOKUP((D22+O15),'Non-Combat Calculations'!O19:P35,2,FALSE))+D7+1))))="Accused Killed","S",
              IF(
          IF(AND(E13="Yes",ISTEXT(VLOOKUP((U4+D9),'Non-Combat Calculations'!J19:K47,2,FALSE))),(VLOOKUP((U4+D9),'Non-Combat Calculations'!J19:K47,2,FALSE)),
              IF(E13="Yes",((VLOOKUP((D22+O15),'Non-Combat Calculations'!O19:P35,2,FALSE))+D7+(VLOOKUP((U4+D9),'Non-Combat Calculations'!J19:K47,2,FALSE))+D11),(D11+(VLOOKUP((D22+O15),'Non-Combat Calculations'!O19:P35,2,FALSE))+D7+1)))="Accused Freed","F",
                  IF(AND(E13="Yes",ISTEXT(VLOOKUP((U4+D9),'Non-Combat Calculations'!J19:K47,2,FALSE))),(VLOOKUP((U4+D9),'Non-Combat Calculations'!J19:K47,2,FALSE)),
                      IF(E13="Yes",((VLOOKUP((D22+O15),'Non-Combat Calculations'!O19:P35,2,FALSE))+D7+(VLOOKUP((U4+D9),'Non-Combat Calculations'!J19:K47,2,FALSE))+D11),(D11+(VLOOKUP((D22+O15),'Non-Combat Calculations'!O19:P35,2,FALSE))+D7+1)))))</f>
        <v>25</v>
      </c>
      <c r="V15" s="155">
        <f>IF(
    (IF(AND(E13="Yes",ISTEXT(VLOOKUP((V4+D9),'Non-Combat Calculations'!J19:K47,2,FALSE))),(VLOOKUP((V4+D9),'Non-Combat Calculations'!J19:K47,2,FALSE)),
          IF(E13="Yes",((VLOOKUP((D22+O15),'Non-Combat Calculations'!O19:P35,2,FALSE))+D7+(VLOOKUP((V4+D9),'Non-Combat Calculations'!J19:K47,2,FALSE))+D11),(D11+(VLOOKUP((D22+O15),'Non-Combat Calculations'!O19:P35,2,FALSE))+D7+1))))="Accused Killed","S",
              IF(
          IF(AND(E13="Yes",ISTEXT(VLOOKUP((V4+D9),'Non-Combat Calculations'!J19:K47,2,FALSE))),(VLOOKUP((V4+D9),'Non-Combat Calculations'!J19:K47,2,FALSE)),
              IF(E13="Yes",((VLOOKUP((D22+O15),'Non-Combat Calculations'!O19:P35,2,FALSE))+D7+(VLOOKUP((V4+D9),'Non-Combat Calculations'!J19:K47,2,FALSE))+D11),(D11+(VLOOKUP((D22+O15),'Non-Combat Calculations'!O19:P35,2,FALSE))+D7+1)))="Accused Freed","F",
                  IF(AND(E13="Yes",ISTEXT(VLOOKUP((V4+D9),'Non-Combat Calculations'!J19:K47,2,FALSE))),(VLOOKUP((V4+D9),'Non-Combat Calculations'!J19:K47,2,FALSE)),
                      IF(E13="Yes",((VLOOKUP((D22+O15),'Non-Combat Calculations'!O19:P35,2,FALSE))+D7+(VLOOKUP((V4+D9),'Non-Combat Calculations'!J19:K47,2,FALSE))+D11),(D11+(VLOOKUP((D22+O15),'Non-Combat Calculations'!O19:P35,2,FALSE))+D7+1)))))</f>
        <v>29</v>
      </c>
      <c r="W15" s="155">
        <f>IF(
    (IF(AND(E13="Yes",ISTEXT(VLOOKUP((W4+D9),'Non-Combat Calculations'!J19:K47,2,FALSE))),(VLOOKUP((W4+D9),'Non-Combat Calculations'!J19:K47,2,FALSE)),
          IF(E13="Yes",((VLOOKUP((D22+O15),'Non-Combat Calculations'!O19:P35,2,FALSE))+D7+(VLOOKUP((W4+D9),'Non-Combat Calculations'!J19:K47,2,FALSE))+D11),(D11+(VLOOKUP((D22+O15),'Non-Combat Calculations'!O19:P35,2,FALSE))+D7+1))))="Accused Killed","S",
              IF(
          IF(AND(E13="Yes",ISTEXT(VLOOKUP((W4+D9),'Non-Combat Calculations'!J19:K47,2,FALSE))),(VLOOKUP((W4+D9),'Non-Combat Calculations'!J19:K47,2,FALSE)),
              IF(E13="Yes",((VLOOKUP((D22+O15),'Non-Combat Calculations'!O19:P35,2,FALSE))+D7+(VLOOKUP((W4+D9),'Non-Combat Calculations'!J19:K47,2,FALSE))+D11),(D11+(VLOOKUP((D22+O15),'Non-Combat Calculations'!O19:P35,2,FALSE))+D7+1)))="Accused Freed","F",
                  IF(AND(E13="Yes",ISTEXT(VLOOKUP((W4+D9),'Non-Combat Calculations'!J19:K47,2,FALSE))),(VLOOKUP((W4+D9),'Non-Combat Calculations'!J19:K47,2,FALSE)),
                      IF(E13="Yes",((VLOOKUP((D22+O15),'Non-Combat Calculations'!O19:P35,2,FALSE))+D7+(VLOOKUP((W4+D9),'Non-Combat Calculations'!J19:K47,2,FALSE))+D11),(D11+(VLOOKUP((D22+O15),'Non-Combat Calculations'!O19:P35,2,FALSE))+D7+1)))))</f>
        <v>33</v>
      </c>
      <c r="X15" s="155">
        <f>IF(
    (IF(AND(E13="Yes",ISTEXT(VLOOKUP((X4+D9),'Non-Combat Calculations'!J19:K47,2,FALSE))),(VLOOKUP((X4+D9),'Non-Combat Calculations'!J19:K47,2,FALSE)),
          IF(E13="Yes",((VLOOKUP((D22+O15),'Non-Combat Calculations'!O19:P35,2,FALSE))+D7+(VLOOKUP((X4+D9),'Non-Combat Calculations'!J19:K47,2,FALSE))+D11),(D11+(VLOOKUP((D22+O15),'Non-Combat Calculations'!O19:P35,2,FALSE))+D7+1))))="Accused Killed","S",
              IF(
          IF(AND(E13="Yes",ISTEXT(VLOOKUP((X4+D9),'Non-Combat Calculations'!J19:K47,2,FALSE))),(VLOOKUP((X4+D9),'Non-Combat Calculations'!J19:K47,2,FALSE)),
              IF(E13="Yes",((VLOOKUP((D22+O15),'Non-Combat Calculations'!O19:P35,2,FALSE))+D7+(VLOOKUP((X4+D9),'Non-Combat Calculations'!J19:K47,2,FALSE))+D11),(D11+(VLOOKUP((D22+O15),'Non-Combat Calculations'!O19:P35,2,FALSE))+D7+1)))="Accused Freed","F",
                  IF(AND(E13="Yes",ISTEXT(VLOOKUP((X4+D9),'Non-Combat Calculations'!J19:K47,2,FALSE))),(VLOOKUP((X4+D9),'Non-Combat Calculations'!J19:K47,2,FALSE)),
                      IF(E13="Yes",((VLOOKUP((D22+O15),'Non-Combat Calculations'!O19:P35,2,FALSE))+D7+(VLOOKUP((X4+D9),'Non-Combat Calculations'!J19:K47,2,FALSE))+D11),(D11+(VLOOKUP((D22+O15),'Non-Combat Calculations'!O19:P35,2,FALSE))+D7+1)))))</f>
        <v>37</v>
      </c>
      <c r="Y15" s="155">
        <f>IF(
    (IF(AND(E13="Yes",ISTEXT(VLOOKUP((Y4+D9),'Non-Combat Calculations'!J19:K47,2,FALSE))),(VLOOKUP((Y4+D9),'Non-Combat Calculations'!J19:K47,2,FALSE)),
          IF(E13="Yes",((VLOOKUP((D22+O15),'Non-Combat Calculations'!O19:P35,2,FALSE))+D7+(VLOOKUP((Y4+D9),'Non-Combat Calculations'!J19:K47,2,FALSE))+D11),(D11+(VLOOKUP((D22+O15),'Non-Combat Calculations'!O19:P35,2,FALSE))+D7+1))))="Accused Killed","S",
              IF(
          IF(AND(E13="Yes",ISTEXT(VLOOKUP((Y4+D9),'Non-Combat Calculations'!J19:K47,2,FALSE))),(VLOOKUP((Y4+D9),'Non-Combat Calculations'!J19:K47,2,FALSE)),
              IF(E13="Yes",((VLOOKUP((D22+O15),'Non-Combat Calculations'!O19:P35,2,FALSE))+D7+(VLOOKUP((Y4+D9),'Non-Combat Calculations'!J19:K47,2,FALSE))+D11),(D11+(VLOOKUP((D22+O15),'Non-Combat Calculations'!O19:P35,2,FALSE))+D7+1)))="Accused Freed","F",
                  IF(AND(E13="Yes",ISTEXT(VLOOKUP((Y4+D9),'Non-Combat Calculations'!J19:K47,2,FALSE))),(VLOOKUP((Y4+D9),'Non-Combat Calculations'!J19:K47,2,FALSE)),
                      IF(E13="Yes",((VLOOKUP((D22+O15),'Non-Combat Calculations'!O19:P35,2,FALSE))+D7+(VLOOKUP((Y4+D9),'Non-Combat Calculations'!J19:K47,2,FALSE))+D11),(D11+(VLOOKUP((D22+O15),'Non-Combat Calculations'!O19:P35,2,FALSE))+D7+1)))))</f>
        <v>41</v>
      </c>
      <c r="Z15" s="155">
        <f>IF(
    (IF(AND(E13="Yes",ISTEXT(VLOOKUP((Z4+D9),'Non-Combat Calculations'!J19:K47,2,FALSE))),(VLOOKUP((Z4+D9),'Non-Combat Calculations'!J19:K47,2,FALSE)),
          IF(E13="Yes",((VLOOKUP((D22+O15),'Non-Combat Calculations'!O19:P35,2,FALSE))+D7+(VLOOKUP((Z4+D9),'Non-Combat Calculations'!J19:K47,2,FALSE))+D11),(D11+(VLOOKUP((D22+O15),'Non-Combat Calculations'!O19:P35,2,FALSE))+D7+1))))="Accused Killed","S",
              IF(
          IF(AND(E13="Yes",ISTEXT(VLOOKUP((Z4+D9),'Non-Combat Calculations'!J19:K47,2,FALSE))),(VLOOKUP((Z4+D9),'Non-Combat Calculations'!J19:K47,2,FALSE)),
              IF(E13="Yes",((VLOOKUP((D22+O15),'Non-Combat Calculations'!O19:P35,2,FALSE))+D7+(VLOOKUP((Z4+D9),'Non-Combat Calculations'!J19:K47,2,FALSE))+D11),(D11+(VLOOKUP((D22+O15),'Non-Combat Calculations'!O19:P35,2,FALSE))+D7+1)))="Accused Freed","F",
                  IF(AND(E13="Yes",ISTEXT(VLOOKUP((Z4+D9),'Non-Combat Calculations'!J19:K47,2,FALSE))),(VLOOKUP((Z4+D9),'Non-Combat Calculations'!J19:K47,2,FALSE)),
                      IF(E13="Yes",((VLOOKUP((D22+O15),'Non-Combat Calculations'!O19:P35,2,FALSE))+D7+(VLOOKUP((Z4+D9),'Non-Combat Calculations'!J19:K47,2,FALSE))+D11),(D11+(VLOOKUP((D22+O15),'Non-Combat Calculations'!O19:P35,2,FALSE))+D7+1)))))</f>
        <v>45</v>
      </c>
      <c r="AA15" s="155">
        <f>IF(
    (IF(AND(E13="Yes",ISTEXT(VLOOKUP((AA4+D9),'Non-Combat Calculations'!J19:K47,2,FALSE))),(VLOOKUP((AA4+D9),'Non-Combat Calculations'!J19:K47,2,FALSE)),
          IF(E13="Yes",((VLOOKUP((D22+O15),'Non-Combat Calculations'!O19:P35,2,FALSE))+D7+(VLOOKUP((AA4+D9),'Non-Combat Calculations'!J19:K47,2,FALSE))+D11),(D11+(VLOOKUP((D22+O15),'Non-Combat Calculations'!O19:P35,2,FALSE))+D7+1))))="Accused Killed","S",
              IF(
          IF(AND(E13="Yes",ISTEXT(VLOOKUP((AA4+D9),'Non-Combat Calculations'!J19:K47,2,FALSE))),(VLOOKUP((AA4+D9),'Non-Combat Calculations'!J19:K47,2,FALSE)),
              IF(E13="Yes",((VLOOKUP((D22+O15),'Non-Combat Calculations'!O19:P35,2,FALSE))+D7+(VLOOKUP((AA4+D9),'Non-Combat Calculations'!J19:K47,2,FALSE))+D11),(D11+(VLOOKUP((D22+O15),'Non-Combat Calculations'!O19:P35,2,FALSE))+D7+1)))="Accused Freed","F",
                  IF(AND(E13="Yes",ISTEXT(VLOOKUP((AA4+D9),'Non-Combat Calculations'!J19:K47,2,FALSE))),(VLOOKUP((AA4+D9),'Non-Combat Calculations'!J19:K47,2,FALSE)),
                      IF(E13="Yes",((VLOOKUP((D22+O15),'Non-Combat Calculations'!O19:P35,2,FALSE))+D7+(VLOOKUP((AA4+D9),'Non-Combat Calculations'!J19:K47,2,FALSE))+D11),(D11+(VLOOKUP((D22+O15),'Non-Combat Calculations'!O19:P35,2,FALSE))+D7+1)))))</f>
        <v>49</v>
      </c>
      <c r="AB15" s="160" t="str">
        <f>IF(
    (IF(AND(E13="Yes",ISTEXT(VLOOKUP((AB4+D9),'Non-Combat Calculations'!J19:K47,2,FALSE))),(VLOOKUP((AB4+D9),'Non-Combat Calculations'!J19:K47,2,FALSE)),
          IF(E13="Yes",((VLOOKUP((D22+O15),'Non-Combat Calculations'!O19:P35,2,FALSE))+D7+(VLOOKUP((AB4+D9),'Non-Combat Calculations'!J19:K47,2,FALSE))+D11),(D11+(VLOOKUP((D22+O15),'Non-Combat Calculations'!O19:P35,2,FALSE))+D7+1))))="Accused Killed","S",
              IF(
          IF(AND(E13="Yes",ISTEXT(VLOOKUP((AB4+D9),'Non-Combat Calculations'!J19:K47,2,FALSE))),(VLOOKUP((AB4+D9),'Non-Combat Calculations'!J19:K47,2,FALSE)),
              IF(E13="Yes",((VLOOKUP((D22+O15),'Non-Combat Calculations'!O19:P35,2,FALSE))+D7+(VLOOKUP((AB4+D9),'Non-Combat Calculations'!J19:K47,2,FALSE))+D11),(D11+(VLOOKUP((D22+O15),'Non-Combat Calculations'!O19:P35,2,FALSE))+D7+1)))="Accused Freed","F",
                  IF(AND(E13="Yes",ISTEXT(VLOOKUP((AB4+D9),'Non-Combat Calculations'!J19:K47,2,FALSE))),(VLOOKUP((AB4+D9),'Non-Combat Calculations'!J19:K47,2,FALSE)),
                      IF(E13="Yes",((VLOOKUP((D22+O15),'Non-Combat Calculations'!O19:P35,2,FALSE))+D7+(VLOOKUP((AB4+D9),'Non-Combat Calculations'!J19:K47,2,FALSE))+D11),(D11+(VLOOKUP((D22+O15),'Non-Combat Calculations'!O19:P35,2,FALSE))+D7+1)))))</f>
        <v>F</v>
      </c>
      <c r="AC15" s="181"/>
    </row>
    <row r="16" spans="1:29" ht="15.75" thickBot="1">
      <c r="A16" s="60"/>
      <c r="B16" s="60"/>
      <c r="C16" s="60"/>
      <c r="D16" s="60"/>
      <c r="E16" s="61"/>
      <c r="F16" s="61"/>
      <c r="G16" s="60"/>
      <c r="H16" s="60"/>
      <c r="I16" s="60"/>
      <c r="J16" s="60"/>
      <c r="K16" s="60"/>
      <c r="L16" s="60"/>
      <c r="M16" s="180"/>
      <c r="N16" s="65"/>
      <c r="O16" s="168">
        <v>11</v>
      </c>
      <c r="P16" s="169"/>
      <c r="Q16" s="170"/>
      <c r="R16" s="159" t="str">
        <f>IF(
    (IF(AND(E13="Yes",ISTEXT(VLOOKUP((R4+D9),'Non-Combat Calculations'!J19:K47,2,FALSE))),(VLOOKUP((R4+D9),'Non-Combat Calculations'!J19:K47,2,FALSE)),
          IF(E13="Yes",((VLOOKUP((D22+O16),'Non-Combat Calculations'!O19:P35,2,FALSE))+D7+(VLOOKUP((R4+D9),'Non-Combat Calculations'!J19:K47,2,FALSE))+D11),(D11+(VLOOKUP((D22+O16),'Non-Combat Calculations'!O19:P35,2,FALSE))+D7+1))))="Accused Killed","S",
              IF(
          IF(AND(E13="Yes",ISTEXT(VLOOKUP((R4+D9),'Non-Combat Calculations'!J19:K47,2,FALSE))),(VLOOKUP((R4+D9),'Non-Combat Calculations'!J19:K47,2,FALSE)),
              IF(E13="Yes",((VLOOKUP((D22+O16),'Non-Combat Calculations'!O19:P35,2,FALSE))+D7+(VLOOKUP((R4+D9),'Non-Combat Calculations'!J19:K47,2,FALSE))+D11),(D11+(VLOOKUP((D22+O16),'Non-Combat Calculations'!O19:P35,2,FALSE))+D7+1)))="Accused Freed","F",
                  IF(AND(E13="Yes",ISTEXT(VLOOKUP((R4+D9),'Non-Combat Calculations'!J19:K47,2,FALSE))),(VLOOKUP((R4+D9),'Non-Combat Calculations'!J19:K47,2,FALSE)),
                      IF(E13="Yes",((VLOOKUP((D22+O16),'Non-Combat Calculations'!O19:P35,2,FALSE))+D7+(VLOOKUP((R4+D9),'Non-Combat Calculations'!J19:K47,2,FALSE))+D11),(D11+(VLOOKUP((D22+O16),'Non-Combat Calculations'!O19:P35,2,FALSE))+D7+1)))))</f>
        <v>S</v>
      </c>
      <c r="S16" s="155">
        <f>IF(
    (IF(AND(E13="Yes",ISTEXT(VLOOKUP((S4+D9),'Non-Combat Calculations'!J19:K47,2,FALSE))),(VLOOKUP((S4+D9),'Non-Combat Calculations'!J19:K47,2,FALSE)),
          IF(E13="Yes",((VLOOKUP((D22+O16),'Non-Combat Calculations'!O19:P35,2,FALSE))+D7+(VLOOKUP((S4+D9),'Non-Combat Calculations'!J19:K47,2,FALSE))+D11),(D11+(VLOOKUP((D22+O16),'Non-Combat Calculations'!O19:P35,2,FALSE))+D7+1))))="Accused Killed","S",
              IF(
          IF(AND(E13="Yes",ISTEXT(VLOOKUP((S4+D9),'Non-Combat Calculations'!J19:K47,2,FALSE))),(VLOOKUP((S4+D9),'Non-Combat Calculations'!J19:K47,2,FALSE)),
              IF(E13="Yes",((VLOOKUP((D22+O16),'Non-Combat Calculations'!O19:P35,2,FALSE))+D7+(VLOOKUP((S4+D9),'Non-Combat Calculations'!J19:K47,2,FALSE))+D11),(D11+(VLOOKUP((D22+O16),'Non-Combat Calculations'!O19:P35,2,FALSE))+D7+1)))="Accused Freed","F",
                  IF(AND(E13="Yes",ISTEXT(VLOOKUP((S4+D9),'Non-Combat Calculations'!J19:K47,2,FALSE))),(VLOOKUP((S4+D9),'Non-Combat Calculations'!J19:K47,2,FALSE)),
                      IF(E13="Yes",((VLOOKUP((D22+O16),'Non-Combat Calculations'!O19:P35,2,FALSE))+D7+(VLOOKUP((S4+D9),'Non-Combat Calculations'!J19:K47,2,FALSE))+D11),(D11+(VLOOKUP((D22+O16),'Non-Combat Calculations'!O19:P35,2,FALSE))+D7+1)))))</f>
        <v>17</v>
      </c>
      <c r="T16" s="155">
        <f>IF(
    (IF(AND(E13="Yes",ISTEXT(VLOOKUP((T4+D9),'Non-Combat Calculations'!J19:K47,2,FALSE))),(VLOOKUP((T4+D9),'Non-Combat Calculations'!J19:K47,2,FALSE)),
          IF(E13="Yes",((VLOOKUP((D22+O16),'Non-Combat Calculations'!O19:P35,2,FALSE))+D7+(VLOOKUP((T4+D9),'Non-Combat Calculations'!J19:K47,2,FALSE))+D11),(D11+(VLOOKUP((D22+O16),'Non-Combat Calculations'!O19:P35,2,FALSE))+D7+1))))="Accused Killed","S",
              IF(
          IF(AND(E13="Yes",ISTEXT(VLOOKUP((T4+D9),'Non-Combat Calculations'!J19:K47,2,FALSE))),(VLOOKUP((T4+D9),'Non-Combat Calculations'!J19:K47,2,FALSE)),
              IF(E13="Yes",((VLOOKUP((D22+O16),'Non-Combat Calculations'!O19:P35,2,FALSE))+D7+(VLOOKUP((T4+D9),'Non-Combat Calculations'!J19:K47,2,FALSE))+D11),(D11+(VLOOKUP((D22+O16),'Non-Combat Calculations'!O19:P35,2,FALSE))+D7+1)))="Accused Freed","F",
                  IF(AND(E13="Yes",ISTEXT(VLOOKUP((T4+D9),'Non-Combat Calculations'!J19:K47,2,FALSE))),(VLOOKUP((T4+D9),'Non-Combat Calculations'!J19:K47,2,FALSE)),
                      IF(E13="Yes",((VLOOKUP((D22+O16),'Non-Combat Calculations'!O19:P35,2,FALSE))+D7+(VLOOKUP((T4+D9),'Non-Combat Calculations'!J19:K47,2,FALSE))+D11),(D11+(VLOOKUP((D22+O16),'Non-Combat Calculations'!O19:P35,2,FALSE))+D7+1)))))</f>
        <v>21</v>
      </c>
      <c r="U16" s="155">
        <f>IF(
    (IF(AND(E13="Yes",ISTEXT(VLOOKUP((U4+D9),'Non-Combat Calculations'!J19:K47,2,FALSE))),(VLOOKUP((U4+D9),'Non-Combat Calculations'!J19:K47,2,FALSE)),
          IF(E13="Yes",((VLOOKUP((D22+O16),'Non-Combat Calculations'!O19:P35,2,FALSE))+D7+(VLOOKUP((U4+D9),'Non-Combat Calculations'!J19:K47,2,FALSE))+D11),(D11+(VLOOKUP((D22+O16),'Non-Combat Calculations'!O19:P35,2,FALSE))+D7+1))))="Accused Killed","S",
              IF(
          IF(AND(E13="Yes",ISTEXT(VLOOKUP((U4+D9),'Non-Combat Calculations'!J19:K47,2,FALSE))),(VLOOKUP((U4+D9),'Non-Combat Calculations'!J19:K47,2,FALSE)),
              IF(E13="Yes",((VLOOKUP((D22+O16),'Non-Combat Calculations'!O19:P35,2,FALSE))+D7+(VLOOKUP((U4+D9),'Non-Combat Calculations'!J19:K47,2,FALSE))+D11),(D11+(VLOOKUP((D22+O16),'Non-Combat Calculations'!O19:P35,2,FALSE))+D7+1)))="Accused Freed","F",
                  IF(AND(E13="Yes",ISTEXT(VLOOKUP((U4+D9),'Non-Combat Calculations'!J19:K47,2,FALSE))),(VLOOKUP((U4+D9),'Non-Combat Calculations'!J19:K47,2,FALSE)),
                      IF(E13="Yes",((VLOOKUP((D22+O16),'Non-Combat Calculations'!O19:P35,2,FALSE))+D7+(VLOOKUP((U4+D9),'Non-Combat Calculations'!J19:K47,2,FALSE))+D11),(D11+(VLOOKUP((D22+O16),'Non-Combat Calculations'!O19:P35,2,FALSE))+D7+1)))))</f>
        <v>25</v>
      </c>
      <c r="V16" s="155">
        <f>IF(
    (IF(AND(E13="Yes",ISTEXT(VLOOKUP((V4+D9),'Non-Combat Calculations'!J19:K47,2,FALSE))),(VLOOKUP((V4+D9),'Non-Combat Calculations'!J19:K47,2,FALSE)),
          IF(E13="Yes",((VLOOKUP((D22+O16),'Non-Combat Calculations'!O19:P35,2,FALSE))+D7+(VLOOKUP((V4+D9),'Non-Combat Calculations'!J19:K47,2,FALSE))+D11),(D11+(VLOOKUP((D22+O16),'Non-Combat Calculations'!O19:P35,2,FALSE))+D7+1))))="Accused Killed","S",
              IF(
          IF(AND(E13="Yes",ISTEXT(VLOOKUP((V4+D9),'Non-Combat Calculations'!J19:K47,2,FALSE))),(VLOOKUP((V4+D9),'Non-Combat Calculations'!J19:K47,2,FALSE)),
              IF(E13="Yes",((VLOOKUP((D22+O16),'Non-Combat Calculations'!O19:P35,2,FALSE))+D7+(VLOOKUP((V4+D9),'Non-Combat Calculations'!J19:K47,2,FALSE))+D11),(D11+(VLOOKUP((D22+O16),'Non-Combat Calculations'!O19:P35,2,FALSE))+D7+1)))="Accused Freed","F",
                  IF(AND(E13="Yes",ISTEXT(VLOOKUP((V4+D9),'Non-Combat Calculations'!J19:K47,2,FALSE))),(VLOOKUP((V4+D9),'Non-Combat Calculations'!J19:K47,2,FALSE)),
                      IF(E13="Yes",((VLOOKUP((D22+O16),'Non-Combat Calculations'!O19:P35,2,FALSE))+D7+(VLOOKUP((V4+D9),'Non-Combat Calculations'!J19:K47,2,FALSE))+D11),(D11+(VLOOKUP((D22+O16),'Non-Combat Calculations'!O19:P35,2,FALSE))+D7+1)))))</f>
        <v>29</v>
      </c>
      <c r="W16" s="155">
        <f>IF(
    (IF(AND(E13="Yes",ISTEXT(VLOOKUP((W4+D9),'Non-Combat Calculations'!J19:K47,2,FALSE))),(VLOOKUP((W4+D9),'Non-Combat Calculations'!J19:K47,2,FALSE)),
          IF(E13="Yes",((VLOOKUP((D22+O16),'Non-Combat Calculations'!O19:P35,2,FALSE))+D7+(VLOOKUP((W4+D9),'Non-Combat Calculations'!J19:K47,2,FALSE))+D11),(D11+(VLOOKUP((D22+O16),'Non-Combat Calculations'!O19:P35,2,FALSE))+D7+1))))="Accused Killed","S",
              IF(
          IF(AND(E13="Yes",ISTEXT(VLOOKUP((W4+D9),'Non-Combat Calculations'!J19:K47,2,FALSE))),(VLOOKUP((W4+D9),'Non-Combat Calculations'!J19:K47,2,FALSE)),
              IF(E13="Yes",((VLOOKUP((D22+O16),'Non-Combat Calculations'!O19:P35,2,FALSE))+D7+(VLOOKUP((W4+D9),'Non-Combat Calculations'!J19:K47,2,FALSE))+D11),(D11+(VLOOKUP((D22+O16),'Non-Combat Calculations'!O19:P35,2,FALSE))+D7+1)))="Accused Freed","F",
                  IF(AND(E13="Yes",ISTEXT(VLOOKUP((W4+D9),'Non-Combat Calculations'!J19:K47,2,FALSE))),(VLOOKUP((W4+D9),'Non-Combat Calculations'!J19:K47,2,FALSE)),
                      IF(E13="Yes",((VLOOKUP((D22+O16),'Non-Combat Calculations'!O19:P35,2,FALSE))+D7+(VLOOKUP((W4+D9),'Non-Combat Calculations'!J19:K47,2,FALSE))+D11),(D11+(VLOOKUP((D22+O16),'Non-Combat Calculations'!O19:P35,2,FALSE))+D7+1)))))</f>
        <v>33</v>
      </c>
      <c r="X16" s="155">
        <f>IF(
    (IF(AND(E13="Yes",ISTEXT(VLOOKUP((X4+D9),'Non-Combat Calculations'!J19:K47,2,FALSE))),(VLOOKUP((X4+D9),'Non-Combat Calculations'!J19:K47,2,FALSE)),
          IF(E13="Yes",((VLOOKUP((D22+O16),'Non-Combat Calculations'!O19:P35,2,FALSE))+D7+(VLOOKUP((X4+D9),'Non-Combat Calculations'!J19:K47,2,FALSE))+D11),(D11+(VLOOKUP((D22+O16),'Non-Combat Calculations'!O19:P35,2,FALSE))+D7+1))))="Accused Killed","S",
              IF(
          IF(AND(E13="Yes",ISTEXT(VLOOKUP((X4+D9),'Non-Combat Calculations'!J19:K47,2,FALSE))),(VLOOKUP((X4+D9),'Non-Combat Calculations'!J19:K47,2,FALSE)),
              IF(E13="Yes",((VLOOKUP((D22+O16),'Non-Combat Calculations'!O19:P35,2,FALSE))+D7+(VLOOKUP((X4+D9),'Non-Combat Calculations'!J19:K47,2,FALSE))+D11),(D11+(VLOOKUP((D22+O16),'Non-Combat Calculations'!O19:P35,2,FALSE))+D7+1)))="Accused Freed","F",
                  IF(AND(E13="Yes",ISTEXT(VLOOKUP((X4+D9),'Non-Combat Calculations'!J19:K47,2,FALSE))),(VLOOKUP((X4+D9),'Non-Combat Calculations'!J19:K47,2,FALSE)),
                      IF(E13="Yes",((VLOOKUP((D22+O16),'Non-Combat Calculations'!O19:P35,2,FALSE))+D7+(VLOOKUP((X4+D9),'Non-Combat Calculations'!J19:K47,2,FALSE))+D11),(D11+(VLOOKUP((D22+O16),'Non-Combat Calculations'!O19:P35,2,FALSE))+D7+1)))))</f>
        <v>37</v>
      </c>
      <c r="Y16" s="155">
        <f>IF(
    (IF(AND(E13="Yes",ISTEXT(VLOOKUP((Y4+D9),'Non-Combat Calculations'!J19:K47,2,FALSE))),(VLOOKUP((Y4+D9),'Non-Combat Calculations'!J19:K47,2,FALSE)),
          IF(E13="Yes",((VLOOKUP((D22+O16),'Non-Combat Calculations'!O19:P35,2,FALSE))+D7+(VLOOKUP((Y4+D9),'Non-Combat Calculations'!J19:K47,2,FALSE))+D11),(D11+(VLOOKUP((D22+O16),'Non-Combat Calculations'!O19:P35,2,FALSE))+D7+1))))="Accused Killed","S",
              IF(
          IF(AND(E13="Yes",ISTEXT(VLOOKUP((Y4+D9),'Non-Combat Calculations'!J19:K47,2,FALSE))),(VLOOKUP((Y4+D9),'Non-Combat Calculations'!J19:K47,2,FALSE)),
              IF(E13="Yes",((VLOOKUP((D22+O16),'Non-Combat Calculations'!O19:P35,2,FALSE))+D7+(VLOOKUP((Y4+D9),'Non-Combat Calculations'!J19:K47,2,FALSE))+D11),(D11+(VLOOKUP((D22+O16),'Non-Combat Calculations'!O19:P35,2,FALSE))+D7+1)))="Accused Freed","F",
                  IF(AND(E13="Yes",ISTEXT(VLOOKUP((Y4+D9),'Non-Combat Calculations'!J19:K47,2,FALSE))),(VLOOKUP((Y4+D9),'Non-Combat Calculations'!J19:K47,2,FALSE)),
                      IF(E13="Yes",((VLOOKUP((D22+O16),'Non-Combat Calculations'!O19:P35,2,FALSE))+D7+(VLOOKUP((Y4+D9),'Non-Combat Calculations'!J19:K47,2,FALSE))+D11),(D11+(VLOOKUP((D22+O16),'Non-Combat Calculations'!O19:P35,2,FALSE))+D7+1)))))</f>
        <v>41</v>
      </c>
      <c r="Z16" s="155">
        <f>IF(
    (IF(AND(E13="Yes",ISTEXT(VLOOKUP((Z4+D9),'Non-Combat Calculations'!J19:K47,2,FALSE))),(VLOOKUP((Z4+D9),'Non-Combat Calculations'!J19:K47,2,FALSE)),
          IF(E13="Yes",((VLOOKUP((D22+O16),'Non-Combat Calculations'!O19:P35,2,FALSE))+D7+(VLOOKUP((Z4+D9),'Non-Combat Calculations'!J19:K47,2,FALSE))+D11),(D11+(VLOOKUP((D22+O16),'Non-Combat Calculations'!O19:P35,2,FALSE))+D7+1))))="Accused Killed","S",
              IF(
          IF(AND(E13="Yes",ISTEXT(VLOOKUP((Z4+D9),'Non-Combat Calculations'!J19:K47,2,FALSE))),(VLOOKUP((Z4+D9),'Non-Combat Calculations'!J19:K47,2,FALSE)),
              IF(E13="Yes",((VLOOKUP((D22+O16),'Non-Combat Calculations'!O19:P35,2,FALSE))+D7+(VLOOKUP((Z4+D9),'Non-Combat Calculations'!J19:K47,2,FALSE))+D11),(D11+(VLOOKUP((D22+O16),'Non-Combat Calculations'!O19:P35,2,FALSE))+D7+1)))="Accused Freed","F",
                  IF(AND(E13="Yes",ISTEXT(VLOOKUP((Z4+D9),'Non-Combat Calculations'!J19:K47,2,FALSE))),(VLOOKUP((Z4+D9),'Non-Combat Calculations'!J19:K47,2,FALSE)),
                      IF(E13="Yes",((VLOOKUP((D22+O16),'Non-Combat Calculations'!O19:P35,2,FALSE))+D7+(VLOOKUP((Z4+D9),'Non-Combat Calculations'!J19:K47,2,FALSE))+D11),(D11+(VLOOKUP((D22+O16),'Non-Combat Calculations'!O19:P35,2,FALSE))+D7+1)))))</f>
        <v>45</v>
      </c>
      <c r="AA16" s="155">
        <f>IF(
    (IF(AND(E13="Yes",ISTEXT(VLOOKUP((AA4+D9),'Non-Combat Calculations'!J19:K47,2,FALSE))),(VLOOKUP((AA4+D9),'Non-Combat Calculations'!J19:K47,2,FALSE)),
          IF(E13="Yes",((VLOOKUP((D22+O16),'Non-Combat Calculations'!O19:P35,2,FALSE))+D7+(VLOOKUP((AA4+D9),'Non-Combat Calculations'!J19:K47,2,FALSE))+D11),(D11+(VLOOKUP((D22+O16),'Non-Combat Calculations'!O19:P35,2,FALSE))+D7+1))))="Accused Killed","S",
              IF(
          IF(AND(E13="Yes",ISTEXT(VLOOKUP((AA4+D9),'Non-Combat Calculations'!J19:K47,2,FALSE))),(VLOOKUP((AA4+D9),'Non-Combat Calculations'!J19:K47,2,FALSE)),
              IF(E13="Yes",((VLOOKUP((D22+O16),'Non-Combat Calculations'!O19:P35,2,FALSE))+D7+(VLOOKUP((AA4+D9),'Non-Combat Calculations'!J19:K47,2,FALSE))+D11),(D11+(VLOOKUP((D22+O16),'Non-Combat Calculations'!O19:P35,2,FALSE))+D7+1)))="Accused Freed","F",
                  IF(AND(E13="Yes",ISTEXT(VLOOKUP((AA4+D9),'Non-Combat Calculations'!J19:K47,2,FALSE))),(VLOOKUP((AA4+D9),'Non-Combat Calculations'!J19:K47,2,FALSE)),
                      IF(E13="Yes",((VLOOKUP((D22+O16),'Non-Combat Calculations'!O19:P35,2,FALSE))+D7+(VLOOKUP((AA4+D9),'Non-Combat Calculations'!J19:K47,2,FALSE))+D11),(D11+(VLOOKUP((D22+O16),'Non-Combat Calculations'!O19:P35,2,FALSE))+D7+1)))))</f>
        <v>49</v>
      </c>
      <c r="AB16" s="160" t="str">
        <f>IF(
    (IF(AND(E13="Yes",ISTEXT(VLOOKUP((AB4+D9),'Non-Combat Calculations'!J19:K47,2,FALSE))),(VLOOKUP((AB4+D9),'Non-Combat Calculations'!J19:K47,2,FALSE)),
          IF(E13="Yes",((VLOOKUP((D22+O16),'Non-Combat Calculations'!O19:P35,2,FALSE))+D7+(VLOOKUP((AB4+D9),'Non-Combat Calculations'!J19:K47,2,FALSE))+D11),(D11+(VLOOKUP((D22+O16),'Non-Combat Calculations'!O19:P35,2,FALSE))+D7+1))))="Accused Killed","S",
              IF(
          IF(AND(E13="Yes",ISTEXT(VLOOKUP((AB4+D9),'Non-Combat Calculations'!J19:K47,2,FALSE))),(VLOOKUP((AB4+D9),'Non-Combat Calculations'!J19:K47,2,FALSE)),
              IF(E13="Yes",((VLOOKUP((D22+O16),'Non-Combat Calculations'!O19:P35,2,FALSE))+D7+(VLOOKUP((AB4+D9),'Non-Combat Calculations'!J19:K47,2,FALSE))+D11),(D11+(VLOOKUP((D22+O16),'Non-Combat Calculations'!O19:P35,2,FALSE))+D7+1)))="Accused Freed","F",
                  IF(AND(E13="Yes",ISTEXT(VLOOKUP((AB4+D9),'Non-Combat Calculations'!J19:K47,2,FALSE))),(VLOOKUP((AB4+D9),'Non-Combat Calculations'!J19:K47,2,FALSE)),
                      IF(E13="Yes",((VLOOKUP((D22+O16),'Non-Combat Calculations'!O19:P35,2,FALSE))+D7+(VLOOKUP((AB4+D9),'Non-Combat Calculations'!J19:K47,2,FALSE))+D11),(D11+(VLOOKUP((D22+O16),'Non-Combat Calculations'!O19:P35,2,FALSE))+D7+1)))))</f>
        <v>F</v>
      </c>
      <c r="AC16" s="181"/>
    </row>
    <row r="17" spans="1:29" ht="15.75" thickBot="1">
      <c r="A17" s="60"/>
      <c r="B17" s="60"/>
      <c r="C17" s="60"/>
      <c r="D17" s="60"/>
      <c r="E17" s="61"/>
      <c r="F17" s="61"/>
      <c r="G17" s="60"/>
      <c r="H17" s="60"/>
      <c r="I17" s="60"/>
      <c r="J17" s="60"/>
      <c r="K17" s="60"/>
      <c r="L17" s="60"/>
      <c r="M17" s="180"/>
      <c r="N17" s="65"/>
      <c r="O17" s="168">
        <v>12</v>
      </c>
      <c r="P17" s="169"/>
      <c r="Q17" s="170"/>
      <c r="R17" s="161" t="str">
        <f>IF(
    (IF(AND(E13="Yes",ISTEXT(VLOOKUP((R4+D9),'Non-Combat Calculations'!J19:K47,2,FALSE))),(VLOOKUP((R4+D9),'Non-Combat Calculations'!J19:K47,2,FALSE)),
          IF(E13="Yes",((VLOOKUP((D22+O17),'Non-Combat Calculations'!O19:P35,2,FALSE))+D7+(VLOOKUP((R4+D9),'Non-Combat Calculations'!J19:K47,2,FALSE))+D11),(D11+(VLOOKUP((D22+O17),'Non-Combat Calculations'!O19:P35,2,FALSE))+D7+1))))="Accused Killed","S",
              IF(
          IF(AND(E13="Yes",ISTEXT(VLOOKUP((R4+D9),'Non-Combat Calculations'!J19:K47,2,FALSE))),(VLOOKUP((R4+D9),'Non-Combat Calculations'!J19:K47,2,FALSE)),
              IF(E13="Yes",((VLOOKUP((D22+O17),'Non-Combat Calculations'!O19:P35,2,FALSE))+D7+(VLOOKUP((R4+D9),'Non-Combat Calculations'!J19:K47,2,FALSE))+D11),(D11+(VLOOKUP((D22+O17),'Non-Combat Calculations'!O19:P35,2,FALSE))+D7+1)))="Accused Freed","F",
                  IF(AND(E13="Yes",ISTEXT(VLOOKUP((R4+D9),'Non-Combat Calculations'!J19:K47,2,FALSE))),(VLOOKUP((R4+D9),'Non-Combat Calculations'!J19:K47,2,FALSE)),
                      IF(E13="Yes",((VLOOKUP((D22+O17),'Non-Combat Calculations'!O19:P35,2,FALSE))+D7+(VLOOKUP((R4+D9),'Non-Combat Calculations'!J19:K47,2,FALSE))+D11),(D11+(VLOOKUP((D22+O17),'Non-Combat Calculations'!O19:P35,2,FALSE))+D7+1)))))</f>
        <v>S</v>
      </c>
      <c r="S17" s="162">
        <f>IF(
    (IF(AND(E13="Yes",ISTEXT(VLOOKUP((S4+D9),'Non-Combat Calculations'!J19:K47,2,FALSE))),(VLOOKUP((S4+D9),'Non-Combat Calculations'!J19:K47,2,FALSE)),
          IF(E13="Yes",((VLOOKUP((D22+O17),'Non-Combat Calculations'!O19:P35,2,FALSE))+D7+(VLOOKUP((S4+D9),'Non-Combat Calculations'!J19:K47,2,FALSE))+D11),(D11+(VLOOKUP((D22+O17),'Non-Combat Calculations'!O19:P35,2,FALSE))+D7+1))))="Accused Killed","S",
              IF(
          IF(AND(E13="Yes",ISTEXT(VLOOKUP((S4+D9),'Non-Combat Calculations'!J19:K47,2,FALSE))),(VLOOKUP((S4+D9),'Non-Combat Calculations'!J19:K47,2,FALSE)),
              IF(E13="Yes",((VLOOKUP((D22+O17),'Non-Combat Calculations'!O19:P35,2,FALSE))+D7+(VLOOKUP((S4+D9),'Non-Combat Calculations'!J19:K47,2,FALSE))+D11),(D11+(VLOOKUP((D22+O17),'Non-Combat Calculations'!O19:P35,2,FALSE))+D7+1)))="Accused Freed","F",
                  IF(AND(E13="Yes",ISTEXT(VLOOKUP((S4+D9),'Non-Combat Calculations'!J19:K47,2,FALSE))),(VLOOKUP((S4+D9),'Non-Combat Calculations'!J19:K47,2,FALSE)),
                      IF(E13="Yes",((VLOOKUP((D22+O17),'Non-Combat Calculations'!O19:P35,2,FALSE))+D7+(VLOOKUP((S4+D9),'Non-Combat Calculations'!J19:K47,2,FALSE))+D11),(D11+(VLOOKUP((D22+O17),'Non-Combat Calculations'!O19:P35,2,FALSE))+D7+1)))))</f>
        <v>17</v>
      </c>
      <c r="T17" s="162">
        <f>IF(
    (IF(AND(E13="Yes",ISTEXT(VLOOKUP((T4+D9),'Non-Combat Calculations'!J19:K47,2,FALSE))),(VLOOKUP((T4+D9),'Non-Combat Calculations'!J19:K47,2,FALSE)),
          IF(E13="Yes",((VLOOKUP((D22+O17),'Non-Combat Calculations'!O19:P35,2,FALSE))+D7+(VLOOKUP((T4+D9),'Non-Combat Calculations'!J19:K47,2,FALSE))+D11),(D11+(VLOOKUP((D22+O17),'Non-Combat Calculations'!O19:P35,2,FALSE))+D7+1))))="Accused Killed","S",
              IF(
          IF(AND(E13="Yes",ISTEXT(VLOOKUP((T4+D9),'Non-Combat Calculations'!J19:K47,2,FALSE))),(VLOOKUP((T4+D9),'Non-Combat Calculations'!J19:K47,2,FALSE)),
              IF(E13="Yes",((VLOOKUP((D22+O17),'Non-Combat Calculations'!O19:P35,2,FALSE))+D7+(VLOOKUP((T4+D9),'Non-Combat Calculations'!J19:K47,2,FALSE))+D11),(D11+(VLOOKUP((D22+O17),'Non-Combat Calculations'!O19:P35,2,FALSE))+D7+1)))="Accused Freed","F",
                  IF(AND(E13="Yes",ISTEXT(VLOOKUP((T4+D9),'Non-Combat Calculations'!J19:K47,2,FALSE))),(VLOOKUP((T4+D9),'Non-Combat Calculations'!J19:K47,2,FALSE)),
                      IF(E13="Yes",((VLOOKUP((D22+O17),'Non-Combat Calculations'!O19:P35,2,FALSE))+D7+(VLOOKUP((T4+D9),'Non-Combat Calculations'!J19:K47,2,FALSE))+D11),(D11+(VLOOKUP((D22+O17),'Non-Combat Calculations'!O19:P35,2,FALSE))+D7+1)))))</f>
        <v>21</v>
      </c>
      <c r="U17" s="162">
        <f>IF(
    (IF(AND(E13="Yes",ISTEXT(VLOOKUP((U4+D9),'Non-Combat Calculations'!J19:K47,2,FALSE))),(VLOOKUP((U4+D9),'Non-Combat Calculations'!J19:K47,2,FALSE)),
          IF(E13="Yes",((VLOOKUP((D22+O17),'Non-Combat Calculations'!O19:P35,2,FALSE))+D7+(VLOOKUP((U4+D9),'Non-Combat Calculations'!J19:K47,2,FALSE))+D11),(D11+(VLOOKUP((D22+O17),'Non-Combat Calculations'!O19:P35,2,FALSE))+D7+1))))="Accused Killed","S",
              IF(
          IF(AND(E13="Yes",ISTEXT(VLOOKUP((U4+D9),'Non-Combat Calculations'!J19:K47,2,FALSE))),(VLOOKUP((U4+D9),'Non-Combat Calculations'!J19:K47,2,FALSE)),
              IF(E13="Yes",((VLOOKUP((D22+O17),'Non-Combat Calculations'!O19:P35,2,FALSE))+D7+(VLOOKUP((U4+D9),'Non-Combat Calculations'!J19:K47,2,FALSE))+D11),(D11+(VLOOKUP((D22+O17),'Non-Combat Calculations'!O19:P35,2,FALSE))+D7+1)))="Accused Freed","F",
                  IF(AND(E13="Yes",ISTEXT(VLOOKUP((U4+D9),'Non-Combat Calculations'!J19:K47,2,FALSE))),(VLOOKUP((U4+D9),'Non-Combat Calculations'!J19:K47,2,FALSE)),
                      IF(E13="Yes",((VLOOKUP((D22+O17),'Non-Combat Calculations'!O19:P35,2,FALSE))+D7+(VLOOKUP((U4+D9),'Non-Combat Calculations'!J19:K47,2,FALSE))+D11),(D11+(VLOOKUP((D22+O17),'Non-Combat Calculations'!O19:P35,2,FALSE))+D7+1)))))</f>
        <v>25</v>
      </c>
      <c r="V17" s="162">
        <f>IF(
    (IF(AND(E13="Yes",ISTEXT(VLOOKUP((V4+D9),'Non-Combat Calculations'!J19:K47,2,FALSE))),(VLOOKUP((V4+D9),'Non-Combat Calculations'!J19:K47,2,FALSE)),
          IF(E13="Yes",((VLOOKUP((D22+O17),'Non-Combat Calculations'!O19:P35,2,FALSE))+D7+(VLOOKUP((V4+D9),'Non-Combat Calculations'!J19:K47,2,FALSE))+D11),(D11+(VLOOKUP((D22+O17),'Non-Combat Calculations'!O19:P35,2,FALSE))+D7+1))))="Accused Killed","S",
              IF(
          IF(AND(E13="Yes",ISTEXT(VLOOKUP((V4+D9),'Non-Combat Calculations'!J19:K47,2,FALSE))),(VLOOKUP((V4+D9),'Non-Combat Calculations'!J19:K47,2,FALSE)),
              IF(E13="Yes",((VLOOKUP((D22+O17),'Non-Combat Calculations'!O19:P35,2,FALSE))+D7+(VLOOKUP((V4+D9),'Non-Combat Calculations'!J19:K47,2,FALSE))+D11),(D11+(VLOOKUP((D22+O17),'Non-Combat Calculations'!O19:P35,2,FALSE))+D7+1)))="Accused Freed","F",
                  IF(AND(E13="Yes",ISTEXT(VLOOKUP((V4+D9),'Non-Combat Calculations'!J19:K47,2,FALSE))),(VLOOKUP((V4+D9),'Non-Combat Calculations'!J19:K47,2,FALSE)),
                      IF(E13="Yes",((VLOOKUP((D22+O17),'Non-Combat Calculations'!O19:P35,2,FALSE))+D7+(VLOOKUP((V4+D9),'Non-Combat Calculations'!J19:K47,2,FALSE))+D11),(D11+(VLOOKUP((D22+O17),'Non-Combat Calculations'!O19:P35,2,FALSE))+D7+1)))))</f>
        <v>29</v>
      </c>
      <c r="W17" s="162">
        <f>IF(
    (IF(AND(E13="Yes",ISTEXT(VLOOKUP((W4+D9),'Non-Combat Calculations'!J19:K47,2,FALSE))),(VLOOKUP((W4+D9),'Non-Combat Calculations'!J19:K47,2,FALSE)),
          IF(E13="Yes",((VLOOKUP((D22+O17),'Non-Combat Calculations'!O19:P35,2,FALSE))+D7+(VLOOKUP((W4+D9),'Non-Combat Calculations'!J19:K47,2,FALSE))+D11),(D11+(VLOOKUP((D22+O17),'Non-Combat Calculations'!O19:P35,2,FALSE))+D7+1))))="Accused Killed","S",
              IF(
          IF(AND(E13="Yes",ISTEXT(VLOOKUP((W4+D9),'Non-Combat Calculations'!J19:K47,2,FALSE))),(VLOOKUP((W4+D9),'Non-Combat Calculations'!J19:K47,2,FALSE)),
              IF(E13="Yes",((VLOOKUP((D22+O17),'Non-Combat Calculations'!O19:P35,2,FALSE))+D7+(VLOOKUP((W4+D9),'Non-Combat Calculations'!J19:K47,2,FALSE))+D11),(D11+(VLOOKUP((D22+O17),'Non-Combat Calculations'!O19:P35,2,FALSE))+D7+1)))="Accused Freed","F",
                  IF(AND(E13="Yes",ISTEXT(VLOOKUP((W4+D9),'Non-Combat Calculations'!J19:K47,2,FALSE))),(VLOOKUP((W4+D9),'Non-Combat Calculations'!J19:K47,2,FALSE)),
                      IF(E13="Yes",((VLOOKUP((D22+O17),'Non-Combat Calculations'!O19:P35,2,FALSE))+D7+(VLOOKUP((W4+D9),'Non-Combat Calculations'!J19:K47,2,FALSE))+D11),(D11+(VLOOKUP((D22+O17),'Non-Combat Calculations'!O19:P35,2,FALSE))+D7+1)))))</f>
        <v>33</v>
      </c>
      <c r="X17" s="162">
        <f>IF(
    (IF(AND(E13="Yes",ISTEXT(VLOOKUP((X4+D9),'Non-Combat Calculations'!J19:K47,2,FALSE))),(VLOOKUP((X4+D9),'Non-Combat Calculations'!J19:K47,2,FALSE)),
          IF(E13="Yes",((VLOOKUP((D22+O17),'Non-Combat Calculations'!O19:P35,2,FALSE))+D7+(VLOOKUP((X4+D9),'Non-Combat Calculations'!J19:K47,2,FALSE))+D11),(D11+(VLOOKUP((D22+O17),'Non-Combat Calculations'!O19:P35,2,FALSE))+D7+1))))="Accused Killed","S",
              IF(
          IF(AND(E13="Yes",ISTEXT(VLOOKUP((X4+D9),'Non-Combat Calculations'!J19:K47,2,FALSE))),(VLOOKUP((X4+D9),'Non-Combat Calculations'!J19:K47,2,FALSE)),
              IF(E13="Yes",((VLOOKUP((D22+O17),'Non-Combat Calculations'!O19:P35,2,FALSE))+D7+(VLOOKUP((X4+D9),'Non-Combat Calculations'!J19:K47,2,FALSE))+D11),(D11+(VLOOKUP((D22+O17),'Non-Combat Calculations'!O19:P35,2,FALSE))+D7+1)))="Accused Freed","F",
                  IF(AND(E13="Yes",ISTEXT(VLOOKUP((X4+D9),'Non-Combat Calculations'!J19:K47,2,FALSE))),(VLOOKUP((X4+D9),'Non-Combat Calculations'!J19:K47,2,FALSE)),
                      IF(E13="Yes",((VLOOKUP((D22+O17),'Non-Combat Calculations'!O19:P35,2,FALSE))+D7+(VLOOKUP((X4+D9),'Non-Combat Calculations'!J19:K47,2,FALSE))+D11),(D11+(VLOOKUP((D22+O17),'Non-Combat Calculations'!O19:P35,2,FALSE))+D7+1)))))</f>
        <v>37</v>
      </c>
      <c r="Y17" s="162">
        <f>IF(
    (IF(AND(E13="Yes",ISTEXT(VLOOKUP((Y4+D9),'Non-Combat Calculations'!J19:K47,2,FALSE))),(VLOOKUP((Y4+D9),'Non-Combat Calculations'!J19:K47,2,FALSE)),
          IF(E13="Yes",((VLOOKUP((D22+O17),'Non-Combat Calculations'!O19:P35,2,FALSE))+D7+(VLOOKUP((Y4+D9),'Non-Combat Calculations'!J19:K47,2,FALSE))+D11),(D11+(VLOOKUP((D22+O17),'Non-Combat Calculations'!O19:P35,2,FALSE))+D7+1))))="Accused Killed","S",
              IF(
          IF(AND(E13="Yes",ISTEXT(VLOOKUP((Y4+D9),'Non-Combat Calculations'!J19:K47,2,FALSE))),(VLOOKUP((Y4+D9),'Non-Combat Calculations'!J19:K47,2,FALSE)),
              IF(E13="Yes",((VLOOKUP((D22+O17),'Non-Combat Calculations'!O19:P35,2,FALSE))+D7+(VLOOKUP((Y4+D9),'Non-Combat Calculations'!J19:K47,2,FALSE))+D11),(D11+(VLOOKUP((D22+O17),'Non-Combat Calculations'!O19:P35,2,FALSE))+D7+1)))="Accused Freed","F",
                  IF(AND(E13="Yes",ISTEXT(VLOOKUP((Y4+D9),'Non-Combat Calculations'!J19:K47,2,FALSE))),(VLOOKUP((Y4+D9),'Non-Combat Calculations'!J19:K47,2,FALSE)),
                      IF(E13="Yes",((VLOOKUP((D22+O17),'Non-Combat Calculations'!O19:P35,2,FALSE))+D7+(VLOOKUP((Y4+D9),'Non-Combat Calculations'!J19:K47,2,FALSE))+D11),(D11+(VLOOKUP((D22+O17),'Non-Combat Calculations'!O19:P35,2,FALSE))+D7+1)))))</f>
        <v>41</v>
      </c>
      <c r="Z17" s="162">
        <f>IF(
    (IF(AND(E13="Yes",ISTEXT(VLOOKUP((Z4+D9),'Non-Combat Calculations'!J19:K47,2,FALSE))),(VLOOKUP((Z4+D9),'Non-Combat Calculations'!J19:K47,2,FALSE)),
          IF(E13="Yes",((VLOOKUP((D22+O17),'Non-Combat Calculations'!O19:P35,2,FALSE))+D7+(VLOOKUP((Z4+D9),'Non-Combat Calculations'!J19:K47,2,FALSE))+D11),(D11+(VLOOKUP((D22+O17),'Non-Combat Calculations'!O19:P35,2,FALSE))+D7+1))))="Accused Killed","S",
              IF(
          IF(AND(E13="Yes",ISTEXT(VLOOKUP((Z4+D9),'Non-Combat Calculations'!J19:K47,2,FALSE))),(VLOOKUP((Z4+D9),'Non-Combat Calculations'!J19:K47,2,FALSE)),
              IF(E13="Yes",((VLOOKUP((D22+O17),'Non-Combat Calculations'!O19:P35,2,FALSE))+D7+(VLOOKUP((Z4+D9),'Non-Combat Calculations'!J19:K47,2,FALSE))+D11),(D11+(VLOOKUP((D22+O17),'Non-Combat Calculations'!O19:P35,2,FALSE))+D7+1)))="Accused Freed","F",
                  IF(AND(E13="Yes",ISTEXT(VLOOKUP((Z4+D9),'Non-Combat Calculations'!J19:K47,2,FALSE))),(VLOOKUP((Z4+D9),'Non-Combat Calculations'!J19:K47,2,FALSE)),
                      IF(E13="Yes",((VLOOKUP((D22+O17),'Non-Combat Calculations'!O19:P35,2,FALSE))+D7+(VLOOKUP((Z4+D9),'Non-Combat Calculations'!J19:K47,2,FALSE))+D11),(D11+(VLOOKUP((D22+O17),'Non-Combat Calculations'!O19:P35,2,FALSE))+D7+1)))))</f>
        <v>45</v>
      </c>
      <c r="AA17" s="162">
        <f>IF(
    (IF(AND(E13="Yes",ISTEXT(VLOOKUP((AA4+D9),'Non-Combat Calculations'!J19:K47,2,FALSE))),(VLOOKUP((AA4+D9),'Non-Combat Calculations'!J19:K47,2,FALSE)),
          IF(E13="Yes",((VLOOKUP((D22+O17),'Non-Combat Calculations'!O19:P35,2,FALSE))+D7+(VLOOKUP((AA4+D9),'Non-Combat Calculations'!J19:K47,2,FALSE))+D11),(D11+(VLOOKUP((D22+O17),'Non-Combat Calculations'!O19:P35,2,FALSE))+D7+1))))="Accused Killed","S",
              IF(
          IF(AND(E13="Yes",ISTEXT(VLOOKUP((AA4+D9),'Non-Combat Calculations'!J19:K47,2,FALSE))),(VLOOKUP((AA4+D9),'Non-Combat Calculations'!J19:K47,2,FALSE)),
              IF(E13="Yes",((VLOOKUP((D22+O17),'Non-Combat Calculations'!O19:P35,2,FALSE))+D7+(VLOOKUP((AA4+D9),'Non-Combat Calculations'!J19:K47,2,FALSE))+D11),(D11+(VLOOKUP((D22+O17),'Non-Combat Calculations'!O19:P35,2,FALSE))+D7+1)))="Accused Freed","F",
                  IF(AND(E13="Yes",ISTEXT(VLOOKUP((AA4+D9),'Non-Combat Calculations'!J19:K47,2,FALSE))),(VLOOKUP((AA4+D9),'Non-Combat Calculations'!J19:K47,2,FALSE)),
                      IF(E13="Yes",((VLOOKUP((D22+O17),'Non-Combat Calculations'!O19:P35,2,FALSE))+D7+(VLOOKUP((AA4+D9),'Non-Combat Calculations'!J19:K47,2,FALSE))+D11),(D11+(VLOOKUP((D22+O17),'Non-Combat Calculations'!O19:P35,2,FALSE))+D7+1)))))</f>
        <v>49</v>
      </c>
      <c r="AB17" s="163" t="str">
        <f>IF(
    (IF(AND(E13="Yes",ISTEXT(VLOOKUP((AB4+D9),'Non-Combat Calculations'!J19:K47,2,FALSE))),(VLOOKUP((AB4+D9),'Non-Combat Calculations'!J19:K47,2,FALSE)),
          IF(E13="Yes",((VLOOKUP((D22+O17),'Non-Combat Calculations'!O19:P35,2,FALSE))+D7+(VLOOKUP((AB4+D9),'Non-Combat Calculations'!J19:K47,2,FALSE))+D11),(D11+(VLOOKUP((D22+O17),'Non-Combat Calculations'!O19:P35,2,FALSE))+D7+1))))="Accused Killed","S",
              IF(
          IF(AND(E13="Yes",ISTEXT(VLOOKUP((AB4+D9),'Non-Combat Calculations'!J19:K47,2,FALSE))),(VLOOKUP((AB4+D9),'Non-Combat Calculations'!J19:K47,2,FALSE)),
              IF(E13="Yes",((VLOOKUP((D22+O17),'Non-Combat Calculations'!O19:P35,2,FALSE))+D7+(VLOOKUP((AB4+D9),'Non-Combat Calculations'!J19:K47,2,FALSE))+D11),(D11+(VLOOKUP((D22+O17),'Non-Combat Calculations'!O19:P35,2,FALSE))+D7+1)))="Accused Freed","F",
                  IF(AND(E13="Yes",ISTEXT(VLOOKUP((AB4+D9),'Non-Combat Calculations'!J19:K47,2,FALSE))),(VLOOKUP((AB4+D9),'Non-Combat Calculations'!J19:K47,2,FALSE)),
                      IF(E13="Yes",((VLOOKUP((D22+O17),'Non-Combat Calculations'!O19:P35,2,FALSE))+D7+(VLOOKUP((AB4+D9),'Non-Combat Calculations'!J19:K47,2,FALSE))+D11),(D11+(VLOOKUP((D22+O17),'Non-Combat Calculations'!O19:P35,2,FALSE))+D7+1)))))</f>
        <v>F</v>
      </c>
      <c r="AC17" s="181"/>
    </row>
    <row r="18" spans="1:29" ht="15">
      <c r="A18" s="147" t="s">
        <v>360</v>
      </c>
      <c r="B18" s="148"/>
      <c r="C18" s="149"/>
      <c r="D18" s="150"/>
      <c r="E18" s="61"/>
      <c r="F18" s="61"/>
      <c r="G18" s="60"/>
      <c r="H18" s="60"/>
      <c r="I18" s="60"/>
      <c r="J18" s="60"/>
      <c r="K18" s="60"/>
      <c r="L18" s="60"/>
      <c r="M18" s="180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181"/>
    </row>
    <row r="19" spans="1:29" ht="15.75" thickBot="1">
      <c r="A19" s="151"/>
      <c r="B19" s="152"/>
      <c r="C19" s="153"/>
      <c r="D19" s="154"/>
      <c r="E19" s="61"/>
      <c r="F19" s="61"/>
      <c r="G19" s="60"/>
      <c r="H19" s="60"/>
      <c r="I19" s="60"/>
      <c r="J19" s="60"/>
      <c r="K19" s="60"/>
      <c r="L19" s="60"/>
      <c r="M19" s="180"/>
      <c r="N19" s="65"/>
      <c r="O19" s="65"/>
      <c r="P19" s="65"/>
      <c r="Q19" s="65"/>
      <c r="R19" s="65"/>
      <c r="S19" s="65"/>
      <c r="T19" s="183" t="s">
        <v>365</v>
      </c>
      <c r="U19" s="183"/>
      <c r="V19" s="183"/>
      <c r="W19" s="183"/>
      <c r="X19" s="183" t="s">
        <v>366</v>
      </c>
      <c r="Y19" s="183"/>
      <c r="Z19" s="183"/>
      <c r="AA19" s="183"/>
      <c r="AB19" s="65"/>
      <c r="AC19" s="181"/>
    </row>
    <row r="20" spans="1:29" ht="15.75" thickBot="1">
      <c r="A20" s="60"/>
      <c r="B20" s="60"/>
      <c r="C20" s="60"/>
      <c r="D20" s="60"/>
      <c r="E20" s="61"/>
      <c r="F20" s="61"/>
      <c r="G20" s="60"/>
      <c r="H20" s="60"/>
      <c r="I20" s="60"/>
      <c r="J20" s="60"/>
      <c r="K20" s="60"/>
      <c r="L20" s="60"/>
      <c r="M20" s="184"/>
      <c r="N20" s="185"/>
      <c r="O20" s="185"/>
      <c r="P20" s="185"/>
      <c r="Q20" s="185"/>
      <c r="R20" s="185"/>
      <c r="S20" s="185"/>
      <c r="T20" s="185"/>
      <c r="U20" s="185"/>
      <c r="V20" s="185"/>
      <c r="W20" s="185"/>
      <c r="X20" s="185"/>
      <c r="Y20" s="185"/>
      <c r="Z20" s="185"/>
      <c r="AA20" s="185"/>
      <c r="AB20" s="185"/>
      <c r="AC20" s="186"/>
    </row>
    <row r="21" spans="1:29" ht="15.75" thickBot="1">
      <c r="A21" s="60"/>
      <c r="B21" s="60"/>
      <c r="C21" s="60"/>
      <c r="D21" s="60"/>
      <c r="E21" s="61"/>
      <c r="F21" s="61"/>
      <c r="G21" s="60"/>
      <c r="H21" s="60"/>
      <c r="I21" s="60"/>
      <c r="J21" s="60"/>
      <c r="K21" s="60"/>
      <c r="L21" s="60"/>
      <c r="M21" s="52"/>
    </row>
    <row r="22" spans="1:29" ht="16.5" thickBot="1">
      <c r="A22" s="66" t="s">
        <v>332</v>
      </c>
      <c r="B22" s="67"/>
      <c r="C22" s="68"/>
      <c r="D22" s="70">
        <f>(VLOOKUP(D5,SENATORS_table,3,FALSE))-(VLOOKUP(D3,SENATORS_table,3,FALSE))</f>
        <v>2</v>
      </c>
      <c r="E22" s="140" t="s">
        <v>354</v>
      </c>
      <c r="F22" s="62"/>
      <c r="G22" s="60"/>
      <c r="H22" s="60"/>
      <c r="I22" s="60"/>
      <c r="J22" s="60"/>
      <c r="K22" s="60"/>
      <c r="L22" s="60"/>
      <c r="M22" s="52"/>
    </row>
    <row r="23" spans="1:29" ht="15.75" thickBot="1">
      <c r="A23" s="60"/>
      <c r="B23" s="60"/>
      <c r="C23" s="60"/>
      <c r="D23" s="63"/>
      <c r="E23" s="64"/>
      <c r="F23" s="64"/>
      <c r="G23" s="60"/>
      <c r="H23" s="60"/>
      <c r="I23" s="60"/>
      <c r="J23" s="60"/>
      <c r="K23" s="60"/>
      <c r="L23" s="60"/>
      <c r="M23" s="52"/>
    </row>
    <row r="24" spans="1:29" ht="16.5" thickBot="1">
      <c r="A24" s="144" t="s">
        <v>367</v>
      </c>
      <c r="B24" s="145"/>
      <c r="C24" s="144"/>
      <c r="D24" s="146">
        <f ca="1">RANDBETWEEN(2,12)</f>
        <v>10</v>
      </c>
      <c r="E24" s="140" t="s">
        <v>353</v>
      </c>
      <c r="F24" s="62"/>
      <c r="G24" s="60"/>
      <c r="H24" s="60"/>
      <c r="I24" s="60"/>
      <c r="J24" s="60"/>
      <c r="K24" s="60"/>
      <c r="L24" s="60"/>
      <c r="M24" s="52"/>
    </row>
    <row r="25" spans="1:29" ht="15" customHeight="1">
      <c r="A25" s="60"/>
      <c r="B25" s="60"/>
      <c r="C25" s="60"/>
      <c r="D25" s="61"/>
      <c r="E25" s="61"/>
      <c r="F25" s="61"/>
      <c r="G25" s="60"/>
      <c r="H25" s="60"/>
      <c r="I25" s="60"/>
      <c r="J25" s="60"/>
      <c r="K25" s="60"/>
      <c r="L25" s="60"/>
      <c r="M25" s="52"/>
      <c r="P25" s="139"/>
    </row>
    <row r="26" spans="1:29" ht="15.75" thickBot="1">
      <c r="A26" s="60"/>
      <c r="B26" s="60"/>
      <c r="C26" s="60"/>
      <c r="D26" s="64"/>
      <c r="E26" s="64"/>
      <c r="F26" s="64"/>
      <c r="G26" s="60"/>
      <c r="H26" s="60"/>
      <c r="I26" s="60"/>
      <c r="J26" s="60"/>
      <c r="K26" s="60"/>
      <c r="L26" s="60"/>
      <c r="M26" s="52"/>
    </row>
    <row r="27" spans="1:29" ht="16.5" thickBot="1">
      <c r="A27" s="66" t="s">
        <v>339</v>
      </c>
      <c r="B27" s="67"/>
      <c r="C27" s="68"/>
      <c r="D27" s="70">
        <f ca="1">VLOOKUP((D22+D24), 'Non-Combat Calculations'!O19:P35, 2, FALSE)</f>
        <v>20</v>
      </c>
      <c r="E27" s="140" t="s">
        <v>352</v>
      </c>
      <c r="F27" s="62"/>
      <c r="G27" s="60"/>
      <c r="H27" s="60"/>
      <c r="I27" s="60"/>
      <c r="J27" s="60"/>
      <c r="K27" s="60"/>
      <c r="L27" s="60"/>
      <c r="M27" s="52"/>
    </row>
    <row r="28" spans="1:29" ht="15">
      <c r="A28" s="60"/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52"/>
    </row>
    <row r="29" spans="1:29" ht="15.75" thickBot="1">
      <c r="A29" s="60"/>
      <c r="B29" s="60"/>
      <c r="C29" s="60"/>
      <c r="D29" s="60"/>
      <c r="E29" s="61"/>
      <c r="F29" s="61"/>
      <c r="G29" s="61"/>
      <c r="H29" s="60"/>
      <c r="I29" s="60"/>
      <c r="J29" s="60"/>
      <c r="K29" s="60"/>
      <c r="L29" s="60"/>
      <c r="M29" s="52"/>
    </row>
    <row r="30" spans="1:29" ht="15.75" thickBot="1">
      <c r="A30" s="144" t="s">
        <v>361</v>
      </c>
      <c r="B30" s="145"/>
      <c r="C30" s="145"/>
      <c r="D30" s="146">
        <f ca="1">RANDBETWEEN(2,12)</f>
        <v>4</v>
      </c>
      <c r="E30" s="61"/>
      <c r="F30" s="61"/>
      <c r="G30" s="61"/>
      <c r="H30" s="60"/>
      <c r="I30" s="60"/>
      <c r="J30" s="60"/>
      <c r="K30" s="60"/>
      <c r="L30" s="60"/>
      <c r="M30" s="52"/>
    </row>
    <row r="31" spans="1:29" ht="15" customHeight="1" thickBot="1">
      <c r="A31" s="60"/>
      <c r="B31" s="60"/>
      <c r="C31" s="60"/>
      <c r="D31" s="61"/>
      <c r="E31" s="61"/>
      <c r="F31" s="61"/>
      <c r="G31" s="61"/>
      <c r="H31" s="60"/>
      <c r="I31" s="60"/>
      <c r="J31" s="60"/>
      <c r="K31" s="60"/>
      <c r="L31" s="60"/>
      <c r="M31" s="52"/>
    </row>
    <row r="32" spans="1:29" ht="15.75" thickBot="1">
      <c r="A32" s="54" t="s">
        <v>335</v>
      </c>
      <c r="B32" s="55"/>
      <c r="C32" s="56"/>
      <c r="D32" s="57">
        <f ca="1">VLOOKUP((D30+D9),'Non-Combat Calculations'!J19:K47,2,FALSE)</f>
        <v>-12</v>
      </c>
      <c r="E32" s="62"/>
      <c r="F32" s="62"/>
      <c r="G32" s="61"/>
      <c r="H32" s="60"/>
      <c r="I32" s="60"/>
      <c r="J32" s="60"/>
      <c r="K32" s="60"/>
      <c r="L32" s="60"/>
      <c r="M32" s="52"/>
    </row>
    <row r="33" spans="1:13" ht="15">
      <c r="A33" s="60"/>
      <c r="B33" s="60"/>
      <c r="C33" s="60"/>
      <c r="D33" s="60"/>
      <c r="E33" s="61"/>
      <c r="F33" s="61"/>
      <c r="G33" s="61"/>
      <c r="H33" s="60"/>
      <c r="I33" s="60"/>
      <c r="J33" s="60"/>
      <c r="K33" s="60"/>
      <c r="L33" s="60"/>
      <c r="M33" s="52"/>
    </row>
    <row r="34" spans="1:13" ht="15.75" thickBot="1">
      <c r="A34" s="61"/>
      <c r="B34" s="61"/>
      <c r="C34" s="61"/>
      <c r="D34" s="61"/>
      <c r="E34" s="61"/>
      <c r="F34" s="61"/>
      <c r="G34" s="61"/>
      <c r="H34" s="60"/>
      <c r="I34" s="60"/>
      <c r="J34" s="60"/>
      <c r="K34" s="60"/>
      <c r="L34" s="60"/>
      <c r="M34" s="52"/>
    </row>
    <row r="35" spans="1:13" ht="16.5" thickBot="1">
      <c r="A35" s="66" t="s">
        <v>368</v>
      </c>
      <c r="B35" s="67"/>
      <c r="C35" s="67"/>
      <c r="D35" s="68"/>
      <c r="E35" s="70">
        <f ca="1">IF(AND(E13="Yes",ISTEXT(D32)),D32,IF(E13="Yes",(D27+D7+D32+D11),(D11+D27+D7+1)))</f>
        <v>21</v>
      </c>
      <c r="F35" s="141" t="s">
        <v>358</v>
      </c>
      <c r="G35" s="61"/>
      <c r="H35" s="60"/>
      <c r="I35" s="60"/>
      <c r="J35" s="60"/>
      <c r="K35" s="60"/>
      <c r="L35" s="60"/>
      <c r="M35" s="52"/>
    </row>
    <row r="36" spans="1:13" ht="15.75" thickBot="1">
      <c r="A36" s="61"/>
      <c r="B36" s="61"/>
      <c r="C36" s="61"/>
      <c r="D36" s="61"/>
      <c r="E36" s="61"/>
      <c r="F36" s="61"/>
      <c r="G36" s="61"/>
      <c r="H36" s="60"/>
      <c r="I36" s="60"/>
      <c r="J36" s="60"/>
      <c r="K36" s="60"/>
      <c r="L36" s="60"/>
      <c r="M36" s="52"/>
    </row>
    <row r="37" spans="1:13" ht="16.5" thickBot="1">
      <c r="A37" s="66" t="s">
        <v>344</v>
      </c>
      <c r="B37" s="67"/>
      <c r="C37" s="67"/>
      <c r="D37" s="68"/>
      <c r="E37" s="69">
        <f ca="1">IF(E35&lt;0,1,IF(E35="Accused Killed",1,IF(E35="Accused Freed",0,IF(1-(E35/E15)&lt;0,0,1-(E35/E15)))))</f>
        <v>0.44736842105263153</v>
      </c>
      <c r="F37" s="143" t="s">
        <v>362</v>
      </c>
      <c r="G37" s="60"/>
      <c r="H37" s="60"/>
      <c r="I37" s="60"/>
      <c r="J37" s="60"/>
      <c r="K37" s="60"/>
      <c r="L37" s="60"/>
      <c r="M37" s="52"/>
    </row>
    <row r="38" spans="1:13" ht="15">
      <c r="A38" s="60"/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52"/>
    </row>
    <row r="39" spans="1:13" ht="15">
      <c r="A39" s="60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52"/>
    </row>
    <row r="40" spans="1:13" ht="15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</row>
    <row r="41" spans="1:13" ht="15">
      <c r="A41" s="52"/>
      <c r="B41" s="52"/>
      <c r="C41" s="52"/>
      <c r="D41" s="52"/>
      <c r="E41" s="52"/>
      <c r="G41" s="52"/>
      <c r="H41" s="52"/>
      <c r="I41" s="52"/>
      <c r="J41" s="52"/>
      <c r="K41" s="52"/>
      <c r="L41" s="52"/>
      <c r="M41" s="52"/>
    </row>
    <row r="42" spans="1:13" ht="15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</row>
    <row r="43" spans="1:13" ht="15">
      <c r="A43" s="52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</row>
    <row r="44" spans="1:13" ht="15">
      <c r="A44" s="52"/>
      <c r="B44" s="52"/>
      <c r="C44" s="52"/>
      <c r="D44" s="52"/>
      <c r="E44" s="52"/>
      <c r="F44" s="52"/>
      <c r="G44" s="52"/>
      <c r="H44" s="52"/>
    </row>
    <row r="45" spans="1:13" ht="15">
      <c r="A45" s="52"/>
      <c r="B45" s="52"/>
      <c r="C45" s="52"/>
      <c r="D45" s="52"/>
      <c r="E45" s="52"/>
      <c r="F45" s="52"/>
      <c r="G45" s="52"/>
      <c r="H45" s="52"/>
    </row>
    <row r="46" spans="1:13" ht="15">
      <c r="A46" s="52"/>
      <c r="B46" s="52"/>
      <c r="C46" s="52"/>
      <c r="D46" s="52"/>
      <c r="E46" s="52"/>
      <c r="F46" s="52"/>
      <c r="G46" s="52"/>
      <c r="H46" s="52"/>
    </row>
    <row r="47" spans="1:13" ht="15">
      <c r="A47" s="52"/>
      <c r="B47" s="52"/>
      <c r="C47" s="52"/>
      <c r="D47" s="52"/>
      <c r="E47" s="52"/>
      <c r="F47" s="52"/>
      <c r="G47" s="52"/>
      <c r="H47" s="52"/>
    </row>
    <row r="48" spans="1:13" ht="15">
      <c r="A48" s="52"/>
      <c r="B48" s="52"/>
      <c r="C48" s="52"/>
      <c r="D48" s="52"/>
      <c r="E48" s="52"/>
      <c r="F48" s="52"/>
      <c r="G48" s="52"/>
      <c r="H48" s="52"/>
      <c r="J48" s="142">
        <f>_xlfn.BINOM.DIST(ROUND(E15/2, 0),E15,0.5,FALSE)</f>
        <v>0.12858532063546591</v>
      </c>
      <c r="K48" s="51" t="s">
        <v>350</v>
      </c>
    </row>
    <row r="49" spans="1:11" ht="15">
      <c r="A49" s="52"/>
      <c r="B49" s="52"/>
      <c r="C49" s="52"/>
      <c r="D49" s="52"/>
      <c r="E49" s="52"/>
      <c r="F49" s="52"/>
      <c r="G49" s="52"/>
      <c r="H49" s="52"/>
    </row>
    <row r="50" spans="1:11" ht="15">
      <c r="A50" s="52"/>
      <c r="B50" s="52"/>
      <c r="C50" s="52"/>
      <c r="D50" s="52"/>
      <c r="E50" s="52"/>
      <c r="F50" s="52"/>
      <c r="G50" s="52"/>
      <c r="H50" s="52"/>
    </row>
    <row r="51" spans="1:11" ht="15">
      <c r="A51" s="52"/>
      <c r="B51" s="52"/>
      <c r="C51" s="52"/>
      <c r="D51" s="52"/>
      <c r="E51" s="52"/>
      <c r="F51" s="52"/>
      <c r="G51" s="52"/>
      <c r="H51" s="52"/>
    </row>
    <row r="52" spans="1:11" ht="15">
      <c r="A52" s="52"/>
      <c r="B52" s="52"/>
      <c r="C52" s="52"/>
      <c r="D52" s="52"/>
      <c r="E52" s="52"/>
      <c r="F52" s="52"/>
      <c r="G52" s="52"/>
      <c r="H52" s="52"/>
      <c r="J52" s="51" t="e">
        <f ca="1">_xlfn.BINOM.DIST(ROUND((E15/2)+E35, 0),E15,0.5,FALSE)</f>
        <v>#NUM!</v>
      </c>
      <c r="K52" s="51" t="s">
        <v>351</v>
      </c>
    </row>
  </sheetData>
  <mergeCells count="5">
    <mergeCell ref="A18:C19"/>
    <mergeCell ref="N5:O6"/>
    <mergeCell ref="P3:Q4"/>
    <mergeCell ref="N1:AB1"/>
    <mergeCell ref="A1:L1"/>
  </mergeCells>
  <conditionalFormatting sqref="A30:D32">
    <cfRule type="expression" dxfId="15" priority="17">
      <formula>$E$13="no"</formula>
    </cfRule>
  </conditionalFormatting>
  <conditionalFormatting sqref="R7:AB17">
    <cfRule type="cellIs" dxfId="14" priority="7" operator="between">
      <formula>56</formula>
      <formula>100</formula>
    </cfRule>
    <cfRule type="cellIs" dxfId="13" priority="8" operator="between">
      <formula>36</formula>
      <formula>55</formula>
    </cfRule>
    <cfRule type="cellIs" dxfId="12" priority="9" operator="between">
      <formula>16</formula>
      <formula>35</formula>
    </cfRule>
    <cfRule type="cellIs" dxfId="11" priority="10" operator="between">
      <formula>1</formula>
      <formula>15</formula>
    </cfRule>
    <cfRule type="cellIs" dxfId="10" priority="11" operator="between">
      <formula>-50</formula>
      <formula>0</formula>
    </cfRule>
    <cfRule type="cellIs" dxfId="9" priority="13" operator="equal">
      <formula>"F"</formula>
    </cfRule>
    <cfRule type="cellIs" dxfId="8" priority="14" operator="equal">
      <formula>"S"</formula>
    </cfRule>
  </conditionalFormatting>
  <conditionalFormatting sqref="A32:D32">
    <cfRule type="expression" dxfId="7" priority="18">
      <formula>$E$13="yes"</formula>
    </cfRule>
  </conditionalFormatting>
  <conditionalFormatting sqref="E37">
    <cfRule type="cellIs" dxfId="5" priority="1" operator="equal">
      <formula>100%</formula>
    </cfRule>
    <cfRule type="cellIs" dxfId="4" priority="2" operator="between">
      <formula>76%</formula>
      <formula>99%</formula>
    </cfRule>
    <cfRule type="cellIs" dxfId="3" priority="3" operator="between">
      <formula>51%</formula>
      <formula>75%</formula>
    </cfRule>
    <cfRule type="cellIs" dxfId="2" priority="4" operator="between">
      <formula>26%</formula>
      <formula>50%</formula>
    </cfRule>
    <cfRule type="cellIs" dxfId="1" priority="5" operator="between">
      <formula>1%</formula>
      <formula>25%</formula>
    </cfRule>
    <cfRule type="cellIs" dxfId="0" priority="6" operator="equal">
      <formula>0</formula>
    </cfRule>
  </conditionalFormatting>
  <dataValidations count="3">
    <dataValidation type="list" allowBlank="1" sqref="F3 D3 D5 F5">
      <formula1>SENATORS</formula1>
    </dataValidation>
    <dataValidation type="list" allowBlank="1" sqref="E13">
      <formula1>Senator_Alignment</formula1>
    </dataValidation>
    <dataValidation type="list" allowBlank="1" sqref="D9">
      <formula1>Popularity</formula1>
    </dataValidation>
  </dataValidations>
  <pageMargins left="0.7" right="0.7" top="0.75" bottom="0.75" header="0.3" footer="0.3"/>
  <pageSetup orientation="portrait" horizontalDpi="4294967293" verticalDpi="4294967293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9" r:id="rId4" name="Button 3">
              <controlPr defaultSize="0" print="0" autoFill="0" autoPict="0" macro="[0]!Button3_Click" altText="2d6">
                <anchor moveWithCells="1">
                  <from>
                    <xdr:col>3</xdr:col>
                    <xdr:colOff>28575</xdr:colOff>
                    <xdr:row>17</xdr:row>
                    <xdr:rowOff>9525</xdr:rowOff>
                  </from>
                  <to>
                    <xdr:col>3</xdr:col>
                    <xdr:colOff>1828800</xdr:colOff>
                    <xdr:row>18</xdr:row>
                    <xdr:rowOff>171450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2" operator="containsText" id="{4C602977-BE64-4115-8B7E-035A051C207A}">
            <xm:f>NOT(ISERROR(SEARCH($E$13="Yes",A31)))</xm:f>
            <xm:f>$E$13="Yes"</xm:f>
            <x14:dxf>
              <fill>
                <patternFill>
                  <bgColor theme="9" tint="-0.24994659260841701"/>
                </patternFill>
              </fill>
            </x14:dxf>
          </x14:cfRule>
          <xm:sqref>A31:D31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177"/>
  <sheetViews>
    <sheetView topLeftCell="A77" workbookViewId="0">
      <selection activeCell="A91" sqref="A91:A143"/>
    </sheetView>
  </sheetViews>
  <sheetFormatPr defaultRowHeight="12.75"/>
  <cols>
    <col min="1" max="1" width="26.7109375" style="15" bestFit="1" customWidth="1"/>
    <col min="2" max="2" width="7.140625" style="15" bestFit="1" customWidth="1"/>
    <col min="3" max="4" width="7.140625" style="15" customWidth="1"/>
    <col min="5" max="5" width="10.7109375" style="15" bestFit="1" customWidth="1"/>
    <col min="6" max="7" width="10.7109375" style="15" customWidth="1"/>
    <col min="8" max="8" width="4" style="15" bestFit="1" customWidth="1"/>
    <col min="9" max="16384" width="9.140625" style="15"/>
  </cols>
  <sheetData>
    <row r="1" spans="1:9">
      <c r="B1" s="15" t="s">
        <v>95</v>
      </c>
      <c r="C1" s="15" t="s">
        <v>96</v>
      </c>
      <c r="D1" s="15" t="s">
        <v>94</v>
      </c>
      <c r="E1" s="15" t="s">
        <v>93</v>
      </c>
      <c r="F1" s="15" t="s">
        <v>91</v>
      </c>
      <c r="G1" s="15" t="s">
        <v>92</v>
      </c>
      <c r="H1" s="15" t="s">
        <v>89</v>
      </c>
      <c r="I1" s="15" t="s">
        <v>90</v>
      </c>
    </row>
    <row r="2" spans="1:9" ht="15">
      <c r="A2" s="17" t="s">
        <v>196</v>
      </c>
      <c r="B2" s="18"/>
      <c r="C2" s="18"/>
      <c r="D2" s="18"/>
      <c r="E2" s="18"/>
      <c r="F2" s="18"/>
      <c r="G2" s="18"/>
      <c r="H2" s="18"/>
      <c r="I2" s="18"/>
    </row>
    <row r="3" spans="1:9" ht="15">
      <c r="A3" s="17" t="s">
        <v>98</v>
      </c>
      <c r="B3" s="18"/>
      <c r="C3" s="18"/>
      <c r="D3" s="18"/>
      <c r="E3" s="18"/>
      <c r="F3" s="18"/>
      <c r="G3" s="18"/>
      <c r="H3" s="18"/>
      <c r="I3" s="18"/>
    </row>
    <row r="4" spans="1:9" ht="15">
      <c r="A4" s="17" t="s">
        <v>33</v>
      </c>
      <c r="B4" s="18">
        <v>10</v>
      </c>
      <c r="C4" s="18">
        <v>5</v>
      </c>
      <c r="D4" s="18">
        <v>10</v>
      </c>
      <c r="E4" s="18">
        <v>13</v>
      </c>
      <c r="F4" s="18">
        <v>11</v>
      </c>
      <c r="G4" s="18">
        <v>14</v>
      </c>
      <c r="H4" s="18" t="s">
        <v>3</v>
      </c>
      <c r="I4" s="18" t="s">
        <v>68</v>
      </c>
    </row>
    <row r="5" spans="1:9" ht="15">
      <c r="A5" s="17" t="s">
        <v>126</v>
      </c>
      <c r="B5" s="18" t="s">
        <v>144</v>
      </c>
      <c r="C5" s="18" t="s">
        <v>107</v>
      </c>
      <c r="D5" s="18" t="s">
        <v>144</v>
      </c>
      <c r="E5" s="18">
        <v>13</v>
      </c>
      <c r="F5" s="18">
        <v>11</v>
      </c>
      <c r="G5" s="18">
        <v>14</v>
      </c>
      <c r="H5" s="18" t="s">
        <v>3</v>
      </c>
      <c r="I5" s="18" t="s">
        <v>68</v>
      </c>
    </row>
    <row r="6" spans="1:9" ht="15">
      <c r="A6" s="17" t="s">
        <v>127</v>
      </c>
      <c r="B6" s="18" t="s">
        <v>146</v>
      </c>
      <c r="C6" s="18" t="s">
        <v>107</v>
      </c>
      <c r="D6" s="18" t="s">
        <v>146</v>
      </c>
      <c r="E6" s="18">
        <v>13</v>
      </c>
      <c r="F6" s="18">
        <v>11</v>
      </c>
      <c r="G6" s="18">
        <v>14</v>
      </c>
      <c r="H6" s="18" t="s">
        <v>3</v>
      </c>
      <c r="I6" s="18" t="s">
        <v>68</v>
      </c>
    </row>
    <row r="7" spans="1:9" ht="15">
      <c r="A7" s="17" t="s">
        <v>34</v>
      </c>
      <c r="B7" s="18">
        <v>15</v>
      </c>
      <c r="C7" s="18">
        <v>5</v>
      </c>
      <c r="D7" s="18"/>
      <c r="E7" s="18">
        <v>10</v>
      </c>
      <c r="F7" s="18">
        <v>11</v>
      </c>
      <c r="G7" s="18">
        <v>15</v>
      </c>
      <c r="H7" s="18" t="s">
        <v>7</v>
      </c>
      <c r="I7" s="18" t="s">
        <v>97</v>
      </c>
    </row>
    <row r="8" spans="1:9" ht="16.5">
      <c r="A8" s="17" t="s">
        <v>128</v>
      </c>
      <c r="B8" s="18" t="s">
        <v>146</v>
      </c>
      <c r="C8" s="18" t="s">
        <v>107</v>
      </c>
      <c r="D8" s="53" t="s">
        <v>331</v>
      </c>
      <c r="E8" s="18">
        <v>10</v>
      </c>
      <c r="F8" s="18">
        <v>11</v>
      </c>
      <c r="G8" s="18">
        <v>15</v>
      </c>
      <c r="H8" s="18" t="s">
        <v>7</v>
      </c>
      <c r="I8" s="18" t="s">
        <v>97</v>
      </c>
    </row>
    <row r="9" spans="1:9" ht="15">
      <c r="A9" s="17" t="s">
        <v>129</v>
      </c>
      <c r="B9" s="18" t="s">
        <v>152</v>
      </c>
      <c r="C9" s="18" t="s">
        <v>107</v>
      </c>
      <c r="D9" s="18"/>
      <c r="E9" s="18">
        <v>10</v>
      </c>
      <c r="F9" s="18">
        <v>11</v>
      </c>
      <c r="G9" s="18">
        <v>15</v>
      </c>
      <c r="H9" s="18" t="s">
        <v>7</v>
      </c>
      <c r="I9" s="18" t="s">
        <v>97</v>
      </c>
    </row>
    <row r="10" spans="1:9" ht="15">
      <c r="A10" s="17" t="s">
        <v>35</v>
      </c>
      <c r="B10" s="18">
        <v>12</v>
      </c>
      <c r="C10" s="18">
        <v>10</v>
      </c>
      <c r="D10" s="18"/>
      <c r="E10" s="18">
        <v>12</v>
      </c>
      <c r="F10" s="18">
        <v>11</v>
      </c>
      <c r="G10" s="18">
        <v>18</v>
      </c>
      <c r="H10" s="18" t="s">
        <v>7</v>
      </c>
      <c r="I10" s="18" t="s">
        <v>9</v>
      </c>
    </row>
    <row r="11" spans="1:9" ht="15">
      <c r="A11" s="17" t="s">
        <v>130</v>
      </c>
      <c r="B11" s="18" t="s">
        <v>147</v>
      </c>
      <c r="C11" s="18" t="s">
        <v>117</v>
      </c>
      <c r="D11" s="18"/>
      <c r="E11" s="18">
        <v>12</v>
      </c>
      <c r="F11" s="18">
        <v>11</v>
      </c>
      <c r="G11" s="18">
        <v>18</v>
      </c>
      <c r="H11" s="18" t="s">
        <v>7</v>
      </c>
      <c r="I11" s="18" t="s">
        <v>9</v>
      </c>
    </row>
    <row r="12" spans="1:9" ht="15">
      <c r="A12" s="17" t="s">
        <v>131</v>
      </c>
      <c r="B12" s="18" t="s">
        <v>148</v>
      </c>
      <c r="C12" s="18" t="s">
        <v>117</v>
      </c>
      <c r="D12" s="18"/>
      <c r="E12" s="18">
        <v>12</v>
      </c>
      <c r="F12" s="18">
        <v>11</v>
      </c>
      <c r="G12" s="18">
        <v>18</v>
      </c>
      <c r="H12" s="18" t="s">
        <v>7</v>
      </c>
      <c r="I12" s="18" t="s">
        <v>9</v>
      </c>
    </row>
    <row r="13" spans="1:9" ht="15">
      <c r="A13" s="17" t="s">
        <v>132</v>
      </c>
      <c r="B13" s="18" t="s">
        <v>149</v>
      </c>
      <c r="C13" s="18" t="s">
        <v>117</v>
      </c>
      <c r="D13" s="18"/>
      <c r="E13" s="18">
        <v>12</v>
      </c>
      <c r="F13" s="18">
        <v>11</v>
      </c>
      <c r="G13" s="18">
        <v>18</v>
      </c>
      <c r="H13" s="18" t="s">
        <v>7</v>
      </c>
      <c r="I13" s="18" t="s">
        <v>9</v>
      </c>
    </row>
    <row r="14" spans="1:9" ht="15">
      <c r="A14" s="17" t="s">
        <v>36</v>
      </c>
      <c r="B14" s="18">
        <v>10</v>
      </c>
      <c r="C14" s="18">
        <v>5</v>
      </c>
      <c r="D14" s="18"/>
      <c r="E14" s="18">
        <v>13</v>
      </c>
      <c r="F14" s="18">
        <v>14</v>
      </c>
      <c r="G14" s="18"/>
      <c r="H14" s="18" t="s">
        <v>10</v>
      </c>
      <c r="I14" s="18" t="s">
        <v>9</v>
      </c>
    </row>
    <row r="15" spans="1:9" ht="15">
      <c r="A15" s="17" t="s">
        <v>133</v>
      </c>
      <c r="B15" s="18" t="s">
        <v>144</v>
      </c>
      <c r="C15" s="18" t="s">
        <v>107</v>
      </c>
      <c r="D15" s="18"/>
      <c r="E15" s="18">
        <v>13</v>
      </c>
      <c r="F15" s="18">
        <v>14</v>
      </c>
      <c r="G15" s="18"/>
      <c r="H15" s="18" t="s">
        <v>10</v>
      </c>
      <c r="I15" s="18" t="s">
        <v>9</v>
      </c>
    </row>
    <row r="16" spans="1:9" ht="15">
      <c r="A16" s="17" t="s">
        <v>134</v>
      </c>
      <c r="B16" s="18" t="s">
        <v>146</v>
      </c>
      <c r="C16" s="18" t="s">
        <v>107</v>
      </c>
      <c r="D16" s="18"/>
      <c r="E16" s="18">
        <v>13</v>
      </c>
      <c r="F16" s="18">
        <v>14</v>
      </c>
      <c r="G16" s="18"/>
      <c r="H16" s="18" t="s">
        <v>10</v>
      </c>
      <c r="I16" s="18" t="s">
        <v>9</v>
      </c>
    </row>
    <row r="17" spans="1:9" ht="15">
      <c r="A17" s="17" t="s">
        <v>135</v>
      </c>
      <c r="B17" s="18" t="s">
        <v>151</v>
      </c>
      <c r="C17" s="18" t="s">
        <v>107</v>
      </c>
      <c r="D17" s="18"/>
      <c r="E17" s="18">
        <v>13</v>
      </c>
      <c r="F17" s="18">
        <v>14</v>
      </c>
      <c r="G17" s="18"/>
      <c r="H17" s="18" t="s">
        <v>10</v>
      </c>
      <c r="I17" s="18" t="s">
        <v>9</v>
      </c>
    </row>
    <row r="18" spans="1:9" ht="15">
      <c r="A18" s="17" t="s">
        <v>37</v>
      </c>
      <c r="B18" s="18">
        <v>5</v>
      </c>
      <c r="C18" s="18">
        <v>3</v>
      </c>
      <c r="D18" s="18"/>
      <c r="E18" s="18">
        <v>5</v>
      </c>
      <c r="F18" s="18">
        <v>17</v>
      </c>
      <c r="G18" s="18"/>
      <c r="H18" s="18" t="s">
        <v>11</v>
      </c>
      <c r="I18" s="18" t="s">
        <v>85</v>
      </c>
    </row>
    <row r="19" spans="1:9" ht="15">
      <c r="A19" s="17" t="s">
        <v>136</v>
      </c>
      <c r="B19" s="18" t="s">
        <v>117</v>
      </c>
      <c r="C19" s="18" t="s">
        <v>150</v>
      </c>
      <c r="D19" s="18"/>
      <c r="E19" s="18">
        <v>5</v>
      </c>
      <c r="F19" s="18">
        <v>17</v>
      </c>
      <c r="G19" s="18"/>
      <c r="H19" s="18" t="s">
        <v>11</v>
      </c>
      <c r="I19" s="18" t="s">
        <v>85</v>
      </c>
    </row>
    <row r="20" spans="1:9" ht="15">
      <c r="A20" s="17" t="s">
        <v>38</v>
      </c>
      <c r="B20" s="18">
        <v>4</v>
      </c>
      <c r="C20" s="18">
        <v>2</v>
      </c>
      <c r="D20" s="18"/>
      <c r="E20" s="18">
        <v>5</v>
      </c>
      <c r="F20" s="18">
        <v>17</v>
      </c>
      <c r="G20" s="18"/>
      <c r="H20" s="18" t="s">
        <v>11</v>
      </c>
      <c r="I20" s="18" t="s">
        <v>85</v>
      </c>
    </row>
    <row r="21" spans="1:9" ht="15">
      <c r="A21" s="17" t="s">
        <v>137</v>
      </c>
      <c r="B21" s="18" t="s">
        <v>113</v>
      </c>
      <c r="C21" s="18" t="s">
        <v>153</v>
      </c>
      <c r="D21" s="18"/>
      <c r="E21" s="18">
        <v>5</v>
      </c>
      <c r="F21" s="18">
        <v>17</v>
      </c>
      <c r="G21" s="18"/>
      <c r="H21" s="18" t="s">
        <v>11</v>
      </c>
      <c r="I21" s="18" t="s">
        <v>85</v>
      </c>
    </row>
    <row r="22" spans="1:9" ht="15">
      <c r="A22" s="17" t="s">
        <v>39</v>
      </c>
      <c r="B22" s="18">
        <v>10</v>
      </c>
      <c r="C22" s="18">
        <v>0</v>
      </c>
      <c r="D22" s="18"/>
      <c r="E22" s="18">
        <v>13</v>
      </c>
      <c r="F22" s="18">
        <v>15</v>
      </c>
      <c r="G22" s="18"/>
      <c r="H22" s="18" t="s">
        <v>13</v>
      </c>
      <c r="I22" s="18" t="s">
        <v>70</v>
      </c>
    </row>
    <row r="23" spans="1:9" ht="15">
      <c r="A23" s="17" t="s">
        <v>140</v>
      </c>
      <c r="B23" s="18" t="s">
        <v>144</v>
      </c>
      <c r="C23" s="18" t="s">
        <v>145</v>
      </c>
      <c r="D23" s="18"/>
      <c r="E23" s="18">
        <v>13</v>
      </c>
      <c r="F23" s="18">
        <v>15</v>
      </c>
      <c r="G23" s="18"/>
      <c r="H23" s="18" t="s">
        <v>13</v>
      </c>
      <c r="I23" s="18" t="s">
        <v>70</v>
      </c>
    </row>
    <row r="24" spans="1:9" ht="15">
      <c r="A24" s="17" t="s">
        <v>141</v>
      </c>
      <c r="B24" s="18" t="s">
        <v>146</v>
      </c>
      <c r="C24" s="18" t="s">
        <v>145</v>
      </c>
      <c r="D24" s="18"/>
      <c r="E24" s="18">
        <v>13</v>
      </c>
      <c r="F24" s="18">
        <v>15</v>
      </c>
      <c r="G24" s="18"/>
      <c r="H24" s="18" t="s">
        <v>13</v>
      </c>
      <c r="I24" s="18" t="s">
        <v>70</v>
      </c>
    </row>
    <row r="25" spans="1:9" ht="15">
      <c r="A25" s="17" t="s">
        <v>40</v>
      </c>
      <c r="B25" s="18">
        <v>6</v>
      </c>
      <c r="C25" s="18">
        <v>2</v>
      </c>
      <c r="D25" s="18"/>
      <c r="E25" s="18">
        <v>16</v>
      </c>
      <c r="F25" s="18">
        <v>15</v>
      </c>
      <c r="G25" s="18"/>
      <c r="H25" s="18" t="s">
        <v>10</v>
      </c>
      <c r="I25" s="18" t="s">
        <v>14</v>
      </c>
    </row>
    <row r="26" spans="1:9" ht="15">
      <c r="A26" s="17" t="s">
        <v>66</v>
      </c>
      <c r="B26" s="18"/>
      <c r="C26" s="18"/>
      <c r="D26" s="18"/>
      <c r="E26" s="18"/>
      <c r="F26" s="18"/>
      <c r="G26" s="18"/>
      <c r="H26" s="18"/>
      <c r="I26" s="18"/>
    </row>
    <row r="27" spans="1:9" ht="15">
      <c r="A27" s="17" t="s">
        <v>42</v>
      </c>
      <c r="B27" s="18">
        <v>15</v>
      </c>
      <c r="C27" s="18">
        <v>0</v>
      </c>
      <c r="D27" s="18"/>
      <c r="E27" s="18">
        <v>10</v>
      </c>
      <c r="F27" s="18">
        <v>11</v>
      </c>
      <c r="G27" s="18"/>
      <c r="H27" s="18" t="s">
        <v>19</v>
      </c>
      <c r="I27" s="18" t="s">
        <v>74</v>
      </c>
    </row>
    <row r="28" spans="1:9" ht="15">
      <c r="A28" s="17" t="s">
        <v>43</v>
      </c>
      <c r="B28" s="18">
        <v>8</v>
      </c>
      <c r="C28" s="18">
        <v>2</v>
      </c>
      <c r="D28" s="18"/>
      <c r="E28" s="18">
        <v>14</v>
      </c>
      <c r="F28" s="18">
        <v>13</v>
      </c>
      <c r="G28" s="18"/>
      <c r="H28" s="18" t="s">
        <v>7</v>
      </c>
      <c r="I28" s="18"/>
    </row>
    <row r="29" spans="1:9" ht="15">
      <c r="A29" s="17" t="s">
        <v>44</v>
      </c>
      <c r="B29" s="18">
        <v>7</v>
      </c>
      <c r="C29" s="18">
        <v>1</v>
      </c>
      <c r="D29" s="18"/>
      <c r="E29" s="18">
        <v>7</v>
      </c>
      <c r="F29" s="18">
        <v>15</v>
      </c>
      <c r="G29" s="18"/>
      <c r="H29" s="18" t="s">
        <v>13</v>
      </c>
      <c r="I29" s="18" t="s">
        <v>21</v>
      </c>
    </row>
    <row r="30" spans="1:9" ht="15">
      <c r="A30" s="17" t="s">
        <v>138</v>
      </c>
      <c r="B30" s="18" t="s">
        <v>121</v>
      </c>
      <c r="C30" s="18" t="s">
        <v>142</v>
      </c>
      <c r="D30" s="18"/>
      <c r="E30" s="18">
        <v>7</v>
      </c>
      <c r="F30" s="18">
        <v>15</v>
      </c>
      <c r="G30" s="18"/>
      <c r="H30" s="18" t="s">
        <v>13</v>
      </c>
      <c r="I30" s="18" t="s">
        <v>21</v>
      </c>
    </row>
    <row r="31" spans="1:9" ht="15">
      <c r="A31" s="17" t="s">
        <v>139</v>
      </c>
      <c r="B31" s="18" t="s">
        <v>143</v>
      </c>
      <c r="C31" s="18" t="s">
        <v>142</v>
      </c>
      <c r="D31" s="18"/>
      <c r="E31" s="18">
        <v>7</v>
      </c>
      <c r="F31" s="18">
        <v>15</v>
      </c>
      <c r="G31" s="18"/>
      <c r="H31" s="18" t="s">
        <v>13</v>
      </c>
      <c r="I31" s="18" t="s">
        <v>21</v>
      </c>
    </row>
    <row r="32" spans="1:9" ht="15">
      <c r="A32" s="17" t="s">
        <v>45</v>
      </c>
      <c r="B32" s="18">
        <v>8</v>
      </c>
      <c r="C32" s="18">
        <v>5</v>
      </c>
      <c r="D32" s="18"/>
      <c r="E32" s="18">
        <v>8</v>
      </c>
      <c r="F32" s="18">
        <v>14</v>
      </c>
      <c r="G32" s="18"/>
      <c r="H32" s="18" t="s">
        <v>3</v>
      </c>
      <c r="I32" s="18" t="s">
        <v>9</v>
      </c>
    </row>
    <row r="33" spans="1:9" ht="15">
      <c r="A33" s="17" t="s">
        <v>154</v>
      </c>
      <c r="B33" s="18" t="s">
        <v>124</v>
      </c>
      <c r="C33" s="18" t="s">
        <v>107</v>
      </c>
      <c r="D33" s="18"/>
      <c r="E33" s="18">
        <v>8</v>
      </c>
      <c r="F33" s="18">
        <v>14</v>
      </c>
      <c r="G33" s="18"/>
      <c r="H33" s="18" t="s">
        <v>3</v>
      </c>
      <c r="I33" s="18" t="s">
        <v>9</v>
      </c>
    </row>
    <row r="34" spans="1:9" ht="15">
      <c r="A34" s="17" t="s">
        <v>155</v>
      </c>
      <c r="B34" s="18" t="s">
        <v>147</v>
      </c>
      <c r="C34" s="18" t="s">
        <v>107</v>
      </c>
      <c r="D34" s="18"/>
      <c r="E34" s="18">
        <v>8</v>
      </c>
      <c r="F34" s="18">
        <v>14</v>
      </c>
      <c r="G34" s="18"/>
      <c r="H34" s="18" t="s">
        <v>3</v>
      </c>
      <c r="I34" s="18" t="s">
        <v>9</v>
      </c>
    </row>
    <row r="35" spans="1:9" ht="15">
      <c r="A35" s="17" t="s">
        <v>156</v>
      </c>
      <c r="B35" s="18" t="s">
        <v>175</v>
      </c>
      <c r="C35" s="18" t="s">
        <v>107</v>
      </c>
      <c r="D35" s="18"/>
      <c r="E35" s="18">
        <v>8</v>
      </c>
      <c r="F35" s="18">
        <v>14</v>
      </c>
      <c r="G35" s="18"/>
      <c r="H35" s="18" t="s">
        <v>3</v>
      </c>
      <c r="I35" s="18" t="s">
        <v>9</v>
      </c>
    </row>
    <row r="36" spans="1:9" ht="15">
      <c r="A36" s="17" t="s">
        <v>46</v>
      </c>
      <c r="B36" s="18">
        <v>5</v>
      </c>
      <c r="C36" s="18">
        <v>1</v>
      </c>
      <c r="D36" s="18"/>
      <c r="E36" s="18">
        <v>5</v>
      </c>
      <c r="F36" s="18">
        <v>17</v>
      </c>
      <c r="G36" s="18"/>
      <c r="H36" s="18" t="s">
        <v>22</v>
      </c>
      <c r="I36" s="18" t="s">
        <v>23</v>
      </c>
    </row>
    <row r="37" spans="1:9" ht="15">
      <c r="A37" s="17" t="s">
        <v>157</v>
      </c>
      <c r="B37" s="18" t="s">
        <v>117</v>
      </c>
      <c r="C37" s="18" t="s">
        <v>142</v>
      </c>
      <c r="D37" s="18"/>
      <c r="E37" s="18">
        <v>5</v>
      </c>
      <c r="F37" s="18">
        <v>17</v>
      </c>
      <c r="G37" s="18"/>
      <c r="H37" s="18" t="s">
        <v>22</v>
      </c>
      <c r="I37" s="18" t="s">
        <v>23</v>
      </c>
    </row>
    <row r="38" spans="1:9" ht="15">
      <c r="A38" s="17" t="s">
        <v>158</v>
      </c>
      <c r="B38" s="18" t="s">
        <v>123</v>
      </c>
      <c r="C38" s="18" t="s">
        <v>142</v>
      </c>
      <c r="D38" s="18"/>
      <c r="E38" s="18">
        <v>5</v>
      </c>
      <c r="F38" s="18">
        <v>17</v>
      </c>
      <c r="G38" s="18"/>
      <c r="H38" s="18" t="s">
        <v>22</v>
      </c>
      <c r="I38" s="18" t="s">
        <v>23</v>
      </c>
    </row>
    <row r="39" spans="1:9" ht="15">
      <c r="A39" s="17" t="s">
        <v>159</v>
      </c>
      <c r="B39" s="18" t="s">
        <v>144</v>
      </c>
      <c r="C39" s="18" t="s">
        <v>142</v>
      </c>
      <c r="D39" s="18"/>
      <c r="E39" s="18">
        <v>5</v>
      </c>
      <c r="F39" s="18">
        <v>17</v>
      </c>
      <c r="G39" s="18"/>
      <c r="H39" s="18" t="s">
        <v>22</v>
      </c>
      <c r="I39" s="18" t="s">
        <v>23</v>
      </c>
    </row>
    <row r="40" spans="1:9" ht="15">
      <c r="A40" s="17" t="s">
        <v>47</v>
      </c>
      <c r="B40" s="18">
        <v>4</v>
      </c>
      <c r="C40" s="18">
        <v>0</v>
      </c>
      <c r="D40" s="18"/>
      <c r="E40" s="18">
        <v>17</v>
      </c>
      <c r="F40" s="18">
        <v>15</v>
      </c>
      <c r="G40" s="18"/>
      <c r="H40" s="18"/>
      <c r="I40" s="18" t="s">
        <v>75</v>
      </c>
    </row>
    <row r="41" spans="1:9" ht="15">
      <c r="A41" s="17" t="s">
        <v>160</v>
      </c>
      <c r="B41" s="18" t="s">
        <v>113</v>
      </c>
      <c r="C41" s="18" t="s">
        <v>145</v>
      </c>
      <c r="D41" s="18"/>
      <c r="E41" s="18">
        <v>17</v>
      </c>
      <c r="F41" s="18">
        <v>15</v>
      </c>
      <c r="G41" s="18"/>
      <c r="H41" s="18"/>
      <c r="I41" s="18" t="s">
        <v>75</v>
      </c>
    </row>
    <row r="42" spans="1:9" ht="15">
      <c r="A42" s="17" t="s">
        <v>48</v>
      </c>
      <c r="B42" s="18">
        <v>7</v>
      </c>
      <c r="C42" s="18">
        <v>1</v>
      </c>
      <c r="D42" s="18"/>
      <c r="E42" s="18">
        <v>7</v>
      </c>
      <c r="F42" s="18">
        <v>15</v>
      </c>
      <c r="G42" s="18"/>
      <c r="H42" s="18"/>
      <c r="I42" s="18" t="s">
        <v>75</v>
      </c>
    </row>
    <row r="43" spans="1:9" ht="15">
      <c r="A43" s="17" t="s">
        <v>161</v>
      </c>
      <c r="B43" s="18" t="s">
        <v>121</v>
      </c>
      <c r="C43" s="18" t="s">
        <v>142</v>
      </c>
      <c r="D43" s="18"/>
      <c r="E43" s="18">
        <v>7</v>
      </c>
      <c r="F43" s="18">
        <v>15</v>
      </c>
      <c r="G43" s="18"/>
      <c r="H43" s="18"/>
      <c r="I43" s="18" t="s">
        <v>75</v>
      </c>
    </row>
    <row r="44" spans="1:9" ht="15">
      <c r="A44" s="17" t="s">
        <v>49</v>
      </c>
      <c r="B44" s="18">
        <v>6</v>
      </c>
      <c r="C44" s="18">
        <v>2</v>
      </c>
      <c r="D44" s="18"/>
      <c r="E44" s="18">
        <v>6</v>
      </c>
      <c r="F44" s="18">
        <v>11</v>
      </c>
      <c r="G44" s="18">
        <v>16</v>
      </c>
      <c r="H44" s="18"/>
      <c r="I44" s="18" t="s">
        <v>76</v>
      </c>
    </row>
    <row r="45" spans="1:9" ht="15">
      <c r="A45" s="17" t="s">
        <v>50</v>
      </c>
      <c r="B45" s="18">
        <v>8</v>
      </c>
      <c r="C45" s="18">
        <v>2</v>
      </c>
      <c r="D45" s="18"/>
      <c r="E45" s="18">
        <v>14</v>
      </c>
      <c r="F45" s="18">
        <v>11</v>
      </c>
      <c r="G45" s="18">
        <v>18</v>
      </c>
      <c r="H45" s="18"/>
      <c r="I45" s="18" t="s">
        <v>77</v>
      </c>
    </row>
    <row r="46" spans="1:9" ht="15">
      <c r="A46" s="17" t="s">
        <v>51</v>
      </c>
      <c r="B46" s="18">
        <v>3</v>
      </c>
      <c r="C46" s="18">
        <v>2</v>
      </c>
      <c r="D46" s="18">
        <v>8</v>
      </c>
      <c r="E46" s="18">
        <v>18</v>
      </c>
      <c r="F46" s="18">
        <v>15</v>
      </c>
      <c r="G46" s="18"/>
      <c r="H46" s="18" t="s">
        <v>11</v>
      </c>
      <c r="I46" s="18" t="s">
        <v>25</v>
      </c>
    </row>
    <row r="47" spans="1:9" ht="15">
      <c r="A47" s="17" t="s">
        <v>162</v>
      </c>
      <c r="B47" s="18" t="s">
        <v>109</v>
      </c>
      <c r="C47" s="18" t="s">
        <v>153</v>
      </c>
      <c r="D47" s="18" t="s">
        <v>124</v>
      </c>
      <c r="E47" s="18">
        <v>18</v>
      </c>
      <c r="F47" s="18">
        <v>15</v>
      </c>
      <c r="G47" s="18"/>
      <c r="H47" s="18" t="s">
        <v>11</v>
      </c>
      <c r="I47" s="18" t="s">
        <v>25</v>
      </c>
    </row>
    <row r="48" spans="1:9" ht="15">
      <c r="A48" s="17" t="s">
        <v>67</v>
      </c>
      <c r="B48" s="18"/>
      <c r="C48" s="18"/>
      <c r="D48" s="18"/>
      <c r="E48" s="18"/>
      <c r="F48" s="18"/>
      <c r="G48" s="18"/>
      <c r="H48" s="18"/>
      <c r="I48" s="18"/>
    </row>
    <row r="49" spans="1:9" ht="15">
      <c r="A49" s="17" t="s">
        <v>52</v>
      </c>
      <c r="B49" s="18">
        <v>10</v>
      </c>
      <c r="C49" s="18">
        <v>5</v>
      </c>
      <c r="D49" s="18"/>
      <c r="E49" s="18">
        <v>13</v>
      </c>
      <c r="F49" s="18">
        <v>14</v>
      </c>
      <c r="G49" s="18"/>
      <c r="H49" s="18" t="s">
        <v>22</v>
      </c>
      <c r="I49" s="18" t="s">
        <v>28</v>
      </c>
    </row>
    <row r="50" spans="1:9" ht="15">
      <c r="A50" s="17" t="s">
        <v>163</v>
      </c>
      <c r="B50" s="18" t="s">
        <v>144</v>
      </c>
      <c r="C50" s="18" t="s">
        <v>107</v>
      </c>
      <c r="D50" s="18"/>
      <c r="E50" s="18">
        <v>13</v>
      </c>
      <c r="F50" s="18">
        <v>14</v>
      </c>
      <c r="G50" s="18"/>
      <c r="H50" s="18" t="s">
        <v>22</v>
      </c>
      <c r="I50" s="18" t="s">
        <v>28</v>
      </c>
    </row>
    <row r="51" spans="1:9" ht="15">
      <c r="A51" s="17" t="s">
        <v>164</v>
      </c>
      <c r="B51" s="18" t="s">
        <v>146</v>
      </c>
      <c r="C51" s="18" t="s">
        <v>107</v>
      </c>
      <c r="D51" s="18"/>
      <c r="E51" s="18">
        <v>13</v>
      </c>
      <c r="F51" s="18">
        <v>14</v>
      </c>
      <c r="G51" s="18"/>
      <c r="H51" s="18" t="s">
        <v>22</v>
      </c>
      <c r="I51" s="18" t="s">
        <v>28</v>
      </c>
    </row>
    <row r="52" spans="1:9" ht="15">
      <c r="A52" s="17" t="s">
        <v>53</v>
      </c>
      <c r="B52" s="18">
        <v>6</v>
      </c>
      <c r="C52" s="18">
        <v>4</v>
      </c>
      <c r="D52" s="18"/>
      <c r="E52" s="18">
        <v>16</v>
      </c>
      <c r="F52" s="18">
        <v>17</v>
      </c>
      <c r="G52" s="18"/>
      <c r="H52" s="18" t="s">
        <v>19</v>
      </c>
      <c r="I52" s="18" t="s">
        <v>28</v>
      </c>
    </row>
    <row r="53" spans="1:9" ht="15">
      <c r="A53" s="17" t="s">
        <v>165</v>
      </c>
      <c r="B53" s="18" t="s">
        <v>119</v>
      </c>
      <c r="C53" s="18" t="s">
        <v>105</v>
      </c>
      <c r="D53" s="18"/>
      <c r="E53" s="18">
        <v>16</v>
      </c>
      <c r="F53" s="18">
        <v>17</v>
      </c>
      <c r="G53" s="18"/>
      <c r="H53" s="18" t="s">
        <v>19</v>
      </c>
      <c r="I53" s="18" t="s">
        <v>28</v>
      </c>
    </row>
    <row r="54" spans="1:9" ht="15">
      <c r="A54" s="17" t="s">
        <v>166</v>
      </c>
      <c r="B54" s="18" t="s">
        <v>174</v>
      </c>
      <c r="C54" s="18" t="s">
        <v>105</v>
      </c>
      <c r="D54" s="18"/>
      <c r="E54" s="18">
        <v>16</v>
      </c>
      <c r="F54" s="18">
        <v>17</v>
      </c>
      <c r="G54" s="18"/>
      <c r="H54" s="18" t="s">
        <v>19</v>
      </c>
      <c r="I54" s="18" t="s">
        <v>28</v>
      </c>
    </row>
    <row r="55" spans="1:9" ht="15">
      <c r="A55" s="17" t="s">
        <v>54</v>
      </c>
      <c r="B55" s="18">
        <v>8</v>
      </c>
      <c r="C55" s="18" t="s">
        <v>109</v>
      </c>
      <c r="D55" s="18"/>
      <c r="E55" s="18">
        <v>14</v>
      </c>
      <c r="F55" s="18">
        <v>11</v>
      </c>
      <c r="G55" s="18">
        <v>17</v>
      </c>
      <c r="H55" s="18" t="s">
        <v>7</v>
      </c>
      <c r="I55" s="18" t="s">
        <v>79</v>
      </c>
    </row>
    <row r="56" spans="1:9" ht="15">
      <c r="A56" s="17" t="s">
        <v>167</v>
      </c>
      <c r="B56" s="18" t="s">
        <v>124</v>
      </c>
      <c r="C56" s="18" t="s">
        <v>109</v>
      </c>
      <c r="D56" s="18"/>
      <c r="E56" s="18">
        <v>14</v>
      </c>
      <c r="F56" s="18">
        <v>11</v>
      </c>
      <c r="G56" s="18">
        <v>17</v>
      </c>
      <c r="H56" s="18" t="s">
        <v>7</v>
      </c>
      <c r="I56" s="18" t="s">
        <v>79</v>
      </c>
    </row>
    <row r="57" spans="1:9" ht="15">
      <c r="A57" s="17" t="s">
        <v>168</v>
      </c>
      <c r="B57" s="18" t="s">
        <v>147</v>
      </c>
      <c r="C57" s="18" t="s">
        <v>109</v>
      </c>
      <c r="D57" s="18"/>
      <c r="E57" s="18">
        <v>14</v>
      </c>
      <c r="F57" s="18">
        <v>11</v>
      </c>
      <c r="G57" s="18">
        <v>17</v>
      </c>
      <c r="H57" s="18" t="s">
        <v>7</v>
      </c>
      <c r="I57" s="18" t="s">
        <v>79</v>
      </c>
    </row>
    <row r="58" spans="1:9" ht="15">
      <c r="A58" s="17" t="s">
        <v>55</v>
      </c>
      <c r="B58" s="18">
        <v>12</v>
      </c>
      <c r="C58" s="18">
        <v>2</v>
      </c>
      <c r="D58" s="18"/>
      <c r="E58" s="18">
        <v>12</v>
      </c>
      <c r="F58" s="18">
        <v>18</v>
      </c>
      <c r="G58" s="18"/>
      <c r="H58" s="18" t="s">
        <v>3</v>
      </c>
      <c r="I58" s="18"/>
    </row>
    <row r="59" spans="1:9" ht="15">
      <c r="A59" s="17" t="s">
        <v>56</v>
      </c>
      <c r="B59" s="18">
        <v>12</v>
      </c>
      <c r="C59" s="18">
        <v>0</v>
      </c>
      <c r="D59" s="18"/>
      <c r="E59" s="18">
        <v>12</v>
      </c>
      <c r="F59" s="18">
        <v>16</v>
      </c>
      <c r="G59" s="18"/>
      <c r="H59" s="18" t="s">
        <v>19</v>
      </c>
      <c r="I59" s="18" t="s">
        <v>87</v>
      </c>
    </row>
    <row r="60" spans="1:9" ht="15">
      <c r="A60" s="17" t="s">
        <v>169</v>
      </c>
      <c r="B60" s="18" t="s">
        <v>147</v>
      </c>
      <c r="C60" s="18" t="s">
        <v>145</v>
      </c>
      <c r="D60" s="18"/>
      <c r="E60" s="18">
        <v>12</v>
      </c>
      <c r="F60" s="18">
        <v>16</v>
      </c>
      <c r="G60" s="18"/>
      <c r="H60" s="18" t="s">
        <v>19</v>
      </c>
      <c r="I60" s="18" t="s">
        <v>87</v>
      </c>
    </row>
    <row r="61" spans="1:9" ht="15">
      <c r="A61" s="17" t="s">
        <v>170</v>
      </c>
      <c r="B61" s="18" t="s">
        <v>148</v>
      </c>
      <c r="C61" s="18" t="s">
        <v>145</v>
      </c>
      <c r="D61" s="18"/>
      <c r="E61" s="18">
        <v>12</v>
      </c>
      <c r="F61" s="18">
        <v>16</v>
      </c>
      <c r="G61" s="18"/>
      <c r="H61" s="18" t="s">
        <v>19</v>
      </c>
      <c r="I61" s="18" t="s">
        <v>87</v>
      </c>
    </row>
    <row r="62" spans="1:9" ht="15">
      <c r="A62" s="17" t="s">
        <v>57</v>
      </c>
      <c r="B62" s="18">
        <v>15</v>
      </c>
      <c r="C62" s="18">
        <v>0</v>
      </c>
      <c r="D62" s="18"/>
      <c r="E62" s="18">
        <v>10</v>
      </c>
      <c r="F62" s="18">
        <v>17</v>
      </c>
      <c r="G62" s="18"/>
      <c r="H62" s="18" t="s">
        <v>19</v>
      </c>
      <c r="I62" s="18" t="s">
        <v>87</v>
      </c>
    </row>
    <row r="63" spans="1:9" ht="15">
      <c r="A63" s="17" t="s">
        <v>171</v>
      </c>
      <c r="B63" s="18" t="s">
        <v>146</v>
      </c>
      <c r="C63" s="18" t="s">
        <v>145</v>
      </c>
      <c r="D63" s="18"/>
      <c r="E63" s="18">
        <v>10</v>
      </c>
      <c r="F63" s="18">
        <v>17</v>
      </c>
      <c r="G63" s="18"/>
      <c r="H63" s="18" t="s">
        <v>19</v>
      </c>
      <c r="I63" s="18" t="s">
        <v>87</v>
      </c>
    </row>
    <row r="64" spans="1:9" ht="15">
      <c r="A64" s="17" t="s">
        <v>172</v>
      </c>
      <c r="B64" s="18" t="s">
        <v>152</v>
      </c>
      <c r="C64" s="18" t="s">
        <v>145</v>
      </c>
      <c r="D64" s="18"/>
      <c r="E64" s="18">
        <v>10</v>
      </c>
      <c r="F64" s="18">
        <v>17</v>
      </c>
      <c r="G64" s="18"/>
      <c r="H64" s="18" t="s">
        <v>19</v>
      </c>
      <c r="I64" s="18" t="s">
        <v>87</v>
      </c>
    </row>
    <row r="65" spans="1:9" ht="15">
      <c r="A65" s="17" t="s">
        <v>58</v>
      </c>
      <c r="B65" s="18">
        <v>10</v>
      </c>
      <c r="C65" s="18">
        <v>0</v>
      </c>
      <c r="D65" s="18"/>
      <c r="E65" s="18">
        <v>13</v>
      </c>
      <c r="F65" s="18">
        <v>16</v>
      </c>
      <c r="G65" s="18"/>
      <c r="H65" s="18" t="s">
        <v>19</v>
      </c>
      <c r="I65" s="18" t="s">
        <v>80</v>
      </c>
    </row>
    <row r="66" spans="1:9" ht="15">
      <c r="A66" s="17" t="s">
        <v>59</v>
      </c>
      <c r="B66" s="18">
        <v>3</v>
      </c>
      <c r="C66" s="18">
        <v>2</v>
      </c>
      <c r="D66" s="18">
        <v>6</v>
      </c>
      <c r="E66" s="18">
        <v>18</v>
      </c>
      <c r="F66" s="18">
        <v>12</v>
      </c>
      <c r="G66" s="18"/>
      <c r="H66" s="18" t="s">
        <v>11</v>
      </c>
      <c r="I66" s="18"/>
    </row>
    <row r="67" spans="1:9" ht="15">
      <c r="A67" s="17" t="s">
        <v>173</v>
      </c>
      <c r="B67" s="18" t="s">
        <v>109</v>
      </c>
      <c r="C67" s="18" t="s">
        <v>153</v>
      </c>
      <c r="D67" s="18" t="s">
        <v>119</v>
      </c>
      <c r="E67" s="18">
        <v>18</v>
      </c>
      <c r="F67" s="18">
        <v>12</v>
      </c>
      <c r="G67" s="18"/>
      <c r="H67" s="18" t="s">
        <v>11</v>
      </c>
      <c r="I67" s="18"/>
    </row>
    <row r="68" spans="1:9" ht="15">
      <c r="A68" s="17" t="s">
        <v>60</v>
      </c>
      <c r="B68" s="18">
        <v>2</v>
      </c>
      <c r="C68" s="18">
        <v>2</v>
      </c>
      <c r="D68" s="18">
        <v>10</v>
      </c>
      <c r="E68" s="18">
        <v>18</v>
      </c>
      <c r="F68" s="18">
        <v>17</v>
      </c>
      <c r="G68" s="18"/>
      <c r="H68" s="18" t="s">
        <v>7</v>
      </c>
      <c r="I68" s="18" t="s">
        <v>81</v>
      </c>
    </row>
    <row r="69" spans="1:9" ht="15">
      <c r="A69" s="17" t="s">
        <v>188</v>
      </c>
      <c r="B69" s="18" t="s">
        <v>189</v>
      </c>
      <c r="C69" s="18" t="s">
        <v>189</v>
      </c>
      <c r="D69" s="18" t="s">
        <v>111</v>
      </c>
      <c r="E69" s="18">
        <v>18</v>
      </c>
      <c r="F69" s="18">
        <v>17</v>
      </c>
      <c r="G69" s="18"/>
      <c r="H69" s="18" t="s">
        <v>7</v>
      </c>
      <c r="I69" s="18" t="s">
        <v>81</v>
      </c>
    </row>
    <row r="70" spans="1:9" ht="15">
      <c r="A70" s="17" t="s">
        <v>61</v>
      </c>
      <c r="B70" s="18">
        <v>8</v>
      </c>
      <c r="C70" s="18">
        <v>2</v>
      </c>
      <c r="D70" s="18"/>
      <c r="E70" s="18">
        <v>14</v>
      </c>
      <c r="F70" s="18">
        <v>13</v>
      </c>
      <c r="G70" s="18"/>
      <c r="H70" s="18"/>
      <c r="I70" s="18" t="s">
        <v>76</v>
      </c>
    </row>
    <row r="71" spans="1:9" ht="15">
      <c r="A71" s="17" t="s">
        <v>62</v>
      </c>
      <c r="B71" s="18">
        <v>6</v>
      </c>
      <c r="C71" s="18">
        <v>0</v>
      </c>
      <c r="D71" s="18"/>
      <c r="E71" s="18">
        <v>6</v>
      </c>
      <c r="F71" s="18">
        <v>16</v>
      </c>
      <c r="G71" s="18"/>
      <c r="H71" s="18"/>
      <c r="I71" s="18" t="s">
        <v>69</v>
      </c>
    </row>
    <row r="72" spans="1:9" ht="15">
      <c r="A72" s="17" t="s">
        <v>63</v>
      </c>
      <c r="B72" s="18">
        <v>6</v>
      </c>
      <c r="C72" s="18">
        <v>0</v>
      </c>
      <c r="D72" s="18"/>
      <c r="E72" s="18">
        <v>16</v>
      </c>
      <c r="F72" s="18">
        <v>18</v>
      </c>
      <c r="G72" s="18"/>
      <c r="H72" s="18" t="s">
        <v>11</v>
      </c>
      <c r="I72" s="18" t="s">
        <v>82</v>
      </c>
    </row>
    <row r="73" spans="1:9" ht="15">
      <c r="A73" s="17" t="s">
        <v>64</v>
      </c>
      <c r="B73" s="18">
        <v>4</v>
      </c>
      <c r="C73" s="18">
        <v>2</v>
      </c>
      <c r="D73" s="18"/>
      <c r="E73" s="18">
        <v>5</v>
      </c>
      <c r="F73" s="18">
        <v>17</v>
      </c>
      <c r="G73" s="18"/>
      <c r="H73" s="18" t="s">
        <v>11</v>
      </c>
      <c r="I73" s="18" t="s">
        <v>82</v>
      </c>
    </row>
    <row r="74" spans="1:9" ht="15">
      <c r="A74" s="17" t="s">
        <v>280</v>
      </c>
      <c r="B74" s="18" t="s">
        <v>145</v>
      </c>
      <c r="C74" s="18" t="s">
        <v>145</v>
      </c>
      <c r="D74" s="18"/>
      <c r="E74" s="18"/>
      <c r="F74" s="18"/>
      <c r="G74" s="18"/>
      <c r="H74" s="18"/>
      <c r="I74" s="18"/>
    </row>
    <row r="75" spans="1:9" ht="15">
      <c r="A75" s="14"/>
    </row>
    <row r="76" spans="1:9" ht="15">
      <c r="A76" s="17" t="s">
        <v>196</v>
      </c>
      <c r="B76" s="18"/>
      <c r="C76" s="18"/>
      <c r="D76" s="18"/>
      <c r="E76" s="18"/>
      <c r="F76" s="18"/>
      <c r="G76" s="18"/>
      <c r="H76" s="18"/>
      <c r="I76" s="18"/>
    </row>
    <row r="77" spans="1:9" ht="15">
      <c r="A77" s="17" t="s">
        <v>15</v>
      </c>
      <c r="B77" s="18">
        <v>7</v>
      </c>
      <c r="C77" s="18"/>
      <c r="D77" s="18"/>
      <c r="E77" s="18">
        <v>9</v>
      </c>
      <c r="F77" s="18">
        <v>16</v>
      </c>
      <c r="G77" s="18"/>
      <c r="H77" s="18"/>
      <c r="I77" s="18" t="s">
        <v>86</v>
      </c>
    </row>
    <row r="78" spans="1:9" ht="15">
      <c r="A78" s="17" t="s">
        <v>16</v>
      </c>
      <c r="B78" s="18">
        <v>3</v>
      </c>
      <c r="C78" s="18"/>
      <c r="D78" s="18"/>
      <c r="E78" s="18">
        <v>8</v>
      </c>
      <c r="F78" s="18">
        <v>12</v>
      </c>
      <c r="G78" s="18"/>
      <c r="H78" s="18"/>
      <c r="I78" s="18" t="s">
        <v>71</v>
      </c>
    </row>
    <row r="79" spans="1:9" ht="15">
      <c r="A79" s="17" t="s">
        <v>41</v>
      </c>
      <c r="B79" s="18">
        <v>6</v>
      </c>
      <c r="C79" s="18"/>
      <c r="D79" s="18"/>
      <c r="E79" s="18">
        <v>15</v>
      </c>
      <c r="F79" s="18">
        <v>14</v>
      </c>
      <c r="G79" s="18"/>
      <c r="H79" s="18"/>
      <c r="I79" s="18" t="s">
        <v>72</v>
      </c>
    </row>
    <row r="80" spans="1:9" ht="15">
      <c r="A80" s="17" t="s">
        <v>17</v>
      </c>
      <c r="B80" s="18">
        <v>5</v>
      </c>
      <c r="C80" s="18"/>
      <c r="D80" s="18"/>
      <c r="E80" s="18">
        <v>14</v>
      </c>
      <c r="F80" s="18">
        <v>17</v>
      </c>
      <c r="G80" s="18"/>
      <c r="H80" s="18"/>
      <c r="I80" s="18" t="s">
        <v>73</v>
      </c>
    </row>
    <row r="81" spans="1:10" ht="15">
      <c r="A81" s="17" t="s">
        <v>26</v>
      </c>
      <c r="B81" s="18">
        <v>5</v>
      </c>
      <c r="C81" s="18"/>
      <c r="D81" s="18"/>
      <c r="E81" s="18">
        <v>15</v>
      </c>
      <c r="F81" s="18">
        <v>12</v>
      </c>
      <c r="G81" s="18"/>
      <c r="H81" s="18"/>
      <c r="I81" s="18" t="s">
        <v>78</v>
      </c>
    </row>
    <row r="82" spans="1:10" ht="15">
      <c r="A82" s="17" t="s">
        <v>65</v>
      </c>
      <c r="B82" s="18">
        <v>4</v>
      </c>
      <c r="C82" s="18"/>
      <c r="D82" s="18"/>
      <c r="E82" s="18">
        <v>12</v>
      </c>
      <c r="F82" s="18">
        <v>15</v>
      </c>
      <c r="G82" s="18"/>
      <c r="H82" s="18"/>
      <c r="I82" s="18" t="s">
        <v>83</v>
      </c>
    </row>
    <row r="83" spans="1:10" ht="15">
      <c r="A83" s="17" t="s">
        <v>31</v>
      </c>
      <c r="B83" s="18">
        <v>5</v>
      </c>
      <c r="C83" s="18"/>
      <c r="D83" s="18"/>
      <c r="E83" s="18">
        <v>11</v>
      </c>
      <c r="F83" s="18">
        <v>14</v>
      </c>
      <c r="G83" s="18"/>
      <c r="H83" s="18"/>
      <c r="I83" s="18" t="s">
        <v>88</v>
      </c>
    </row>
    <row r="84" spans="1:10" ht="15">
      <c r="A84" s="17" t="s">
        <v>186</v>
      </c>
      <c r="B84" s="18" t="s">
        <v>150</v>
      </c>
      <c r="C84" s="18"/>
      <c r="D84" s="18"/>
      <c r="E84" s="18" t="s">
        <v>124</v>
      </c>
      <c r="F84" s="18" t="s">
        <v>123</v>
      </c>
      <c r="G84" s="18"/>
      <c r="H84" s="18"/>
      <c r="I84" s="18" t="s">
        <v>187</v>
      </c>
    </row>
    <row r="85" spans="1:10" ht="15">
      <c r="A85" s="17" t="s">
        <v>32</v>
      </c>
      <c r="B85" s="18">
        <v>6</v>
      </c>
      <c r="C85" s="18"/>
      <c r="D85" s="18"/>
      <c r="E85" s="18">
        <v>14</v>
      </c>
      <c r="F85" s="18">
        <v>18</v>
      </c>
      <c r="G85" s="18"/>
      <c r="H85" s="18"/>
      <c r="I85" s="18" t="s">
        <v>84</v>
      </c>
    </row>
    <row r="89" spans="1:10" ht="15">
      <c r="A89" s="14" t="s">
        <v>182</v>
      </c>
      <c r="B89" s="15" t="s">
        <v>176</v>
      </c>
      <c r="C89" s="15" t="s">
        <v>177</v>
      </c>
      <c r="D89" s="15" t="s">
        <v>178</v>
      </c>
      <c r="E89" s="15" t="s">
        <v>179</v>
      </c>
      <c r="F89" s="15" t="s">
        <v>90</v>
      </c>
    </row>
    <row r="90" spans="1:10" ht="15">
      <c r="A90" s="14" t="s">
        <v>181</v>
      </c>
      <c r="B90" s="15" t="s">
        <v>125</v>
      </c>
      <c r="C90" s="15" t="s">
        <v>180</v>
      </c>
      <c r="D90" s="15" t="s">
        <v>18</v>
      </c>
      <c r="E90" s="15" t="s">
        <v>180</v>
      </c>
      <c r="F90" s="15" t="s">
        <v>181</v>
      </c>
      <c r="I90" s="15" t="s">
        <v>199</v>
      </c>
    </row>
    <row r="91" spans="1:10" ht="15">
      <c r="A91" s="17" t="s">
        <v>196</v>
      </c>
      <c r="B91" s="18"/>
      <c r="C91" s="18"/>
      <c r="D91" s="18"/>
      <c r="E91" s="18"/>
      <c r="F91" s="21" t="s">
        <v>203</v>
      </c>
      <c r="I91" s="18" t="s">
        <v>201</v>
      </c>
      <c r="J91" s="18" t="s">
        <v>201</v>
      </c>
    </row>
    <row r="92" spans="1:10" ht="15">
      <c r="A92" s="17" t="s">
        <v>98</v>
      </c>
      <c r="B92" s="18"/>
      <c r="C92" s="18"/>
      <c r="D92" s="18"/>
      <c r="E92" s="18"/>
      <c r="F92" s="21" t="s">
        <v>203</v>
      </c>
      <c r="I92" s="18" t="s">
        <v>201</v>
      </c>
      <c r="J92" s="18" t="s">
        <v>201</v>
      </c>
    </row>
    <row r="93" spans="1:10" ht="15">
      <c r="A93" s="17" t="s">
        <v>205</v>
      </c>
      <c r="B93" s="18" t="s">
        <v>105</v>
      </c>
      <c r="C93" s="18" t="s">
        <v>150</v>
      </c>
      <c r="D93" s="18" t="s">
        <v>116</v>
      </c>
      <c r="E93" s="18" t="s">
        <v>107</v>
      </c>
      <c r="F93" s="21" t="s">
        <v>203</v>
      </c>
      <c r="I93" s="18" t="s">
        <v>201</v>
      </c>
      <c r="J93" s="18" t="s">
        <v>201</v>
      </c>
    </row>
    <row r="94" spans="1:10" ht="15">
      <c r="A94" s="17" t="s">
        <v>206</v>
      </c>
      <c r="B94" s="18" t="s">
        <v>107</v>
      </c>
      <c r="C94" s="18" t="s">
        <v>107</v>
      </c>
      <c r="D94" s="18" t="s">
        <v>111</v>
      </c>
      <c r="E94" s="18" t="s">
        <v>109</v>
      </c>
      <c r="F94" s="18" t="s">
        <v>194</v>
      </c>
      <c r="I94" s="18" t="s">
        <v>2</v>
      </c>
      <c r="J94" s="18" t="s">
        <v>201</v>
      </c>
    </row>
    <row r="95" spans="1:10" ht="15">
      <c r="A95" s="17" t="s">
        <v>207</v>
      </c>
      <c r="B95" s="18" t="s">
        <v>105</v>
      </c>
      <c r="C95" s="18" t="s">
        <v>153</v>
      </c>
      <c r="D95" s="18" t="s">
        <v>116</v>
      </c>
      <c r="E95" s="18" t="s">
        <v>107</v>
      </c>
      <c r="F95" s="21" t="s">
        <v>203</v>
      </c>
      <c r="I95" s="18" t="s">
        <v>201</v>
      </c>
      <c r="J95" s="18" t="s">
        <v>201</v>
      </c>
    </row>
    <row r="96" spans="1:10" ht="15">
      <c r="A96" s="17" t="s">
        <v>208</v>
      </c>
      <c r="B96" s="18" t="s">
        <v>107</v>
      </c>
      <c r="C96" s="18" t="s">
        <v>153</v>
      </c>
      <c r="D96" s="18" t="s">
        <v>111</v>
      </c>
      <c r="E96" s="18" t="s">
        <v>150</v>
      </c>
      <c r="F96" s="18" t="s">
        <v>183</v>
      </c>
      <c r="I96" s="18" t="s">
        <v>201</v>
      </c>
      <c r="J96" s="18" t="s">
        <v>201</v>
      </c>
    </row>
    <row r="97" spans="1:10" ht="15">
      <c r="A97" s="17" t="s">
        <v>209</v>
      </c>
      <c r="B97" s="18" t="s">
        <v>142</v>
      </c>
      <c r="C97" s="18" t="s">
        <v>153</v>
      </c>
      <c r="D97" s="18" t="s">
        <v>117</v>
      </c>
      <c r="E97" s="18" t="s">
        <v>107</v>
      </c>
      <c r="F97" s="21" t="s">
        <v>203</v>
      </c>
      <c r="I97" s="18" t="s">
        <v>201</v>
      </c>
      <c r="J97" s="18" t="s">
        <v>201</v>
      </c>
    </row>
    <row r="98" spans="1:10" ht="15">
      <c r="A98" s="17" t="s">
        <v>210</v>
      </c>
      <c r="B98" s="18" t="s">
        <v>105</v>
      </c>
      <c r="C98" s="18" t="s">
        <v>150</v>
      </c>
      <c r="D98" s="18" t="s">
        <v>116</v>
      </c>
      <c r="E98" s="18" t="s">
        <v>105</v>
      </c>
      <c r="F98" s="21" t="s">
        <v>203</v>
      </c>
      <c r="I98" s="18" t="s">
        <v>201</v>
      </c>
      <c r="J98" s="18" t="s">
        <v>201</v>
      </c>
    </row>
    <row r="99" spans="1:10" ht="15">
      <c r="A99" s="17" t="s">
        <v>211</v>
      </c>
      <c r="B99" s="18" t="s">
        <v>153</v>
      </c>
      <c r="C99" s="18" t="s">
        <v>150</v>
      </c>
      <c r="D99" s="18" t="s">
        <v>111</v>
      </c>
      <c r="E99" s="18" t="s">
        <v>105</v>
      </c>
      <c r="F99" s="21" t="s">
        <v>203</v>
      </c>
      <c r="I99" s="18" t="s">
        <v>201</v>
      </c>
      <c r="J99" s="18" t="s">
        <v>201</v>
      </c>
    </row>
    <row r="100" spans="1:10" ht="15">
      <c r="A100" s="17" t="s">
        <v>212</v>
      </c>
      <c r="B100" s="18" t="s">
        <v>150</v>
      </c>
      <c r="C100" s="18" t="s">
        <v>153</v>
      </c>
      <c r="D100" s="18" t="s">
        <v>111</v>
      </c>
      <c r="E100" s="18" t="s">
        <v>105</v>
      </c>
      <c r="F100" s="21" t="s">
        <v>203</v>
      </c>
      <c r="I100" s="18" t="s">
        <v>201</v>
      </c>
      <c r="J100" s="18" t="s">
        <v>201</v>
      </c>
    </row>
    <row r="101" spans="1:10" ht="15">
      <c r="A101" s="17" t="s">
        <v>213</v>
      </c>
      <c r="B101" s="18" t="s">
        <v>153</v>
      </c>
      <c r="C101" s="18" t="s">
        <v>153</v>
      </c>
      <c r="D101" s="18" t="s">
        <v>113</v>
      </c>
      <c r="E101" s="18" t="s">
        <v>105</v>
      </c>
      <c r="F101" s="21" t="s">
        <v>203</v>
      </c>
      <c r="I101" s="18" t="s">
        <v>201</v>
      </c>
      <c r="J101" s="18" t="s">
        <v>201</v>
      </c>
    </row>
    <row r="102" spans="1:10" ht="15">
      <c r="A102" s="17" t="s">
        <v>214</v>
      </c>
      <c r="B102" s="18" t="s">
        <v>150</v>
      </c>
      <c r="C102" s="18" t="s">
        <v>150</v>
      </c>
      <c r="D102" s="18" t="s">
        <v>113</v>
      </c>
      <c r="E102" s="18" t="s">
        <v>150</v>
      </c>
      <c r="F102" s="21" t="s">
        <v>203</v>
      </c>
      <c r="I102" s="18" t="s">
        <v>201</v>
      </c>
      <c r="J102" s="18" t="s">
        <v>201</v>
      </c>
    </row>
    <row r="103" spans="1:10" ht="15">
      <c r="A103" s="17" t="s">
        <v>215</v>
      </c>
      <c r="B103" s="18" t="s">
        <v>153</v>
      </c>
      <c r="C103" s="18" t="s">
        <v>150</v>
      </c>
      <c r="D103" s="18" t="s">
        <v>111</v>
      </c>
      <c r="E103" s="18" t="s">
        <v>150</v>
      </c>
      <c r="F103" s="21" t="s">
        <v>203</v>
      </c>
      <c r="I103" s="18" t="s">
        <v>201</v>
      </c>
      <c r="J103" s="18" t="s">
        <v>201</v>
      </c>
    </row>
    <row r="104" spans="1:10" ht="15">
      <c r="A104" s="17" t="s">
        <v>216</v>
      </c>
      <c r="B104" s="18" t="s">
        <v>142</v>
      </c>
      <c r="C104" s="18" t="s">
        <v>153</v>
      </c>
      <c r="D104" s="18" t="s">
        <v>113</v>
      </c>
      <c r="E104" s="18" t="s">
        <v>150</v>
      </c>
      <c r="F104" s="21" t="s">
        <v>203</v>
      </c>
      <c r="I104" s="18" t="s">
        <v>201</v>
      </c>
      <c r="J104" s="18" t="s">
        <v>201</v>
      </c>
    </row>
    <row r="105" spans="1:10" ht="15">
      <c r="A105" s="17" t="s">
        <v>217</v>
      </c>
      <c r="B105" s="18" t="s">
        <v>142</v>
      </c>
      <c r="C105" s="18" t="s">
        <v>153</v>
      </c>
      <c r="D105" s="18" t="s">
        <v>109</v>
      </c>
      <c r="E105" s="18" t="s">
        <v>150</v>
      </c>
      <c r="F105" s="21" t="s">
        <v>203</v>
      </c>
      <c r="I105" s="18" t="s">
        <v>201</v>
      </c>
      <c r="J105" s="18" t="s">
        <v>201</v>
      </c>
    </row>
    <row r="106" spans="1:10" ht="15">
      <c r="A106" s="17" t="s">
        <v>218</v>
      </c>
      <c r="B106" s="18" t="s">
        <v>153</v>
      </c>
      <c r="C106" s="18" t="s">
        <v>153</v>
      </c>
      <c r="D106" s="18" t="s">
        <v>111</v>
      </c>
      <c r="E106" s="18" t="s">
        <v>150</v>
      </c>
      <c r="F106" s="21" t="s">
        <v>203</v>
      </c>
      <c r="I106" s="18" t="s">
        <v>201</v>
      </c>
      <c r="J106" s="18" t="s">
        <v>201</v>
      </c>
    </row>
    <row r="107" spans="1:10" ht="15">
      <c r="A107" s="17" t="s">
        <v>219</v>
      </c>
      <c r="B107" s="18" t="s">
        <v>105</v>
      </c>
      <c r="C107" s="18" t="s">
        <v>153</v>
      </c>
      <c r="D107" s="18" t="s">
        <v>109</v>
      </c>
      <c r="E107" s="18" t="s">
        <v>150</v>
      </c>
      <c r="F107" s="21" t="s">
        <v>203</v>
      </c>
      <c r="I107" s="18" t="s">
        <v>201</v>
      </c>
      <c r="J107" s="18" t="s">
        <v>201</v>
      </c>
    </row>
    <row r="108" spans="1:10" ht="15">
      <c r="A108" s="17" t="s">
        <v>220</v>
      </c>
      <c r="B108" s="18" t="s">
        <v>150</v>
      </c>
      <c r="C108" s="18" t="s">
        <v>105</v>
      </c>
      <c r="D108" s="18" t="s">
        <v>111</v>
      </c>
      <c r="E108" s="18" t="s">
        <v>153</v>
      </c>
      <c r="F108" s="21" t="s">
        <v>203</v>
      </c>
      <c r="I108" s="18" t="s">
        <v>201</v>
      </c>
      <c r="J108" s="18" t="s">
        <v>201</v>
      </c>
    </row>
    <row r="109" spans="1:10" ht="15">
      <c r="A109" s="17" t="s">
        <v>221</v>
      </c>
      <c r="B109" s="18" t="s">
        <v>150</v>
      </c>
      <c r="C109" s="18" t="s">
        <v>153</v>
      </c>
      <c r="D109" s="18" t="s">
        <v>113</v>
      </c>
      <c r="E109" s="18" t="s">
        <v>153</v>
      </c>
      <c r="F109" s="21" t="s">
        <v>203</v>
      </c>
      <c r="I109" s="18" t="s">
        <v>201</v>
      </c>
      <c r="J109" s="18" t="s">
        <v>201</v>
      </c>
    </row>
    <row r="110" spans="1:10" ht="15">
      <c r="A110" s="17" t="s">
        <v>222</v>
      </c>
      <c r="B110" s="18" t="s">
        <v>142</v>
      </c>
      <c r="C110" s="18" t="s">
        <v>153</v>
      </c>
      <c r="D110" s="18" t="s">
        <v>116</v>
      </c>
      <c r="E110" s="18" t="s">
        <v>153</v>
      </c>
      <c r="F110" s="21" t="s">
        <v>203</v>
      </c>
      <c r="I110" s="18" t="s">
        <v>201</v>
      </c>
      <c r="J110" s="18" t="s">
        <v>201</v>
      </c>
    </row>
    <row r="111" spans="1:10" ht="15">
      <c r="A111" s="17" t="s">
        <v>223</v>
      </c>
      <c r="B111" s="18" t="s">
        <v>153</v>
      </c>
      <c r="C111" s="18" t="s">
        <v>142</v>
      </c>
      <c r="D111" s="18" t="s">
        <v>109</v>
      </c>
      <c r="E111" s="18" t="s">
        <v>153</v>
      </c>
      <c r="F111" s="21" t="s">
        <v>203</v>
      </c>
      <c r="I111" s="18" t="s">
        <v>201</v>
      </c>
      <c r="J111" s="18" t="s">
        <v>201</v>
      </c>
    </row>
    <row r="112" spans="1:10" ht="15">
      <c r="A112" s="17" t="s">
        <v>224</v>
      </c>
      <c r="B112" s="18" t="s">
        <v>150</v>
      </c>
      <c r="C112" s="18" t="s">
        <v>153</v>
      </c>
      <c r="D112" s="18" t="s">
        <v>109</v>
      </c>
      <c r="E112" s="18" t="s">
        <v>142</v>
      </c>
      <c r="F112" s="21" t="s">
        <v>203</v>
      </c>
      <c r="I112" s="18" t="s">
        <v>201</v>
      </c>
      <c r="J112" s="18" t="s">
        <v>201</v>
      </c>
    </row>
    <row r="113" spans="1:10" ht="15">
      <c r="A113" s="17" t="s">
        <v>225</v>
      </c>
      <c r="B113" s="18" t="s">
        <v>107</v>
      </c>
      <c r="C113" s="18" t="s">
        <v>105</v>
      </c>
      <c r="D113" s="18" t="s">
        <v>111</v>
      </c>
      <c r="E113" s="18" t="s">
        <v>105</v>
      </c>
      <c r="F113" s="18" t="s">
        <v>184</v>
      </c>
      <c r="I113" s="18" t="s">
        <v>8</v>
      </c>
      <c r="J113" s="18" t="s">
        <v>201</v>
      </c>
    </row>
    <row r="114" spans="1:10" ht="15">
      <c r="A114" s="17" t="s">
        <v>226</v>
      </c>
      <c r="B114" s="18" t="s">
        <v>105</v>
      </c>
      <c r="C114" s="18" t="s">
        <v>153</v>
      </c>
      <c r="D114" s="18" t="s">
        <v>113</v>
      </c>
      <c r="E114" s="18" t="s">
        <v>142</v>
      </c>
      <c r="F114" s="21" t="s">
        <v>203</v>
      </c>
      <c r="I114" s="18" t="s">
        <v>201</v>
      </c>
      <c r="J114" s="18" t="s">
        <v>201</v>
      </c>
    </row>
    <row r="115" spans="1:10" ht="15">
      <c r="A115" s="17" t="s">
        <v>227</v>
      </c>
      <c r="B115" s="18" t="s">
        <v>107</v>
      </c>
      <c r="C115" s="18" t="s">
        <v>105</v>
      </c>
      <c r="D115" s="18" t="s">
        <v>113</v>
      </c>
      <c r="E115" s="18" t="s">
        <v>105</v>
      </c>
      <c r="F115" s="18" t="s">
        <v>184</v>
      </c>
      <c r="I115" s="18" t="s">
        <v>8</v>
      </c>
      <c r="J115" s="18" t="s">
        <v>201</v>
      </c>
    </row>
    <row r="116" spans="1:10" ht="15">
      <c r="A116" s="17" t="s">
        <v>228</v>
      </c>
      <c r="B116" s="18" t="s">
        <v>153</v>
      </c>
      <c r="C116" s="18" t="s">
        <v>142</v>
      </c>
      <c r="D116" s="18" t="s">
        <v>109</v>
      </c>
      <c r="E116" s="18" t="s">
        <v>142</v>
      </c>
      <c r="F116" s="21" t="s">
        <v>203</v>
      </c>
      <c r="I116" s="18" t="s">
        <v>201</v>
      </c>
      <c r="J116" s="18" t="s">
        <v>201</v>
      </c>
    </row>
    <row r="117" spans="1:10" ht="15">
      <c r="A117" s="17" t="s">
        <v>229</v>
      </c>
      <c r="B117" s="18" t="s">
        <v>142</v>
      </c>
      <c r="C117" s="18" t="s">
        <v>109</v>
      </c>
      <c r="D117" s="18" t="s">
        <v>117</v>
      </c>
      <c r="E117" s="18" t="s">
        <v>142</v>
      </c>
      <c r="F117" s="21" t="s">
        <v>203</v>
      </c>
      <c r="I117" s="18" t="s">
        <v>201</v>
      </c>
      <c r="J117" s="18" t="s">
        <v>201</v>
      </c>
    </row>
    <row r="118" spans="1:10" ht="15">
      <c r="A118" s="17" t="s">
        <v>66</v>
      </c>
      <c r="B118" s="18"/>
      <c r="C118" s="18"/>
      <c r="D118" s="18"/>
      <c r="E118" s="18"/>
      <c r="F118" s="21" t="s">
        <v>203</v>
      </c>
      <c r="I118" s="18" t="s">
        <v>201</v>
      </c>
      <c r="J118" s="18" t="s">
        <v>201</v>
      </c>
    </row>
    <row r="119" spans="1:10" ht="15">
      <c r="A119" s="17" t="s">
        <v>230</v>
      </c>
      <c r="B119" s="18" t="s">
        <v>105</v>
      </c>
      <c r="C119" s="18" t="s">
        <v>150</v>
      </c>
      <c r="D119" s="18" t="s">
        <v>111</v>
      </c>
      <c r="E119" s="18" t="s">
        <v>107</v>
      </c>
      <c r="F119" s="18" t="s">
        <v>185</v>
      </c>
      <c r="I119" s="18" t="s">
        <v>24</v>
      </c>
      <c r="J119" s="18" t="s">
        <v>200</v>
      </c>
    </row>
    <row r="120" spans="1:10" ht="15">
      <c r="A120" s="17" t="s">
        <v>231</v>
      </c>
      <c r="B120" s="18" t="s">
        <v>105</v>
      </c>
      <c r="C120" s="18" t="s">
        <v>105</v>
      </c>
      <c r="D120" s="18" t="s">
        <v>107</v>
      </c>
      <c r="E120" s="18" t="s">
        <v>107</v>
      </c>
      <c r="F120" s="18" t="s">
        <v>193</v>
      </c>
      <c r="I120" s="18" t="s">
        <v>30</v>
      </c>
      <c r="J120" s="18" t="s">
        <v>27</v>
      </c>
    </row>
    <row r="121" spans="1:10" ht="15">
      <c r="A121" s="17" t="s">
        <v>232</v>
      </c>
      <c r="B121" s="18" t="s">
        <v>153</v>
      </c>
      <c r="C121" s="18" t="s">
        <v>107</v>
      </c>
      <c r="D121" s="18" t="s">
        <v>109</v>
      </c>
      <c r="E121" s="18" t="s">
        <v>107</v>
      </c>
      <c r="F121" s="21" t="s">
        <v>203</v>
      </c>
      <c r="I121" s="18" t="s">
        <v>201</v>
      </c>
      <c r="J121" s="18" t="s">
        <v>201</v>
      </c>
    </row>
    <row r="122" spans="1:10" ht="15">
      <c r="A122" s="17" t="s">
        <v>233</v>
      </c>
      <c r="B122" s="18" t="s">
        <v>150</v>
      </c>
      <c r="C122" s="18" t="s">
        <v>105</v>
      </c>
      <c r="D122" s="18" t="s">
        <v>116</v>
      </c>
      <c r="E122" s="18" t="s">
        <v>105</v>
      </c>
      <c r="F122" s="21" t="s">
        <v>203</v>
      </c>
      <c r="I122" s="18" t="s">
        <v>201</v>
      </c>
      <c r="J122" s="18" t="s">
        <v>201</v>
      </c>
    </row>
    <row r="123" spans="1:10" ht="15">
      <c r="A123" s="17" t="s">
        <v>234</v>
      </c>
      <c r="B123" s="18" t="s">
        <v>142</v>
      </c>
      <c r="C123" s="18" t="s">
        <v>150</v>
      </c>
      <c r="D123" s="18" t="s">
        <v>150</v>
      </c>
      <c r="E123" s="18" t="s">
        <v>153</v>
      </c>
      <c r="F123" s="21" t="s">
        <v>203</v>
      </c>
      <c r="I123" s="18" t="s">
        <v>201</v>
      </c>
      <c r="J123" s="18" t="s">
        <v>201</v>
      </c>
    </row>
    <row r="124" spans="1:10" ht="15">
      <c r="A124" s="17" t="s">
        <v>235</v>
      </c>
      <c r="B124" s="18" t="s">
        <v>153</v>
      </c>
      <c r="C124" s="18" t="s">
        <v>105</v>
      </c>
      <c r="D124" s="18" t="s">
        <v>117</v>
      </c>
      <c r="E124" s="18" t="s">
        <v>142</v>
      </c>
      <c r="F124" s="21" t="s">
        <v>203</v>
      </c>
      <c r="I124" s="18" t="s">
        <v>201</v>
      </c>
      <c r="J124" s="18" t="s">
        <v>201</v>
      </c>
    </row>
    <row r="125" spans="1:10" ht="15">
      <c r="A125" s="17" t="s">
        <v>236</v>
      </c>
      <c r="B125" s="18" t="s">
        <v>142</v>
      </c>
      <c r="C125" s="18" t="s">
        <v>150</v>
      </c>
      <c r="D125" s="18" t="s">
        <v>111</v>
      </c>
      <c r="E125" s="18" t="s">
        <v>150</v>
      </c>
      <c r="F125" s="21" t="s">
        <v>203</v>
      </c>
      <c r="I125" s="18" t="s">
        <v>201</v>
      </c>
      <c r="J125" s="18" t="s">
        <v>201</v>
      </c>
    </row>
    <row r="126" spans="1:10" ht="15">
      <c r="A126" s="17" t="s">
        <v>237</v>
      </c>
      <c r="B126" s="18" t="s">
        <v>153</v>
      </c>
      <c r="C126" s="18" t="s">
        <v>107</v>
      </c>
      <c r="D126" s="18" t="s">
        <v>109</v>
      </c>
      <c r="E126" s="18" t="s">
        <v>105</v>
      </c>
      <c r="F126" s="21" t="s">
        <v>203</v>
      </c>
      <c r="I126" s="18" t="s">
        <v>201</v>
      </c>
      <c r="J126" s="18" t="s">
        <v>201</v>
      </c>
    </row>
    <row r="127" spans="1:10" ht="15">
      <c r="A127" s="17" t="s">
        <v>238</v>
      </c>
      <c r="B127" s="18" t="s">
        <v>150</v>
      </c>
      <c r="C127" s="18" t="s">
        <v>150</v>
      </c>
      <c r="D127" s="18" t="s">
        <v>116</v>
      </c>
      <c r="E127" s="18" t="s">
        <v>150</v>
      </c>
      <c r="F127" s="21" t="s">
        <v>203</v>
      </c>
      <c r="I127" s="18" t="s">
        <v>201</v>
      </c>
      <c r="J127" s="18" t="s">
        <v>201</v>
      </c>
    </row>
    <row r="128" spans="1:10" ht="15">
      <c r="A128" s="17" t="s">
        <v>239</v>
      </c>
      <c r="B128" s="18" t="s">
        <v>142</v>
      </c>
      <c r="C128" s="18" t="s">
        <v>150</v>
      </c>
      <c r="D128" s="18" t="s">
        <v>109</v>
      </c>
      <c r="E128" s="18" t="s">
        <v>150</v>
      </c>
      <c r="F128" s="21" t="s">
        <v>203</v>
      </c>
      <c r="I128" s="18" t="s">
        <v>201</v>
      </c>
      <c r="J128" s="18" t="s">
        <v>201</v>
      </c>
    </row>
    <row r="129" spans="1:10" ht="15">
      <c r="A129" s="17" t="s">
        <v>240</v>
      </c>
      <c r="B129" s="18" t="s">
        <v>142</v>
      </c>
      <c r="C129" s="18" t="s">
        <v>105</v>
      </c>
      <c r="D129" s="18" t="s">
        <v>109</v>
      </c>
      <c r="E129" s="18" t="s">
        <v>150</v>
      </c>
      <c r="F129" s="21" t="s">
        <v>203</v>
      </c>
      <c r="I129" s="18" t="s">
        <v>201</v>
      </c>
      <c r="J129" s="18" t="s">
        <v>201</v>
      </c>
    </row>
    <row r="130" spans="1:10" ht="15">
      <c r="A130" s="17" t="s">
        <v>241</v>
      </c>
      <c r="B130" s="18" t="s">
        <v>142</v>
      </c>
      <c r="C130" s="18" t="s">
        <v>107</v>
      </c>
      <c r="D130" s="18" t="s">
        <v>109</v>
      </c>
      <c r="E130" s="18" t="s">
        <v>105</v>
      </c>
      <c r="F130" s="21" t="s">
        <v>203</v>
      </c>
      <c r="I130" s="18" t="s">
        <v>201</v>
      </c>
      <c r="J130" s="18" t="s">
        <v>201</v>
      </c>
    </row>
    <row r="131" spans="1:10" ht="15">
      <c r="A131" s="17" t="s">
        <v>242</v>
      </c>
      <c r="B131" s="18" t="s">
        <v>107</v>
      </c>
      <c r="C131" s="18" t="s">
        <v>150</v>
      </c>
      <c r="D131" s="18" t="s">
        <v>109</v>
      </c>
      <c r="E131" s="18" t="s">
        <v>107</v>
      </c>
      <c r="F131" s="18" t="s">
        <v>198</v>
      </c>
      <c r="I131" s="18" t="s">
        <v>30</v>
      </c>
      <c r="J131" s="18" t="s">
        <v>20</v>
      </c>
    </row>
    <row r="132" spans="1:10" ht="15">
      <c r="A132" s="17" t="s">
        <v>67</v>
      </c>
      <c r="B132" s="18"/>
      <c r="C132" s="18"/>
      <c r="D132" s="18"/>
      <c r="E132" s="18"/>
      <c r="F132" s="21" t="s">
        <v>203</v>
      </c>
      <c r="I132" s="18" t="s">
        <v>201</v>
      </c>
      <c r="J132" s="18" t="s">
        <v>201</v>
      </c>
    </row>
    <row r="133" spans="1:10" ht="15">
      <c r="A133" s="17" t="s">
        <v>243</v>
      </c>
      <c r="B133" s="18" t="s">
        <v>109</v>
      </c>
      <c r="C133" s="18" t="s">
        <v>107</v>
      </c>
      <c r="D133" s="18" t="s">
        <v>116</v>
      </c>
      <c r="E133" s="18" t="s">
        <v>107</v>
      </c>
      <c r="F133" s="18" t="s">
        <v>197</v>
      </c>
      <c r="I133" s="18" t="s">
        <v>201</v>
      </c>
      <c r="J133" s="18" t="s">
        <v>201</v>
      </c>
    </row>
    <row r="134" spans="1:10" ht="15">
      <c r="A134" s="17" t="s">
        <v>244</v>
      </c>
      <c r="B134" s="18" t="s">
        <v>142</v>
      </c>
      <c r="C134" s="18" t="s">
        <v>109</v>
      </c>
      <c r="D134" s="18" t="s">
        <v>118</v>
      </c>
      <c r="E134" s="18" t="s">
        <v>105</v>
      </c>
      <c r="F134" s="21" t="s">
        <v>203</v>
      </c>
      <c r="I134" s="18" t="s">
        <v>201</v>
      </c>
      <c r="J134" s="18" t="s">
        <v>201</v>
      </c>
    </row>
    <row r="135" spans="1:10" ht="15">
      <c r="A135" s="17" t="s">
        <v>245</v>
      </c>
      <c r="B135" s="18" t="s">
        <v>153</v>
      </c>
      <c r="C135" s="18" t="s">
        <v>150</v>
      </c>
      <c r="D135" s="18" t="s">
        <v>116</v>
      </c>
      <c r="E135" s="18" t="s">
        <v>105</v>
      </c>
      <c r="F135" s="21" t="s">
        <v>203</v>
      </c>
      <c r="I135" s="18" t="s">
        <v>201</v>
      </c>
      <c r="J135" s="18" t="s">
        <v>201</v>
      </c>
    </row>
    <row r="136" spans="1:10" ht="15">
      <c r="A136" s="17" t="s">
        <v>246</v>
      </c>
      <c r="B136" s="18" t="s">
        <v>105</v>
      </c>
      <c r="C136" s="18" t="s">
        <v>153</v>
      </c>
      <c r="D136" s="18" t="s">
        <v>116</v>
      </c>
      <c r="E136" s="18" t="s">
        <v>105</v>
      </c>
      <c r="F136" s="21" t="s">
        <v>203</v>
      </c>
      <c r="I136" s="18" t="s">
        <v>201</v>
      </c>
      <c r="J136" s="18" t="s">
        <v>201</v>
      </c>
    </row>
    <row r="137" spans="1:10" ht="15">
      <c r="A137" s="17" t="s">
        <v>247</v>
      </c>
      <c r="B137" s="18" t="s">
        <v>153</v>
      </c>
      <c r="C137" s="18" t="s">
        <v>150</v>
      </c>
      <c r="D137" s="18" t="s">
        <v>111</v>
      </c>
      <c r="E137" s="18" t="s">
        <v>150</v>
      </c>
      <c r="F137" s="21" t="s">
        <v>203</v>
      </c>
      <c r="I137" s="18" t="s">
        <v>201</v>
      </c>
      <c r="J137" s="18" t="s">
        <v>201</v>
      </c>
    </row>
    <row r="138" spans="1:10" ht="15">
      <c r="A138" s="17" t="s">
        <v>248</v>
      </c>
      <c r="B138" s="18" t="s">
        <v>142</v>
      </c>
      <c r="C138" s="18" t="s">
        <v>109</v>
      </c>
      <c r="D138" s="18" t="s">
        <v>117</v>
      </c>
      <c r="E138" s="18" t="s">
        <v>150</v>
      </c>
      <c r="F138" s="21" t="s">
        <v>203</v>
      </c>
      <c r="I138" s="18" t="s">
        <v>201</v>
      </c>
      <c r="J138" s="18" t="s">
        <v>201</v>
      </c>
    </row>
    <row r="139" spans="1:10" ht="15">
      <c r="A139" s="17" t="s">
        <v>249</v>
      </c>
      <c r="B139" s="18" t="s">
        <v>150</v>
      </c>
      <c r="C139" s="18" t="s">
        <v>153</v>
      </c>
      <c r="D139" s="18" t="s">
        <v>116</v>
      </c>
      <c r="E139" s="18" t="s">
        <v>150</v>
      </c>
      <c r="F139" s="21" t="s">
        <v>203</v>
      </c>
      <c r="I139" s="18" t="s">
        <v>201</v>
      </c>
      <c r="J139" s="18" t="s">
        <v>201</v>
      </c>
    </row>
    <row r="140" spans="1:10" ht="15">
      <c r="A140" s="17" t="s">
        <v>250</v>
      </c>
      <c r="B140" s="18" t="s">
        <v>153</v>
      </c>
      <c r="C140" s="18" t="s">
        <v>153</v>
      </c>
      <c r="D140" s="18" t="s">
        <v>105</v>
      </c>
      <c r="E140" s="18" t="s">
        <v>107</v>
      </c>
      <c r="F140" s="21" t="s">
        <v>203</v>
      </c>
      <c r="I140" s="18" t="s">
        <v>201</v>
      </c>
      <c r="J140" s="18" t="s">
        <v>201</v>
      </c>
    </row>
    <row r="141" spans="1:10" ht="15">
      <c r="A141" s="17" t="s">
        <v>251</v>
      </c>
      <c r="B141" s="18" t="s">
        <v>107</v>
      </c>
      <c r="C141" s="18" t="s">
        <v>150</v>
      </c>
      <c r="D141" s="18" t="s">
        <v>117</v>
      </c>
      <c r="E141" s="18" t="s">
        <v>150</v>
      </c>
      <c r="F141" s="18" t="s">
        <v>204</v>
      </c>
      <c r="I141" s="18" t="s">
        <v>201</v>
      </c>
      <c r="J141" s="18" t="s">
        <v>201</v>
      </c>
    </row>
    <row r="142" spans="1:10" ht="15">
      <c r="A142" s="17" t="s">
        <v>252</v>
      </c>
      <c r="B142" s="18" t="s">
        <v>153</v>
      </c>
      <c r="C142" s="18" t="s">
        <v>153</v>
      </c>
      <c r="D142" s="18" t="s">
        <v>111</v>
      </c>
      <c r="E142" s="18" t="s">
        <v>153</v>
      </c>
      <c r="F142" s="21" t="s">
        <v>203</v>
      </c>
      <c r="I142" s="18" t="s">
        <v>201</v>
      </c>
      <c r="J142" s="18" t="s">
        <v>201</v>
      </c>
    </row>
    <row r="143" spans="1:10" ht="15">
      <c r="A143" s="17" t="s">
        <v>253</v>
      </c>
      <c r="B143" s="18" t="s">
        <v>105</v>
      </c>
      <c r="C143" s="18" t="s">
        <v>150</v>
      </c>
      <c r="D143" s="18" t="s">
        <v>116</v>
      </c>
      <c r="E143" s="18" t="s">
        <v>107</v>
      </c>
      <c r="F143" s="18" t="s">
        <v>192</v>
      </c>
      <c r="I143" s="18" t="s">
        <v>201</v>
      </c>
      <c r="J143" s="18" t="s">
        <v>201</v>
      </c>
    </row>
    <row r="146" spans="1:5" ht="15">
      <c r="A146" s="14" t="s">
        <v>255</v>
      </c>
      <c r="B146" s="15" t="s">
        <v>256</v>
      </c>
      <c r="D146" s="15" t="s">
        <v>257</v>
      </c>
    </row>
    <row r="147" spans="1:5" ht="15">
      <c r="A147" s="17" t="s">
        <v>196</v>
      </c>
      <c r="B147" s="18"/>
      <c r="C147" s="18"/>
      <c r="D147" s="18"/>
      <c r="E147" s="18"/>
    </row>
    <row r="148" spans="1:5" ht="15">
      <c r="A148" s="17" t="s">
        <v>70</v>
      </c>
      <c r="B148" s="18" t="s">
        <v>142</v>
      </c>
      <c r="C148" s="18" t="s">
        <v>145</v>
      </c>
      <c r="D148" s="18" t="s">
        <v>107</v>
      </c>
      <c r="E148" s="18" t="s">
        <v>145</v>
      </c>
    </row>
    <row r="149" spans="1:5" ht="15">
      <c r="A149" s="17" t="s">
        <v>264</v>
      </c>
      <c r="B149" s="18" t="s">
        <v>153</v>
      </c>
      <c r="C149" s="18" t="s">
        <v>145</v>
      </c>
      <c r="D149" s="18" t="s">
        <v>117</v>
      </c>
      <c r="E149" s="18" t="s">
        <v>145</v>
      </c>
    </row>
    <row r="150" spans="1:5" ht="15">
      <c r="A150" s="17" t="s">
        <v>258</v>
      </c>
      <c r="B150" s="18" t="s">
        <v>153</v>
      </c>
      <c r="C150" s="18" t="s">
        <v>145</v>
      </c>
      <c r="D150" s="18" t="s">
        <v>107</v>
      </c>
      <c r="E150" s="18" t="s">
        <v>145</v>
      </c>
    </row>
    <row r="151" spans="1:5" ht="15">
      <c r="A151" s="17" t="s">
        <v>265</v>
      </c>
      <c r="B151" s="18" t="s">
        <v>105</v>
      </c>
      <c r="C151" s="18" t="s">
        <v>145</v>
      </c>
      <c r="D151" s="18" t="s">
        <v>117</v>
      </c>
      <c r="E151" s="18" t="s">
        <v>145</v>
      </c>
    </row>
    <row r="152" spans="1:5" ht="15">
      <c r="A152" s="17" t="s">
        <v>12</v>
      </c>
      <c r="B152" s="18" t="s">
        <v>153</v>
      </c>
      <c r="C152" s="18" t="s">
        <v>145</v>
      </c>
      <c r="D152" s="18" t="s">
        <v>107</v>
      </c>
      <c r="E152" s="18" t="s">
        <v>145</v>
      </c>
    </row>
    <row r="153" spans="1:5" ht="15">
      <c r="A153" s="17" t="s">
        <v>266</v>
      </c>
      <c r="B153" s="18" t="s">
        <v>105</v>
      </c>
      <c r="C153" s="18" t="s">
        <v>145</v>
      </c>
      <c r="D153" s="18" t="s">
        <v>117</v>
      </c>
      <c r="E153" s="18" t="s">
        <v>145</v>
      </c>
    </row>
    <row r="154" spans="1:5" ht="15">
      <c r="A154" s="17" t="s">
        <v>259</v>
      </c>
      <c r="B154" s="18" t="s">
        <v>142</v>
      </c>
      <c r="C154" s="18" t="s">
        <v>145</v>
      </c>
      <c r="D154" s="18" t="s">
        <v>107</v>
      </c>
      <c r="E154" s="18" t="s">
        <v>145</v>
      </c>
    </row>
    <row r="155" spans="1:5" ht="15">
      <c r="A155" s="17" t="s">
        <v>267</v>
      </c>
      <c r="B155" s="18" t="s">
        <v>153</v>
      </c>
      <c r="C155" s="18" t="s">
        <v>145</v>
      </c>
      <c r="D155" s="18" t="s">
        <v>117</v>
      </c>
      <c r="E155" s="18" t="s">
        <v>145</v>
      </c>
    </row>
    <row r="156" spans="1:5" ht="15">
      <c r="A156" s="17" t="s">
        <v>5</v>
      </c>
      <c r="B156" s="18" t="s">
        <v>145</v>
      </c>
      <c r="C156" s="18" t="s">
        <v>145</v>
      </c>
      <c r="D156" s="18" t="s">
        <v>145</v>
      </c>
      <c r="E156" s="18" t="s">
        <v>150</v>
      </c>
    </row>
    <row r="157" spans="1:5" ht="15">
      <c r="A157" s="17" t="s">
        <v>268</v>
      </c>
      <c r="B157" s="18" t="s">
        <v>142</v>
      </c>
      <c r="C157" s="18" t="s">
        <v>145</v>
      </c>
      <c r="D157" s="18" t="s">
        <v>142</v>
      </c>
      <c r="E157" s="18" t="s">
        <v>107</v>
      </c>
    </row>
    <row r="158" spans="1:5" ht="15">
      <c r="A158" s="17" t="s">
        <v>4</v>
      </c>
      <c r="B158" s="18" t="s">
        <v>153</v>
      </c>
      <c r="C158" s="18" t="s">
        <v>145</v>
      </c>
      <c r="D158" s="18" t="s">
        <v>117</v>
      </c>
      <c r="E158" s="18" t="s">
        <v>107</v>
      </c>
    </row>
    <row r="159" spans="1:5" ht="15">
      <c r="A159" s="17" t="s">
        <v>269</v>
      </c>
      <c r="B159" s="18" t="s">
        <v>153</v>
      </c>
      <c r="C159" s="18" t="s">
        <v>145</v>
      </c>
      <c r="D159" s="18" t="s">
        <v>117</v>
      </c>
      <c r="E159" s="18" t="s">
        <v>107</v>
      </c>
    </row>
    <row r="160" spans="1:5" ht="15">
      <c r="A160" s="17" t="s">
        <v>21</v>
      </c>
      <c r="B160" s="18" t="s">
        <v>150</v>
      </c>
      <c r="C160" s="18" t="s">
        <v>107</v>
      </c>
      <c r="D160" s="18" t="s">
        <v>107</v>
      </c>
      <c r="E160" s="18" t="s">
        <v>150</v>
      </c>
    </row>
    <row r="161" spans="1:5" ht="15">
      <c r="A161" s="17" t="s">
        <v>270</v>
      </c>
      <c r="B161" s="18" t="s">
        <v>105</v>
      </c>
      <c r="C161" s="18" t="s">
        <v>107</v>
      </c>
      <c r="D161" s="18" t="s">
        <v>117</v>
      </c>
      <c r="E161" s="18" t="s">
        <v>107</v>
      </c>
    </row>
    <row r="162" spans="1:5" ht="15">
      <c r="A162" s="17" t="s">
        <v>260</v>
      </c>
      <c r="B162" s="18" t="s">
        <v>109</v>
      </c>
      <c r="C162" s="18" t="s">
        <v>107</v>
      </c>
      <c r="D162" s="18" t="s">
        <v>117</v>
      </c>
      <c r="E162" s="18" t="s">
        <v>117</v>
      </c>
    </row>
    <row r="163" spans="1:5" ht="15">
      <c r="A163" s="17" t="s">
        <v>271</v>
      </c>
      <c r="B163" s="18" t="s">
        <v>109</v>
      </c>
      <c r="C163" s="18" t="s">
        <v>107</v>
      </c>
      <c r="D163" s="18" t="s">
        <v>117</v>
      </c>
      <c r="E163" s="18" t="s">
        <v>117</v>
      </c>
    </row>
    <row r="164" spans="1:5" ht="15">
      <c r="A164" s="17" t="s">
        <v>25</v>
      </c>
      <c r="B164" s="18" t="s">
        <v>153</v>
      </c>
      <c r="C164" s="18" t="s">
        <v>107</v>
      </c>
      <c r="D164" s="18" t="s">
        <v>145</v>
      </c>
      <c r="E164" s="18" t="s">
        <v>150</v>
      </c>
    </row>
    <row r="165" spans="1:5" ht="15">
      <c r="A165" s="17" t="s">
        <v>272</v>
      </c>
      <c r="B165" s="18" t="s">
        <v>150</v>
      </c>
      <c r="C165" s="18" t="s">
        <v>107</v>
      </c>
      <c r="D165" s="18" t="s">
        <v>142</v>
      </c>
      <c r="E165" s="18" t="s">
        <v>107</v>
      </c>
    </row>
    <row r="166" spans="1:5" ht="15">
      <c r="A166" s="17" t="s">
        <v>23</v>
      </c>
      <c r="B166" s="18" t="s">
        <v>107</v>
      </c>
      <c r="C166" s="18" t="s">
        <v>107</v>
      </c>
      <c r="D166" s="18" t="s">
        <v>117</v>
      </c>
      <c r="E166" s="18" t="s">
        <v>117</v>
      </c>
    </row>
    <row r="167" spans="1:5" ht="15">
      <c r="A167" s="17" t="s">
        <v>273</v>
      </c>
      <c r="B167" s="18" t="s">
        <v>107</v>
      </c>
      <c r="C167" s="18" t="s">
        <v>107</v>
      </c>
      <c r="D167" s="18" t="s">
        <v>117</v>
      </c>
      <c r="E167" s="18" t="s">
        <v>117</v>
      </c>
    </row>
    <row r="168" spans="1:5" ht="15">
      <c r="A168" s="17" t="s">
        <v>74</v>
      </c>
      <c r="B168" s="18" t="s">
        <v>142</v>
      </c>
      <c r="C168" s="18" t="s">
        <v>145</v>
      </c>
      <c r="D168" s="18" t="s">
        <v>107</v>
      </c>
      <c r="E168" s="18" t="s">
        <v>145</v>
      </c>
    </row>
    <row r="169" spans="1:5" ht="15">
      <c r="A169" s="17" t="s">
        <v>274</v>
      </c>
      <c r="B169" s="18" t="s">
        <v>153</v>
      </c>
      <c r="C169" s="18" t="s">
        <v>145</v>
      </c>
      <c r="D169" s="18" t="s">
        <v>117</v>
      </c>
      <c r="E169" s="18" t="s">
        <v>145</v>
      </c>
    </row>
    <row r="170" spans="1:5" ht="15">
      <c r="A170" s="17" t="s">
        <v>261</v>
      </c>
      <c r="B170" s="18" t="s">
        <v>153</v>
      </c>
      <c r="C170" s="18" t="s">
        <v>107</v>
      </c>
      <c r="D170" s="18" t="s">
        <v>142</v>
      </c>
      <c r="E170" s="18" t="s">
        <v>150</v>
      </c>
    </row>
    <row r="171" spans="1:5" ht="15">
      <c r="A171" s="17" t="s">
        <v>275</v>
      </c>
      <c r="B171" s="18" t="s">
        <v>105</v>
      </c>
      <c r="C171" s="18" t="s">
        <v>107</v>
      </c>
      <c r="D171" s="18" t="s">
        <v>117</v>
      </c>
      <c r="E171" s="18" t="s">
        <v>107</v>
      </c>
    </row>
    <row r="172" spans="1:5" ht="15">
      <c r="A172" s="17" t="s">
        <v>262</v>
      </c>
      <c r="B172" s="18" t="s">
        <v>142</v>
      </c>
      <c r="C172" s="18" t="s">
        <v>107</v>
      </c>
      <c r="D172" s="18" t="s">
        <v>107</v>
      </c>
      <c r="E172" s="18" t="s">
        <v>107</v>
      </c>
    </row>
    <row r="173" spans="1:5" ht="15">
      <c r="A173" s="17" t="s">
        <v>276</v>
      </c>
      <c r="B173" s="18" t="s">
        <v>153</v>
      </c>
      <c r="C173" s="18" t="s">
        <v>107</v>
      </c>
      <c r="D173" s="18" t="s">
        <v>117</v>
      </c>
      <c r="E173" s="18" t="s">
        <v>107</v>
      </c>
    </row>
    <row r="174" spans="1:5" ht="15">
      <c r="A174" s="17" t="s">
        <v>29</v>
      </c>
      <c r="B174" s="18" t="s">
        <v>105</v>
      </c>
      <c r="C174" s="18" t="s">
        <v>107</v>
      </c>
      <c r="D174" s="18" t="s">
        <v>117</v>
      </c>
      <c r="E174" s="18" t="s">
        <v>117</v>
      </c>
    </row>
    <row r="175" spans="1:5" ht="15">
      <c r="A175" s="17" t="s">
        <v>277</v>
      </c>
      <c r="B175" s="18" t="s">
        <v>105</v>
      </c>
      <c r="C175" s="18" t="s">
        <v>107</v>
      </c>
      <c r="D175" s="18" t="s">
        <v>117</v>
      </c>
      <c r="E175" s="18" t="s">
        <v>117</v>
      </c>
    </row>
    <row r="176" spans="1:5" ht="15">
      <c r="A176" s="17" t="s">
        <v>263</v>
      </c>
      <c r="B176" s="18" t="s">
        <v>150</v>
      </c>
      <c r="C176" s="18" t="s">
        <v>145</v>
      </c>
      <c r="D176" s="18" t="s">
        <v>107</v>
      </c>
      <c r="E176" s="18" t="s">
        <v>145</v>
      </c>
    </row>
    <row r="177" spans="1:5" ht="15">
      <c r="A177" s="17" t="s">
        <v>278</v>
      </c>
      <c r="B177" s="18" t="s">
        <v>109</v>
      </c>
      <c r="C177" s="18" t="s">
        <v>145</v>
      </c>
      <c r="D177" s="18" t="s">
        <v>117</v>
      </c>
      <c r="E177" s="18" t="s">
        <v>145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AR90"/>
  <sheetViews>
    <sheetView topLeftCell="I1" workbookViewId="0">
      <selection activeCell="AF30" sqref="AF30"/>
    </sheetView>
  </sheetViews>
  <sheetFormatPr defaultRowHeight="12.75"/>
  <cols>
    <col min="1" max="1" width="13.140625" bestFit="1" customWidth="1"/>
    <col min="2" max="2" width="9.140625" style="1"/>
    <col min="3" max="3" width="13.140625" style="1" bestFit="1" customWidth="1"/>
    <col min="6" max="7" width="9.140625" style="1"/>
    <col min="10" max="10" width="4.7109375" style="22" customWidth="1"/>
    <col min="11" max="11" width="4.7109375" customWidth="1"/>
    <col min="12" max="12" width="5.5703125" bestFit="1" customWidth="1"/>
    <col min="13" max="13" width="9.42578125" bestFit="1" customWidth="1"/>
    <col min="14" max="14" width="16.42578125" bestFit="1" customWidth="1"/>
    <col min="15" max="16" width="4.7109375" customWidth="1"/>
    <col min="17" max="17" width="5.140625" bestFit="1" customWidth="1"/>
    <col min="18" max="44" width="2.7109375" customWidth="1"/>
  </cols>
  <sheetData>
    <row r="1" spans="8:44">
      <c r="L1">
        <f>SUM(K38:K53)</f>
        <v>216</v>
      </c>
      <c r="M1" s="15" t="s">
        <v>99</v>
      </c>
      <c r="N1" s="15" t="s">
        <v>100</v>
      </c>
    </row>
    <row r="2" spans="8:44">
      <c r="J2" s="22" t="s">
        <v>1</v>
      </c>
      <c r="L2" t="s">
        <v>0</v>
      </c>
      <c r="M2" s="15" t="s">
        <v>101</v>
      </c>
      <c r="N2" s="15" t="s">
        <v>102</v>
      </c>
      <c r="R2">
        <v>1</v>
      </c>
      <c r="S2">
        <v>2</v>
      </c>
      <c r="T2">
        <v>3</v>
      </c>
      <c r="U2">
        <v>4</v>
      </c>
      <c r="V2">
        <v>5</v>
      </c>
      <c r="W2">
        <v>6</v>
      </c>
      <c r="X2">
        <v>7</v>
      </c>
      <c r="Y2">
        <v>8</v>
      </c>
      <c r="Z2">
        <v>9</v>
      </c>
      <c r="AA2">
        <v>10</v>
      </c>
      <c r="AB2">
        <v>11</v>
      </c>
      <c r="AC2">
        <v>12</v>
      </c>
      <c r="AD2">
        <v>13</v>
      </c>
      <c r="AE2">
        <v>14</v>
      </c>
      <c r="AF2">
        <v>15</v>
      </c>
      <c r="AG2">
        <v>16</v>
      </c>
      <c r="AH2">
        <v>17</v>
      </c>
      <c r="AI2">
        <v>18</v>
      </c>
      <c r="AJ2">
        <v>19</v>
      </c>
      <c r="AK2">
        <v>20</v>
      </c>
      <c r="AL2">
        <v>21</v>
      </c>
      <c r="AM2">
        <v>22</v>
      </c>
      <c r="AN2">
        <v>23</v>
      </c>
      <c r="AO2">
        <v>24</v>
      </c>
      <c r="AP2">
        <v>25</v>
      </c>
      <c r="AQ2">
        <v>26</v>
      </c>
      <c r="AR2">
        <v>27</v>
      </c>
    </row>
    <row r="3" spans="8:44" ht="13.5" thickBot="1">
      <c r="J3" s="23">
        <v>-32</v>
      </c>
      <c r="K3" s="16">
        <v>0</v>
      </c>
      <c r="L3" s="19">
        <f t="shared" ref="L3:L16" si="0">K3/$L$1 *100</f>
        <v>0</v>
      </c>
      <c r="M3" s="18" t="s">
        <v>103</v>
      </c>
      <c r="N3" s="18" t="s">
        <v>104</v>
      </c>
    </row>
    <row r="4" spans="8:44">
      <c r="H4">
        <f>1/36</f>
        <v>2.7777777777777776E-2</v>
      </c>
      <c r="J4" s="23">
        <v>-31</v>
      </c>
      <c r="K4" s="16">
        <v>0</v>
      </c>
      <c r="L4" s="19">
        <f t="shared" si="0"/>
        <v>0</v>
      </c>
      <c r="M4" s="18" t="s">
        <v>103</v>
      </c>
      <c r="N4" s="18" t="s">
        <v>104</v>
      </c>
      <c r="R4" s="2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4"/>
    </row>
    <row r="5" spans="8:44">
      <c r="H5">
        <f>3/36</f>
        <v>8.3333333333333329E-2</v>
      </c>
      <c r="J5" s="23">
        <v>-30</v>
      </c>
      <c r="K5" s="16">
        <v>0</v>
      </c>
      <c r="L5" s="19">
        <f t="shared" si="0"/>
        <v>0</v>
      </c>
      <c r="M5" s="18" t="s">
        <v>103</v>
      </c>
      <c r="N5" s="18" t="s">
        <v>104</v>
      </c>
      <c r="R5" s="5"/>
      <c r="S5" s="6"/>
      <c r="T5" s="6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8"/>
    </row>
    <row r="6" spans="8:44">
      <c r="J6" s="23">
        <v>-29</v>
      </c>
      <c r="K6" s="16">
        <v>0</v>
      </c>
      <c r="L6" s="19">
        <f t="shared" si="0"/>
        <v>0</v>
      </c>
      <c r="M6" s="18" t="s">
        <v>103</v>
      </c>
      <c r="N6" s="18" t="s">
        <v>104</v>
      </c>
      <c r="R6" s="5"/>
      <c r="S6" s="6"/>
      <c r="T6" s="6"/>
      <c r="U6" s="6"/>
      <c r="V6" s="6"/>
      <c r="W6" s="6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8"/>
    </row>
    <row r="7" spans="8:44">
      <c r="J7" s="23">
        <v>-28</v>
      </c>
      <c r="K7" s="16">
        <v>0</v>
      </c>
      <c r="L7" s="19">
        <f t="shared" si="0"/>
        <v>0</v>
      </c>
      <c r="M7" s="18" t="s">
        <v>103</v>
      </c>
      <c r="N7" s="18" t="s">
        <v>104</v>
      </c>
      <c r="R7" s="5"/>
      <c r="S7" s="6"/>
      <c r="T7" s="6"/>
      <c r="U7" s="6"/>
      <c r="V7" s="6"/>
      <c r="W7" s="6"/>
      <c r="X7" s="6"/>
      <c r="Y7" s="6"/>
      <c r="Z7" s="6"/>
      <c r="AA7" s="6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8"/>
    </row>
    <row r="8" spans="8:44">
      <c r="J8" s="23">
        <v>-27</v>
      </c>
      <c r="K8" s="16">
        <v>0</v>
      </c>
      <c r="L8" s="19">
        <f t="shared" si="0"/>
        <v>0</v>
      </c>
      <c r="M8" s="18" t="s">
        <v>103</v>
      </c>
      <c r="N8" s="18" t="s">
        <v>104</v>
      </c>
      <c r="R8" s="5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8"/>
    </row>
    <row r="9" spans="8:44">
      <c r="J9" s="23">
        <v>-26</v>
      </c>
      <c r="K9" s="16">
        <v>0</v>
      </c>
      <c r="L9" s="19">
        <f t="shared" si="0"/>
        <v>0</v>
      </c>
      <c r="M9" s="18" t="s">
        <v>103</v>
      </c>
      <c r="N9" s="18" t="s">
        <v>104</v>
      </c>
      <c r="R9" s="5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7"/>
      <c r="AN9" s="7"/>
      <c r="AO9" s="7"/>
      <c r="AP9" s="7"/>
      <c r="AQ9" s="7"/>
      <c r="AR9" s="8"/>
    </row>
    <row r="10" spans="8:44">
      <c r="J10" s="23">
        <v>-25</v>
      </c>
      <c r="K10" s="16">
        <v>0</v>
      </c>
      <c r="L10" s="19">
        <f t="shared" si="0"/>
        <v>0</v>
      </c>
      <c r="M10" s="18" t="s">
        <v>103</v>
      </c>
      <c r="N10" s="18" t="s">
        <v>104</v>
      </c>
      <c r="R10" s="5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7"/>
      <c r="AR10" s="8"/>
    </row>
    <row r="11" spans="8:44">
      <c r="J11" s="23">
        <v>-24</v>
      </c>
      <c r="K11" s="16">
        <v>0</v>
      </c>
      <c r="L11" s="19">
        <f t="shared" si="0"/>
        <v>0</v>
      </c>
      <c r="M11" s="18" t="s">
        <v>103</v>
      </c>
      <c r="N11" s="18" t="s">
        <v>104</v>
      </c>
      <c r="R11" s="5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9"/>
    </row>
    <row r="12" spans="8:44">
      <c r="J12" s="23">
        <v>-23</v>
      </c>
      <c r="K12" s="16">
        <v>0</v>
      </c>
      <c r="L12" s="19">
        <f t="shared" si="0"/>
        <v>0</v>
      </c>
      <c r="M12" s="18" t="s">
        <v>103</v>
      </c>
      <c r="N12" s="18" t="s">
        <v>104</v>
      </c>
      <c r="R12" s="5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9"/>
    </row>
    <row r="13" spans="8:44">
      <c r="J13" s="23">
        <v>-22</v>
      </c>
      <c r="K13" s="16">
        <v>0</v>
      </c>
      <c r="L13" s="19">
        <f t="shared" si="0"/>
        <v>0</v>
      </c>
      <c r="M13" s="18" t="s">
        <v>103</v>
      </c>
      <c r="N13" s="18" t="s">
        <v>104</v>
      </c>
      <c r="R13" s="5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7"/>
      <c r="AR13" s="8"/>
    </row>
    <row r="14" spans="8:44">
      <c r="J14" s="23">
        <v>-21</v>
      </c>
      <c r="K14" s="16">
        <v>0</v>
      </c>
      <c r="L14" s="19">
        <f t="shared" si="0"/>
        <v>0</v>
      </c>
      <c r="M14" s="18" t="s">
        <v>103</v>
      </c>
      <c r="N14" s="18" t="s">
        <v>104</v>
      </c>
      <c r="R14" s="5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7"/>
      <c r="AN14" s="7"/>
      <c r="AO14" s="7"/>
      <c r="AP14" s="7"/>
      <c r="AQ14" s="7"/>
      <c r="AR14" s="8"/>
    </row>
    <row r="15" spans="8:44">
      <c r="J15" s="23">
        <v>-20</v>
      </c>
      <c r="K15" s="16">
        <v>0</v>
      </c>
      <c r="L15" s="19">
        <f t="shared" si="0"/>
        <v>0</v>
      </c>
      <c r="M15" s="18" t="s">
        <v>103</v>
      </c>
      <c r="N15" s="18" t="s">
        <v>104</v>
      </c>
      <c r="R15" s="5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8"/>
    </row>
    <row r="16" spans="8:44">
      <c r="J16" s="23">
        <v>-19</v>
      </c>
      <c r="K16" s="16">
        <v>0</v>
      </c>
      <c r="L16" s="19">
        <f t="shared" si="0"/>
        <v>0</v>
      </c>
      <c r="M16" s="18" t="s">
        <v>103</v>
      </c>
      <c r="N16" s="18" t="s">
        <v>104</v>
      </c>
      <c r="R16" s="5"/>
      <c r="S16" s="6"/>
      <c r="T16" s="6"/>
      <c r="U16" s="6"/>
      <c r="V16" s="6"/>
      <c r="W16" s="6"/>
      <c r="X16" s="6"/>
      <c r="Y16" s="6"/>
      <c r="Z16" s="6"/>
      <c r="AA16" s="6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8"/>
    </row>
    <row r="17" spans="10:44">
      <c r="J17" s="23">
        <v>-18</v>
      </c>
      <c r="K17" s="16">
        <v>0</v>
      </c>
      <c r="L17" s="19">
        <f>K17/$L$1 *100</f>
        <v>0</v>
      </c>
      <c r="M17" s="18" t="s">
        <v>103</v>
      </c>
      <c r="N17" s="18" t="s">
        <v>104</v>
      </c>
      <c r="R17" s="5"/>
      <c r="S17" s="6"/>
      <c r="T17" s="6"/>
      <c r="U17" s="6"/>
      <c r="V17" s="6"/>
      <c r="W17" s="6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8"/>
    </row>
    <row r="18" spans="10:44">
      <c r="J18" s="23">
        <v>-17</v>
      </c>
      <c r="K18" s="16">
        <v>0</v>
      </c>
      <c r="L18" s="19">
        <f t="shared" ref="L18:L37" si="1">K18/$L$1 *100</f>
        <v>0</v>
      </c>
      <c r="M18" s="18" t="s">
        <v>103</v>
      </c>
      <c r="N18" s="18" t="s">
        <v>104</v>
      </c>
      <c r="R18" s="5"/>
      <c r="S18" s="6"/>
      <c r="T18" s="6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8"/>
    </row>
    <row r="19" spans="10:44" ht="13.5" thickBot="1">
      <c r="J19" s="23">
        <v>-16</v>
      </c>
      <c r="K19" s="16">
        <v>0</v>
      </c>
      <c r="L19" s="19">
        <f t="shared" si="1"/>
        <v>0</v>
      </c>
      <c r="M19" s="18" t="s">
        <v>103</v>
      </c>
      <c r="N19" s="18" t="s">
        <v>104</v>
      </c>
      <c r="R19" s="10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2"/>
    </row>
    <row r="20" spans="10:44">
      <c r="J20" s="23">
        <v>-15</v>
      </c>
      <c r="K20" s="16">
        <v>0</v>
      </c>
      <c r="L20" s="19">
        <f t="shared" si="1"/>
        <v>0</v>
      </c>
      <c r="M20" s="18" t="s">
        <v>103</v>
      </c>
      <c r="N20" s="18" t="s">
        <v>104</v>
      </c>
      <c r="R20" s="20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</row>
    <row r="21" spans="10:44">
      <c r="J21" s="23">
        <v>-14</v>
      </c>
      <c r="K21" s="16">
        <v>0</v>
      </c>
      <c r="L21" s="19">
        <f t="shared" si="1"/>
        <v>0</v>
      </c>
      <c r="M21" s="18" t="s">
        <v>103</v>
      </c>
      <c r="N21" s="18" t="s">
        <v>104</v>
      </c>
    </row>
    <row r="22" spans="10:44">
      <c r="J22" s="23">
        <v>-13</v>
      </c>
      <c r="K22" s="16">
        <v>0</v>
      </c>
      <c r="L22" s="19">
        <f t="shared" si="1"/>
        <v>0</v>
      </c>
      <c r="M22" s="18" t="s">
        <v>103</v>
      </c>
      <c r="N22" s="18" t="s">
        <v>104</v>
      </c>
    </row>
    <row r="23" spans="10:44">
      <c r="J23" s="23">
        <v>-12</v>
      </c>
      <c r="K23" s="16">
        <v>0</v>
      </c>
      <c r="L23" s="19">
        <f t="shared" si="1"/>
        <v>0</v>
      </c>
      <c r="M23" s="18" t="s">
        <v>103</v>
      </c>
      <c r="N23" s="18" t="s">
        <v>104</v>
      </c>
    </row>
    <row r="24" spans="10:44">
      <c r="J24" s="23">
        <v>-11</v>
      </c>
      <c r="K24" s="16">
        <v>0</v>
      </c>
      <c r="L24" s="19">
        <f t="shared" si="1"/>
        <v>0</v>
      </c>
      <c r="M24" s="18" t="s">
        <v>103</v>
      </c>
      <c r="N24" s="18" t="s">
        <v>104</v>
      </c>
    </row>
    <row r="25" spans="10:44">
      <c r="J25" s="23">
        <v>-10</v>
      </c>
      <c r="K25" s="16">
        <v>0</v>
      </c>
      <c r="L25" s="19">
        <f t="shared" si="1"/>
        <v>0</v>
      </c>
      <c r="M25" s="18" t="s">
        <v>103</v>
      </c>
      <c r="N25" s="18" t="s">
        <v>104</v>
      </c>
    </row>
    <row r="26" spans="10:44">
      <c r="J26" s="23">
        <v>-9</v>
      </c>
      <c r="K26" s="16">
        <v>0</v>
      </c>
      <c r="L26" s="19">
        <f t="shared" si="1"/>
        <v>0</v>
      </c>
      <c r="M26" s="18" t="s">
        <v>103</v>
      </c>
      <c r="N26" s="18" t="s">
        <v>104</v>
      </c>
      <c r="Q26" s="15"/>
    </row>
    <row r="27" spans="10:44">
      <c r="J27" s="23">
        <v>-8</v>
      </c>
      <c r="K27" s="16">
        <v>0</v>
      </c>
      <c r="L27" s="19">
        <f t="shared" si="1"/>
        <v>0</v>
      </c>
      <c r="M27" s="18" t="s">
        <v>103</v>
      </c>
      <c r="N27" s="18" t="s">
        <v>104</v>
      </c>
      <c r="Q27" s="15"/>
    </row>
    <row r="28" spans="10:44">
      <c r="J28" s="23">
        <v>-7</v>
      </c>
      <c r="K28" s="16">
        <v>0</v>
      </c>
      <c r="L28" s="19">
        <f t="shared" si="1"/>
        <v>0</v>
      </c>
      <c r="M28" s="18" t="s">
        <v>103</v>
      </c>
      <c r="N28" s="18" t="s">
        <v>104</v>
      </c>
      <c r="Q28" s="15"/>
    </row>
    <row r="29" spans="10:44">
      <c r="J29" s="23">
        <v>-6</v>
      </c>
      <c r="K29" s="16">
        <v>0</v>
      </c>
      <c r="L29" s="19">
        <f t="shared" si="1"/>
        <v>0</v>
      </c>
      <c r="M29" s="18" t="s">
        <v>103</v>
      </c>
      <c r="N29" s="18" t="s">
        <v>104</v>
      </c>
      <c r="Q29" s="15"/>
      <c r="R29" s="13"/>
    </row>
    <row r="30" spans="10:44">
      <c r="J30" s="23">
        <v>-5</v>
      </c>
      <c r="K30" s="16">
        <v>0</v>
      </c>
      <c r="L30" s="19">
        <f t="shared" si="1"/>
        <v>0</v>
      </c>
      <c r="M30" s="18" t="s">
        <v>103</v>
      </c>
      <c r="N30" s="18" t="s">
        <v>104</v>
      </c>
      <c r="Q30" s="15"/>
    </row>
    <row r="31" spans="10:44">
      <c r="J31" s="23">
        <v>-4</v>
      </c>
      <c r="K31" s="16">
        <v>0</v>
      </c>
      <c r="L31" s="19">
        <f t="shared" si="1"/>
        <v>0</v>
      </c>
      <c r="M31" s="18" t="s">
        <v>103</v>
      </c>
      <c r="N31" s="18" t="s">
        <v>104</v>
      </c>
      <c r="Q31" s="15"/>
    </row>
    <row r="32" spans="10:44">
      <c r="J32" s="23">
        <v>-3</v>
      </c>
      <c r="K32" s="16">
        <v>0</v>
      </c>
      <c r="L32" s="19">
        <f t="shared" si="1"/>
        <v>0</v>
      </c>
      <c r="M32" s="18" t="s">
        <v>103</v>
      </c>
      <c r="N32" s="18" t="s">
        <v>104</v>
      </c>
      <c r="Q32" s="15"/>
    </row>
    <row r="33" spans="10:17">
      <c r="J33" s="23">
        <v>-2</v>
      </c>
      <c r="K33" s="16">
        <v>0</v>
      </c>
      <c r="L33" s="19">
        <f t="shared" si="1"/>
        <v>0</v>
      </c>
      <c r="M33" s="18" t="s">
        <v>103</v>
      </c>
      <c r="N33" s="18" t="s">
        <v>104</v>
      </c>
      <c r="Q33" s="15"/>
    </row>
    <row r="34" spans="10:17">
      <c r="J34" s="23">
        <v>-1</v>
      </c>
      <c r="K34" s="16">
        <v>0</v>
      </c>
      <c r="L34" s="19">
        <f t="shared" si="1"/>
        <v>0</v>
      </c>
      <c r="M34" s="18" t="s">
        <v>103</v>
      </c>
      <c r="N34" s="18" t="s">
        <v>104</v>
      </c>
      <c r="Q34" s="15"/>
    </row>
    <row r="35" spans="10:17">
      <c r="J35" s="23">
        <v>0</v>
      </c>
      <c r="K35" s="16">
        <v>0</v>
      </c>
      <c r="L35" s="19">
        <f t="shared" si="1"/>
        <v>0</v>
      </c>
      <c r="M35" s="18" t="s">
        <v>103</v>
      </c>
      <c r="N35" s="18" t="s">
        <v>104</v>
      </c>
      <c r="Q35" s="15"/>
    </row>
    <row r="36" spans="10:17">
      <c r="J36" s="23">
        <v>1</v>
      </c>
      <c r="K36" s="16">
        <v>0</v>
      </c>
      <c r="L36" s="19">
        <f t="shared" si="1"/>
        <v>0</v>
      </c>
      <c r="M36" s="18" t="s">
        <v>103</v>
      </c>
      <c r="N36" s="18" t="s">
        <v>104</v>
      </c>
      <c r="Q36" s="15"/>
    </row>
    <row r="37" spans="10:17">
      <c r="J37" s="23">
        <v>2</v>
      </c>
      <c r="K37" s="16">
        <v>0</v>
      </c>
      <c r="L37" s="19">
        <f t="shared" si="1"/>
        <v>0</v>
      </c>
      <c r="M37" s="18" t="s">
        <v>103</v>
      </c>
      <c r="N37" s="18" t="s">
        <v>104</v>
      </c>
      <c r="Q37" s="15"/>
    </row>
    <row r="38" spans="10:17">
      <c r="J38" s="23">
        <v>3</v>
      </c>
      <c r="K38" s="16">
        <v>1</v>
      </c>
      <c r="L38" s="19">
        <f t="shared" ref="L38:L58" si="2">K38/$L$1 *100</f>
        <v>0.46296296296296291</v>
      </c>
      <c r="M38" s="18" t="s">
        <v>103</v>
      </c>
      <c r="N38" s="18" t="s">
        <v>104</v>
      </c>
      <c r="Q38" s="15"/>
    </row>
    <row r="39" spans="10:17">
      <c r="J39" s="23">
        <v>4</v>
      </c>
      <c r="K39" s="16">
        <v>3</v>
      </c>
      <c r="L39" s="19">
        <f t="shared" si="2"/>
        <v>1.3888888888888888</v>
      </c>
      <c r="M39" s="18" t="s">
        <v>103</v>
      </c>
      <c r="N39" s="18" t="s">
        <v>106</v>
      </c>
      <c r="Q39" s="15"/>
    </row>
    <row r="40" spans="10:17">
      <c r="J40" s="23">
        <v>5</v>
      </c>
      <c r="K40" s="16">
        <v>6</v>
      </c>
      <c r="L40" s="19">
        <f t="shared" si="2"/>
        <v>2.7777777777777777</v>
      </c>
      <c r="M40" s="18" t="s">
        <v>103</v>
      </c>
      <c r="N40" s="18" t="s">
        <v>108</v>
      </c>
      <c r="Q40" s="15"/>
    </row>
    <row r="41" spans="10:17">
      <c r="J41" s="23">
        <v>6</v>
      </c>
      <c r="K41" s="16">
        <v>10</v>
      </c>
      <c r="L41" s="19">
        <f t="shared" si="2"/>
        <v>4.6296296296296298</v>
      </c>
      <c r="M41" s="18" t="s">
        <v>103</v>
      </c>
      <c r="N41" s="18" t="s">
        <v>110</v>
      </c>
      <c r="Q41" s="15"/>
    </row>
    <row r="42" spans="10:17">
      <c r="J42" s="23">
        <v>7</v>
      </c>
      <c r="K42" s="16">
        <v>15</v>
      </c>
      <c r="L42" s="19">
        <f t="shared" si="2"/>
        <v>6.9444444444444446</v>
      </c>
      <c r="M42" s="18" t="s">
        <v>103</v>
      </c>
      <c r="N42" s="18" t="s">
        <v>112</v>
      </c>
      <c r="Q42" s="15"/>
    </row>
    <row r="43" spans="10:17">
      <c r="J43" s="23">
        <v>8</v>
      </c>
      <c r="K43" s="16">
        <v>21</v>
      </c>
      <c r="L43" s="19">
        <f t="shared" si="2"/>
        <v>9.7222222222222232</v>
      </c>
      <c r="M43" s="18" t="s">
        <v>114</v>
      </c>
      <c r="N43" s="18" t="s">
        <v>115</v>
      </c>
      <c r="Q43" s="15"/>
    </row>
    <row r="44" spans="10:17">
      <c r="J44" s="23">
        <v>9</v>
      </c>
      <c r="K44" s="16">
        <v>25</v>
      </c>
      <c r="L44" s="19">
        <f t="shared" si="2"/>
        <v>11.574074074074074</v>
      </c>
      <c r="M44" s="18" t="s">
        <v>114</v>
      </c>
      <c r="N44" s="18" t="s">
        <v>106</v>
      </c>
    </row>
    <row r="45" spans="10:17">
      <c r="J45" s="23">
        <v>10</v>
      </c>
      <c r="K45" s="16">
        <v>27</v>
      </c>
      <c r="L45" s="19">
        <f t="shared" si="2"/>
        <v>12.5</v>
      </c>
      <c r="M45" s="18" t="s">
        <v>114</v>
      </c>
      <c r="N45" s="18" t="s">
        <v>108</v>
      </c>
    </row>
    <row r="46" spans="10:17">
      <c r="J46" s="23">
        <v>11</v>
      </c>
      <c r="K46" s="16">
        <v>27</v>
      </c>
      <c r="L46" s="19">
        <f t="shared" si="2"/>
        <v>12.5</v>
      </c>
      <c r="M46" s="18" t="s">
        <v>114</v>
      </c>
      <c r="N46" s="18" t="s">
        <v>110</v>
      </c>
    </row>
    <row r="47" spans="10:17">
      <c r="J47" s="23">
        <v>12</v>
      </c>
      <c r="K47" s="16">
        <v>25</v>
      </c>
      <c r="L47" s="19">
        <f t="shared" si="2"/>
        <v>11.574074074074074</v>
      </c>
      <c r="M47" s="18" t="s">
        <v>114</v>
      </c>
      <c r="N47" s="18" t="s">
        <v>112</v>
      </c>
    </row>
    <row r="48" spans="10:17">
      <c r="J48" s="23">
        <v>13</v>
      </c>
      <c r="K48" s="16">
        <v>21</v>
      </c>
      <c r="L48" s="19">
        <f t="shared" si="2"/>
        <v>9.7222222222222232</v>
      </c>
      <c r="M48" s="18" t="s">
        <v>114</v>
      </c>
      <c r="N48" s="18" t="s">
        <v>120</v>
      </c>
    </row>
    <row r="49" spans="10:14">
      <c r="J49" s="23">
        <v>14</v>
      </c>
      <c r="K49" s="16">
        <v>15</v>
      </c>
      <c r="L49" s="19">
        <f t="shared" si="2"/>
        <v>6.9444444444444446</v>
      </c>
      <c r="M49" s="18" t="s">
        <v>122</v>
      </c>
      <c r="N49" s="18" t="s">
        <v>106</v>
      </c>
    </row>
    <row r="50" spans="10:14">
      <c r="J50" s="23">
        <v>15</v>
      </c>
      <c r="K50" s="16">
        <v>10</v>
      </c>
      <c r="L50" s="19">
        <f t="shared" si="2"/>
        <v>4.6296296296296298</v>
      </c>
      <c r="M50" s="18" t="s">
        <v>122</v>
      </c>
      <c r="N50" s="18" t="s">
        <v>108</v>
      </c>
    </row>
    <row r="51" spans="10:14">
      <c r="J51" s="23">
        <v>16</v>
      </c>
      <c r="K51" s="16">
        <v>6</v>
      </c>
      <c r="L51" s="19">
        <f t="shared" si="2"/>
        <v>2.7777777777777777</v>
      </c>
      <c r="M51" s="18" t="s">
        <v>122</v>
      </c>
      <c r="N51" s="18" t="s">
        <v>110</v>
      </c>
    </row>
    <row r="52" spans="10:14">
      <c r="J52" s="23">
        <v>17</v>
      </c>
      <c r="K52" s="16">
        <v>3</v>
      </c>
      <c r="L52" s="19">
        <f t="shared" si="2"/>
        <v>1.3888888888888888</v>
      </c>
      <c r="M52" s="18" t="s">
        <v>122</v>
      </c>
      <c r="N52" s="18" t="s">
        <v>112</v>
      </c>
    </row>
    <row r="53" spans="10:14">
      <c r="J53" s="23">
        <v>18</v>
      </c>
      <c r="K53" s="16">
        <v>1</v>
      </c>
      <c r="L53" s="19">
        <f t="shared" si="2"/>
        <v>0.46296296296296291</v>
      </c>
      <c r="M53" s="18" t="s">
        <v>122</v>
      </c>
      <c r="N53" s="18" t="s">
        <v>120</v>
      </c>
    </row>
    <row r="54" spans="10:14">
      <c r="J54" s="23">
        <v>19</v>
      </c>
      <c r="K54" s="16">
        <v>0</v>
      </c>
      <c r="L54" s="19">
        <f t="shared" si="2"/>
        <v>0</v>
      </c>
      <c r="M54" s="18" t="s">
        <v>122</v>
      </c>
      <c r="N54" s="18" t="s">
        <v>120</v>
      </c>
    </row>
    <row r="55" spans="10:14">
      <c r="J55" s="23">
        <v>20</v>
      </c>
      <c r="K55" s="16">
        <v>0</v>
      </c>
      <c r="L55" s="19">
        <f t="shared" si="2"/>
        <v>0</v>
      </c>
      <c r="M55" s="18" t="s">
        <v>122</v>
      </c>
      <c r="N55" s="18" t="s">
        <v>120</v>
      </c>
    </row>
    <row r="56" spans="10:14">
      <c r="J56" s="23">
        <v>21</v>
      </c>
      <c r="K56" s="16">
        <v>0</v>
      </c>
      <c r="L56" s="19">
        <f t="shared" si="2"/>
        <v>0</v>
      </c>
      <c r="M56" s="18" t="s">
        <v>122</v>
      </c>
      <c r="N56" s="18" t="s">
        <v>120</v>
      </c>
    </row>
    <row r="57" spans="10:14">
      <c r="J57" s="23">
        <v>22</v>
      </c>
      <c r="K57" s="16">
        <v>0</v>
      </c>
      <c r="L57" s="19">
        <f t="shared" si="2"/>
        <v>0</v>
      </c>
      <c r="M57" s="18" t="s">
        <v>122</v>
      </c>
      <c r="N57" s="18" t="s">
        <v>120</v>
      </c>
    </row>
    <row r="58" spans="10:14">
      <c r="J58" s="23">
        <v>23</v>
      </c>
      <c r="K58" s="16">
        <v>0</v>
      </c>
      <c r="L58" s="19">
        <f t="shared" si="2"/>
        <v>0</v>
      </c>
      <c r="M58" s="18" t="s">
        <v>122</v>
      </c>
      <c r="N58" s="18" t="s">
        <v>120</v>
      </c>
    </row>
    <row r="59" spans="10:14">
      <c r="J59" s="23">
        <v>24</v>
      </c>
      <c r="K59" s="16">
        <v>0</v>
      </c>
      <c r="L59" s="19">
        <f t="shared" ref="L59:L90" si="3">K59/$L$1 *100</f>
        <v>0</v>
      </c>
      <c r="M59" s="18" t="s">
        <v>122</v>
      </c>
      <c r="N59" s="18" t="s">
        <v>120</v>
      </c>
    </row>
    <row r="60" spans="10:14">
      <c r="J60" s="23">
        <v>25</v>
      </c>
      <c r="K60" s="16">
        <v>0</v>
      </c>
      <c r="L60" s="19">
        <f t="shared" si="3"/>
        <v>0</v>
      </c>
      <c r="M60" s="18" t="s">
        <v>122</v>
      </c>
      <c r="N60" s="18" t="s">
        <v>120</v>
      </c>
    </row>
    <row r="61" spans="10:14">
      <c r="J61" s="23">
        <v>26</v>
      </c>
      <c r="K61" s="16">
        <v>0</v>
      </c>
      <c r="L61" s="19">
        <f t="shared" si="3"/>
        <v>0</v>
      </c>
      <c r="M61" s="18" t="s">
        <v>122</v>
      </c>
      <c r="N61" s="18" t="s">
        <v>120</v>
      </c>
    </row>
    <row r="62" spans="10:14">
      <c r="J62" s="23">
        <v>27</v>
      </c>
      <c r="K62" s="16">
        <v>0</v>
      </c>
      <c r="L62" s="19">
        <f t="shared" si="3"/>
        <v>0</v>
      </c>
      <c r="M62" s="18" t="s">
        <v>122</v>
      </c>
      <c r="N62" s="18" t="s">
        <v>120</v>
      </c>
    </row>
    <row r="63" spans="10:14">
      <c r="J63" s="23">
        <v>28</v>
      </c>
      <c r="K63" s="16">
        <v>0</v>
      </c>
      <c r="L63" s="19">
        <f t="shared" si="3"/>
        <v>0</v>
      </c>
      <c r="M63" s="18" t="s">
        <v>122</v>
      </c>
      <c r="N63" s="18" t="s">
        <v>120</v>
      </c>
    </row>
    <row r="64" spans="10:14">
      <c r="J64" s="23">
        <v>29</v>
      </c>
      <c r="K64" s="16">
        <v>0</v>
      </c>
      <c r="L64" s="19">
        <f t="shared" si="3"/>
        <v>0</v>
      </c>
      <c r="M64" s="18" t="s">
        <v>122</v>
      </c>
      <c r="N64" s="18" t="s">
        <v>120</v>
      </c>
    </row>
    <row r="65" spans="10:14">
      <c r="J65" s="23">
        <v>30</v>
      </c>
      <c r="K65" s="16">
        <v>0</v>
      </c>
      <c r="L65" s="19">
        <f t="shared" si="3"/>
        <v>0</v>
      </c>
      <c r="M65" s="18" t="s">
        <v>122</v>
      </c>
      <c r="N65" s="18" t="s">
        <v>120</v>
      </c>
    </row>
    <row r="66" spans="10:14">
      <c r="J66" s="23">
        <v>31</v>
      </c>
      <c r="K66" s="16">
        <v>0</v>
      </c>
      <c r="L66" s="19">
        <f t="shared" si="3"/>
        <v>0</v>
      </c>
      <c r="M66" s="18" t="s">
        <v>122</v>
      </c>
      <c r="N66" s="18" t="s">
        <v>120</v>
      </c>
    </row>
    <row r="67" spans="10:14">
      <c r="J67" s="23">
        <v>32</v>
      </c>
      <c r="K67" s="16">
        <v>0</v>
      </c>
      <c r="L67" s="19">
        <f t="shared" si="3"/>
        <v>0</v>
      </c>
      <c r="M67" s="18" t="s">
        <v>122</v>
      </c>
      <c r="N67" s="18" t="s">
        <v>120</v>
      </c>
    </row>
    <row r="68" spans="10:14">
      <c r="J68" s="23">
        <v>33</v>
      </c>
      <c r="K68" s="16">
        <v>0</v>
      </c>
      <c r="L68" s="19">
        <f t="shared" si="3"/>
        <v>0</v>
      </c>
      <c r="M68" s="18" t="s">
        <v>122</v>
      </c>
      <c r="N68" s="18" t="s">
        <v>120</v>
      </c>
    </row>
    <row r="69" spans="10:14">
      <c r="J69" s="23">
        <v>34</v>
      </c>
      <c r="K69" s="16">
        <v>0</v>
      </c>
      <c r="L69" s="19">
        <f t="shared" si="3"/>
        <v>0</v>
      </c>
      <c r="M69" s="18" t="s">
        <v>122</v>
      </c>
      <c r="N69" s="18" t="s">
        <v>120</v>
      </c>
    </row>
    <row r="70" spans="10:14">
      <c r="J70" s="23">
        <v>35</v>
      </c>
      <c r="K70" s="16">
        <v>0</v>
      </c>
      <c r="L70" s="19">
        <f t="shared" si="3"/>
        <v>0</v>
      </c>
      <c r="M70" s="18" t="s">
        <v>122</v>
      </c>
      <c r="N70" s="18" t="s">
        <v>120</v>
      </c>
    </row>
    <row r="71" spans="10:14">
      <c r="J71" s="23">
        <v>36</v>
      </c>
      <c r="K71" s="16">
        <v>0</v>
      </c>
      <c r="L71" s="19">
        <f t="shared" si="3"/>
        <v>0</v>
      </c>
      <c r="M71" s="18" t="s">
        <v>122</v>
      </c>
      <c r="N71" s="18" t="s">
        <v>120</v>
      </c>
    </row>
    <row r="72" spans="10:14">
      <c r="J72" s="23">
        <v>37</v>
      </c>
      <c r="K72" s="16">
        <v>0</v>
      </c>
      <c r="L72" s="19">
        <f t="shared" si="3"/>
        <v>0</v>
      </c>
      <c r="M72" s="18" t="s">
        <v>122</v>
      </c>
      <c r="N72" s="18" t="s">
        <v>120</v>
      </c>
    </row>
    <row r="73" spans="10:14">
      <c r="J73" s="23">
        <v>38</v>
      </c>
      <c r="K73" s="16">
        <v>0</v>
      </c>
      <c r="L73" s="19">
        <f t="shared" si="3"/>
        <v>0</v>
      </c>
      <c r="M73" s="18" t="s">
        <v>122</v>
      </c>
      <c r="N73" s="18" t="s">
        <v>120</v>
      </c>
    </row>
    <row r="74" spans="10:14">
      <c r="J74" s="23">
        <v>39</v>
      </c>
      <c r="K74" s="16">
        <v>0</v>
      </c>
      <c r="L74" s="19">
        <f t="shared" si="3"/>
        <v>0</v>
      </c>
      <c r="M74" s="18" t="s">
        <v>122</v>
      </c>
      <c r="N74" s="18" t="s">
        <v>120</v>
      </c>
    </row>
    <row r="75" spans="10:14">
      <c r="J75" s="23">
        <v>40</v>
      </c>
      <c r="K75" s="16">
        <v>0</v>
      </c>
      <c r="L75" s="19">
        <f t="shared" si="3"/>
        <v>0</v>
      </c>
      <c r="M75" s="18" t="s">
        <v>122</v>
      </c>
      <c r="N75" s="18" t="s">
        <v>120</v>
      </c>
    </row>
    <row r="76" spans="10:14">
      <c r="J76" s="23">
        <v>41</v>
      </c>
      <c r="K76" s="16">
        <v>0</v>
      </c>
      <c r="L76" s="19">
        <f t="shared" si="3"/>
        <v>0</v>
      </c>
      <c r="M76" s="18" t="s">
        <v>122</v>
      </c>
      <c r="N76" s="18" t="s">
        <v>120</v>
      </c>
    </row>
    <row r="77" spans="10:14">
      <c r="J77" s="23">
        <v>42</v>
      </c>
      <c r="K77" s="16">
        <v>0</v>
      </c>
      <c r="L77" s="19">
        <f t="shared" si="3"/>
        <v>0</v>
      </c>
      <c r="M77" s="18" t="s">
        <v>122</v>
      </c>
      <c r="N77" s="18" t="s">
        <v>120</v>
      </c>
    </row>
    <row r="78" spans="10:14">
      <c r="J78" s="23">
        <v>43</v>
      </c>
      <c r="K78" s="16">
        <v>0</v>
      </c>
      <c r="L78" s="19">
        <f t="shared" si="3"/>
        <v>0</v>
      </c>
      <c r="M78" s="18" t="s">
        <v>122</v>
      </c>
      <c r="N78" s="18" t="s">
        <v>120</v>
      </c>
    </row>
    <row r="79" spans="10:14">
      <c r="J79" s="23">
        <v>44</v>
      </c>
      <c r="K79" s="16">
        <v>0</v>
      </c>
      <c r="L79" s="19">
        <f t="shared" si="3"/>
        <v>0</v>
      </c>
      <c r="M79" s="18" t="s">
        <v>122</v>
      </c>
      <c r="N79" s="18" t="s">
        <v>120</v>
      </c>
    </row>
    <row r="80" spans="10:14">
      <c r="J80" s="23">
        <v>45</v>
      </c>
      <c r="K80" s="16">
        <v>0</v>
      </c>
      <c r="L80" s="19">
        <f t="shared" si="3"/>
        <v>0</v>
      </c>
      <c r="M80" s="18" t="s">
        <v>122</v>
      </c>
      <c r="N80" s="18" t="s">
        <v>120</v>
      </c>
    </row>
    <row r="81" spans="10:14">
      <c r="J81" s="23">
        <v>46</v>
      </c>
      <c r="K81" s="16">
        <v>0</v>
      </c>
      <c r="L81" s="19">
        <f t="shared" si="3"/>
        <v>0</v>
      </c>
      <c r="M81" s="18" t="s">
        <v>122</v>
      </c>
      <c r="N81" s="18" t="s">
        <v>120</v>
      </c>
    </row>
    <row r="82" spans="10:14">
      <c r="J82" s="23">
        <v>47</v>
      </c>
      <c r="K82" s="16">
        <v>0</v>
      </c>
      <c r="L82" s="19">
        <f t="shared" si="3"/>
        <v>0</v>
      </c>
      <c r="M82" s="18" t="s">
        <v>122</v>
      </c>
      <c r="N82" s="18" t="s">
        <v>120</v>
      </c>
    </row>
    <row r="83" spans="10:14">
      <c r="J83" s="23">
        <v>48</v>
      </c>
      <c r="K83" s="16">
        <v>0</v>
      </c>
      <c r="L83" s="19">
        <f t="shared" si="3"/>
        <v>0</v>
      </c>
      <c r="M83" s="18" t="s">
        <v>122</v>
      </c>
      <c r="N83" s="18" t="s">
        <v>120</v>
      </c>
    </row>
    <row r="84" spans="10:14">
      <c r="J84" s="23">
        <v>49</v>
      </c>
      <c r="K84" s="16">
        <v>0</v>
      </c>
      <c r="L84" s="19">
        <f t="shared" si="3"/>
        <v>0</v>
      </c>
      <c r="M84" s="18" t="s">
        <v>122</v>
      </c>
      <c r="N84" s="18" t="s">
        <v>120</v>
      </c>
    </row>
    <row r="85" spans="10:14">
      <c r="J85" s="23">
        <v>50</v>
      </c>
      <c r="K85" s="16">
        <v>0</v>
      </c>
      <c r="L85" s="19">
        <f t="shared" si="3"/>
        <v>0</v>
      </c>
      <c r="M85" s="18" t="s">
        <v>122</v>
      </c>
      <c r="N85" s="18" t="s">
        <v>120</v>
      </c>
    </row>
    <row r="86" spans="10:14">
      <c r="J86" s="23">
        <v>51</v>
      </c>
      <c r="K86" s="16">
        <v>0</v>
      </c>
      <c r="L86" s="19">
        <f t="shared" si="3"/>
        <v>0</v>
      </c>
      <c r="M86" s="18" t="s">
        <v>122</v>
      </c>
      <c r="N86" s="18" t="s">
        <v>120</v>
      </c>
    </row>
    <row r="87" spans="10:14">
      <c r="J87" s="23">
        <v>52</v>
      </c>
      <c r="K87" s="16">
        <v>0</v>
      </c>
      <c r="L87" s="19">
        <f t="shared" si="3"/>
        <v>0</v>
      </c>
      <c r="M87" s="18" t="s">
        <v>122</v>
      </c>
      <c r="N87" s="18" t="s">
        <v>120</v>
      </c>
    </row>
    <row r="88" spans="10:14">
      <c r="J88" s="23">
        <v>53</v>
      </c>
      <c r="K88" s="16">
        <v>0</v>
      </c>
      <c r="L88" s="19">
        <f t="shared" si="3"/>
        <v>0</v>
      </c>
      <c r="M88" s="18" t="s">
        <v>122</v>
      </c>
      <c r="N88" s="18" t="s">
        <v>120</v>
      </c>
    </row>
    <row r="89" spans="10:14">
      <c r="J89" s="23">
        <v>54</v>
      </c>
      <c r="K89" s="16">
        <v>0</v>
      </c>
      <c r="L89" s="19">
        <f t="shared" si="3"/>
        <v>0</v>
      </c>
      <c r="M89" s="18" t="s">
        <v>122</v>
      </c>
      <c r="N89" s="18" t="s">
        <v>120</v>
      </c>
    </row>
    <row r="90" spans="10:14">
      <c r="J90" s="23">
        <v>55</v>
      </c>
      <c r="K90" s="16">
        <v>0</v>
      </c>
      <c r="L90" s="19">
        <f t="shared" si="3"/>
        <v>0</v>
      </c>
      <c r="M90" s="18" t="s">
        <v>122</v>
      </c>
      <c r="N90" s="18" t="s">
        <v>120</v>
      </c>
    </row>
  </sheetData>
  <phoneticPr fontId="0" type="noConversion"/>
  <pageMargins left="0.75" right="0.75" top="1" bottom="1" header="0.5" footer="0.5"/>
  <pageSetup paperSize="9" orientation="portrait" horizont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3:P57"/>
  <sheetViews>
    <sheetView topLeftCell="A8" workbookViewId="0">
      <selection activeCell="S22" sqref="S22"/>
    </sheetView>
  </sheetViews>
  <sheetFormatPr defaultRowHeight="12.75"/>
  <cols>
    <col min="2" max="2" width="17.85546875" customWidth="1"/>
    <col min="11" max="11" width="15.7109375" customWidth="1"/>
    <col min="13" max="13" width="12.7109375" customWidth="1"/>
  </cols>
  <sheetData>
    <row r="3" spans="2:12" ht="15">
      <c r="B3" s="14" t="s">
        <v>182</v>
      </c>
      <c r="C3" s="15" t="s">
        <v>177</v>
      </c>
      <c r="D3" s="15" t="s">
        <v>178</v>
      </c>
    </row>
    <row r="4" spans="2:12" ht="15">
      <c r="B4" s="14" t="s">
        <v>181</v>
      </c>
      <c r="C4" s="15" t="s">
        <v>180</v>
      </c>
      <c r="D4" s="15" t="s">
        <v>18</v>
      </c>
    </row>
    <row r="5" spans="2:12" ht="15">
      <c r="B5" s="17" t="s">
        <v>196</v>
      </c>
      <c r="C5" s="18"/>
      <c r="D5" s="18"/>
      <c r="K5" s="43" t="s">
        <v>318</v>
      </c>
    </row>
    <row r="6" spans="2:12" ht="15">
      <c r="B6" s="17" t="s">
        <v>98</v>
      </c>
      <c r="C6" s="18"/>
      <c r="D6" s="18"/>
      <c r="K6" t="s">
        <v>316</v>
      </c>
      <c r="L6">
        <v>7</v>
      </c>
    </row>
    <row r="7" spans="2:12" ht="15">
      <c r="B7" s="17" t="s">
        <v>205</v>
      </c>
      <c r="C7" s="18" t="s">
        <v>150</v>
      </c>
      <c r="D7" s="18" t="s">
        <v>116</v>
      </c>
      <c r="G7" t="s">
        <v>315</v>
      </c>
      <c r="I7">
        <f>('Persuasion Attempt'!D7+'Persuasion Attempt'!D10+'Persuasion Attempt'!D13)-('Persuasion Attempt'!B10+'Persuasion Attempt'!B13)-('Persuasion Attempt'!C16)</f>
        <v>-2</v>
      </c>
      <c r="K7" t="s">
        <v>317</v>
      </c>
      <c r="L7">
        <v>0</v>
      </c>
    </row>
    <row r="8" spans="2:12" ht="15">
      <c r="B8" s="17" t="s">
        <v>206</v>
      </c>
      <c r="C8" s="18" t="s">
        <v>107</v>
      </c>
      <c r="D8" s="18" t="s">
        <v>111</v>
      </c>
    </row>
    <row r="9" spans="2:12" ht="15">
      <c r="B9" s="17" t="s">
        <v>207</v>
      </c>
      <c r="C9" s="18" t="s">
        <v>153</v>
      </c>
      <c r="D9" s="18" t="s">
        <v>116</v>
      </c>
    </row>
    <row r="10" spans="2:12" ht="15.75" thickBot="1">
      <c r="B10" s="17" t="s">
        <v>208</v>
      </c>
      <c r="C10" s="18" t="s">
        <v>153</v>
      </c>
      <c r="D10" s="18" t="s">
        <v>111</v>
      </c>
      <c r="G10" t="s">
        <v>320</v>
      </c>
      <c r="K10" s="43" t="s">
        <v>318</v>
      </c>
    </row>
    <row r="11" spans="2:12" ht="15.75" thickBot="1">
      <c r="B11" s="17" t="s">
        <v>209</v>
      </c>
      <c r="C11" s="18" t="s">
        <v>153</v>
      </c>
      <c r="D11" s="18" t="s">
        <v>117</v>
      </c>
      <c r="G11" s="46">
        <f>IF(AND('Persuasion Attempt'!C19&gt;MIN(1,8),'Persuasion Attempt'!C19&lt;MAX(1,8)),6/11,
IF(AND('Persuasion Attempt'!C19&gt;MIN(1,9),'Persuasion Attempt'!C19&lt;MAX(1,9)),7/11,
IF(AND('Persuasion Attempt'!C19&gt;MIN(1,10),'Persuasion Attempt'!C19&lt;MAX(1,10)),8/11,
IF(AND('Persuasion Attempt'!C19&gt;MIN(1,11),'Persuasion Attempt'!C19&lt;MAX(1,11)),9/11,
IF(C19&gt;10,9/11,"Error")))))</f>
        <v>0.81818181818181823</v>
      </c>
      <c r="K11">
        <v>0</v>
      </c>
    </row>
    <row r="12" spans="2:12" ht="15">
      <c r="B12" s="17" t="s">
        <v>210</v>
      </c>
      <c r="C12" s="18" t="s">
        <v>150</v>
      </c>
      <c r="D12" s="18" t="s">
        <v>116</v>
      </c>
      <c r="K12">
        <v>1</v>
      </c>
    </row>
    <row r="13" spans="2:12" ht="15">
      <c r="B13" s="17" t="s">
        <v>211</v>
      </c>
      <c r="C13" s="18" t="s">
        <v>150</v>
      </c>
      <c r="D13" s="18" t="s">
        <v>111</v>
      </c>
      <c r="K13">
        <v>2</v>
      </c>
    </row>
    <row r="14" spans="2:12" ht="15">
      <c r="B14" s="17" t="s">
        <v>212</v>
      </c>
      <c r="C14" s="18" t="s">
        <v>153</v>
      </c>
      <c r="D14" s="18" t="s">
        <v>111</v>
      </c>
      <c r="G14" t="s">
        <v>337</v>
      </c>
      <c r="K14">
        <v>3</v>
      </c>
    </row>
    <row r="15" spans="2:12" ht="15">
      <c r="B15" s="17" t="s">
        <v>213</v>
      </c>
      <c r="C15" s="18" t="s">
        <v>153</v>
      </c>
      <c r="D15" s="18" t="s">
        <v>113</v>
      </c>
      <c r="G15" s="43" t="s">
        <v>318</v>
      </c>
      <c r="K15">
        <v>4</v>
      </c>
    </row>
    <row r="16" spans="2:12" ht="15">
      <c r="B16" s="17" t="s">
        <v>214</v>
      </c>
      <c r="C16" s="18" t="s">
        <v>150</v>
      </c>
      <c r="D16" s="18" t="s">
        <v>113</v>
      </c>
      <c r="G16">
        <v>-9</v>
      </c>
    </row>
    <row r="17" spans="2:16" ht="15">
      <c r="B17" s="17" t="s">
        <v>215</v>
      </c>
      <c r="C17" s="18" t="s">
        <v>150</v>
      </c>
      <c r="D17" s="18" t="s">
        <v>111</v>
      </c>
      <c r="G17">
        <v>-8</v>
      </c>
    </row>
    <row r="18" spans="2:16" ht="15">
      <c r="B18" s="17" t="s">
        <v>216</v>
      </c>
      <c r="C18" s="18" t="s">
        <v>153</v>
      </c>
      <c r="D18" s="18" t="s">
        <v>113</v>
      </c>
      <c r="G18">
        <v>-7</v>
      </c>
      <c r="J18" t="s">
        <v>338</v>
      </c>
      <c r="M18" t="s">
        <v>343</v>
      </c>
      <c r="O18" t="s">
        <v>355</v>
      </c>
    </row>
    <row r="19" spans="2:16" ht="15">
      <c r="B19" s="17" t="s">
        <v>217</v>
      </c>
      <c r="C19" s="18" t="s">
        <v>153</v>
      </c>
      <c r="D19" s="18" t="s">
        <v>109</v>
      </c>
      <c r="G19">
        <v>-6</v>
      </c>
      <c r="J19">
        <v>-7</v>
      </c>
      <c r="K19" t="s">
        <v>340</v>
      </c>
      <c r="M19">
        <f ca="1">IF((ISNUMBER(SEARCH("Yes",Prosecution!E13))),((Prosecution!D7)+(Prosecution!D27)+(Prosecution!D32)),((Prosecution!D7)+(Prosecution!D27)))</f>
        <v>14</v>
      </c>
      <c r="O19">
        <v>-1</v>
      </c>
      <c r="P19">
        <v>-20</v>
      </c>
    </row>
    <row r="20" spans="2:16" ht="15">
      <c r="B20" s="17" t="s">
        <v>218</v>
      </c>
      <c r="C20" s="18" t="s">
        <v>153</v>
      </c>
      <c r="D20" s="18" t="s">
        <v>111</v>
      </c>
      <c r="G20">
        <v>-5</v>
      </c>
      <c r="J20">
        <v>-6</v>
      </c>
      <c r="K20" t="s">
        <v>340</v>
      </c>
      <c r="O20">
        <v>0</v>
      </c>
      <c r="P20">
        <v>-20</v>
      </c>
    </row>
    <row r="21" spans="2:16" ht="15">
      <c r="B21" s="17" t="s">
        <v>219</v>
      </c>
      <c r="C21" s="18" t="s">
        <v>153</v>
      </c>
      <c r="D21" s="18" t="s">
        <v>109</v>
      </c>
      <c r="G21">
        <v>-4</v>
      </c>
      <c r="J21">
        <v>-5</v>
      </c>
      <c r="K21" t="s">
        <v>340</v>
      </c>
      <c r="O21">
        <v>1</v>
      </c>
      <c r="P21">
        <v>-20</v>
      </c>
    </row>
    <row r="22" spans="2:16" ht="15">
      <c r="B22" s="17" t="s">
        <v>220</v>
      </c>
      <c r="C22" s="18" t="s">
        <v>105</v>
      </c>
      <c r="D22" s="18" t="s">
        <v>111</v>
      </c>
      <c r="G22">
        <v>-3</v>
      </c>
      <c r="J22">
        <v>-4</v>
      </c>
      <c r="K22" t="s">
        <v>340</v>
      </c>
      <c r="O22">
        <v>2</v>
      </c>
      <c r="P22">
        <v>-20</v>
      </c>
    </row>
    <row r="23" spans="2:16" ht="15">
      <c r="B23" s="17" t="s">
        <v>221</v>
      </c>
      <c r="C23" s="18" t="s">
        <v>153</v>
      </c>
      <c r="D23" s="18" t="s">
        <v>113</v>
      </c>
      <c r="G23">
        <v>-2</v>
      </c>
      <c r="J23">
        <v>-3</v>
      </c>
      <c r="K23" t="s">
        <v>340</v>
      </c>
      <c r="O23">
        <v>3</v>
      </c>
      <c r="P23">
        <v>-16</v>
      </c>
    </row>
    <row r="24" spans="2:16" ht="15">
      <c r="B24" s="17" t="s">
        <v>222</v>
      </c>
      <c r="C24" s="18" t="s">
        <v>153</v>
      </c>
      <c r="D24" s="18" t="s">
        <v>116</v>
      </c>
      <c r="G24">
        <v>-1</v>
      </c>
      <c r="J24">
        <v>-2</v>
      </c>
      <c r="K24" t="s">
        <v>340</v>
      </c>
      <c r="O24">
        <v>4</v>
      </c>
      <c r="P24">
        <v>-12</v>
      </c>
    </row>
    <row r="25" spans="2:16" ht="15">
      <c r="B25" s="17" t="s">
        <v>223</v>
      </c>
      <c r="C25" s="18" t="s">
        <v>142</v>
      </c>
      <c r="D25" s="18" t="s">
        <v>109</v>
      </c>
      <c r="G25">
        <v>0</v>
      </c>
      <c r="J25">
        <v>-1</v>
      </c>
      <c r="K25" t="s">
        <v>340</v>
      </c>
      <c r="O25">
        <v>5</v>
      </c>
      <c r="P25">
        <v>-8</v>
      </c>
    </row>
    <row r="26" spans="2:16" ht="15">
      <c r="B26" s="17" t="s">
        <v>224</v>
      </c>
      <c r="C26" s="18" t="s">
        <v>153</v>
      </c>
      <c r="D26" s="18" t="s">
        <v>109</v>
      </c>
      <c r="G26">
        <v>1</v>
      </c>
      <c r="J26">
        <v>0</v>
      </c>
      <c r="K26" t="s">
        <v>340</v>
      </c>
      <c r="O26">
        <v>6</v>
      </c>
      <c r="P26">
        <v>-4</v>
      </c>
    </row>
    <row r="27" spans="2:16" ht="15">
      <c r="B27" s="17" t="s">
        <v>225</v>
      </c>
      <c r="C27" s="18" t="s">
        <v>105</v>
      </c>
      <c r="D27" s="18" t="s">
        <v>111</v>
      </c>
      <c r="G27">
        <v>2</v>
      </c>
      <c r="J27">
        <v>1</v>
      </c>
      <c r="K27" t="s">
        <v>340</v>
      </c>
      <c r="O27">
        <v>7</v>
      </c>
      <c r="P27">
        <v>0</v>
      </c>
    </row>
    <row r="28" spans="2:16" ht="15">
      <c r="B28" s="17" t="s">
        <v>226</v>
      </c>
      <c r="C28" s="18" t="s">
        <v>153</v>
      </c>
      <c r="D28" s="18" t="s">
        <v>113</v>
      </c>
      <c r="G28">
        <v>3</v>
      </c>
      <c r="J28">
        <v>2</v>
      </c>
      <c r="K28" t="s">
        <v>340</v>
      </c>
      <c r="O28">
        <v>8</v>
      </c>
      <c r="P28">
        <v>4</v>
      </c>
    </row>
    <row r="29" spans="2:16" ht="15">
      <c r="B29" s="17" t="s">
        <v>227</v>
      </c>
      <c r="C29" s="18" t="s">
        <v>105</v>
      </c>
      <c r="D29" s="18" t="s">
        <v>113</v>
      </c>
      <c r="G29">
        <v>4</v>
      </c>
      <c r="J29">
        <v>3</v>
      </c>
      <c r="K29">
        <v>-16</v>
      </c>
      <c r="O29">
        <v>9</v>
      </c>
      <c r="P29">
        <v>8</v>
      </c>
    </row>
    <row r="30" spans="2:16" ht="15">
      <c r="B30" s="17" t="s">
        <v>228</v>
      </c>
      <c r="C30" s="18" t="s">
        <v>142</v>
      </c>
      <c r="D30" s="18" t="s">
        <v>109</v>
      </c>
      <c r="G30">
        <v>5</v>
      </c>
      <c r="J30">
        <v>4</v>
      </c>
      <c r="K30">
        <v>-12</v>
      </c>
      <c r="O30">
        <v>10</v>
      </c>
      <c r="P30">
        <v>12</v>
      </c>
    </row>
    <row r="31" spans="2:16" ht="15">
      <c r="B31" s="17" t="s">
        <v>229</v>
      </c>
      <c r="C31" s="18" t="s">
        <v>109</v>
      </c>
      <c r="D31" s="18" t="s">
        <v>117</v>
      </c>
      <c r="G31">
        <v>6</v>
      </c>
      <c r="J31">
        <v>5</v>
      </c>
      <c r="K31">
        <v>-8</v>
      </c>
      <c r="O31">
        <v>11</v>
      </c>
      <c r="P31">
        <v>16</v>
      </c>
    </row>
    <row r="32" spans="2:16" ht="15">
      <c r="B32" s="17" t="s">
        <v>66</v>
      </c>
      <c r="C32" s="18"/>
      <c r="D32" s="18"/>
      <c r="G32">
        <v>7</v>
      </c>
      <c r="J32">
        <v>6</v>
      </c>
      <c r="K32">
        <v>-4</v>
      </c>
      <c r="O32">
        <v>12</v>
      </c>
      <c r="P32">
        <v>20</v>
      </c>
    </row>
    <row r="33" spans="2:16" ht="15">
      <c r="B33" s="17" t="s">
        <v>230</v>
      </c>
      <c r="C33" s="18" t="s">
        <v>150</v>
      </c>
      <c r="D33" s="18" t="s">
        <v>111</v>
      </c>
      <c r="G33">
        <v>8</v>
      </c>
      <c r="J33">
        <v>7</v>
      </c>
      <c r="K33">
        <v>0</v>
      </c>
      <c r="O33">
        <v>13</v>
      </c>
      <c r="P33">
        <v>20</v>
      </c>
    </row>
    <row r="34" spans="2:16" ht="15">
      <c r="B34" s="17" t="s">
        <v>231</v>
      </c>
      <c r="C34" s="18" t="s">
        <v>105</v>
      </c>
      <c r="D34" s="18" t="s">
        <v>107</v>
      </c>
      <c r="G34">
        <v>9</v>
      </c>
      <c r="J34">
        <v>8</v>
      </c>
      <c r="K34">
        <v>4</v>
      </c>
      <c r="O34">
        <v>14</v>
      </c>
      <c r="P34">
        <v>20</v>
      </c>
    </row>
    <row r="35" spans="2:16" ht="15">
      <c r="B35" s="17" t="s">
        <v>232</v>
      </c>
      <c r="C35" s="18" t="s">
        <v>107</v>
      </c>
      <c r="D35" s="18" t="s">
        <v>109</v>
      </c>
      <c r="J35">
        <v>9</v>
      </c>
      <c r="K35">
        <v>8</v>
      </c>
      <c r="O35">
        <v>15</v>
      </c>
      <c r="P35">
        <v>20</v>
      </c>
    </row>
    <row r="36" spans="2:16" ht="15">
      <c r="B36" s="17" t="s">
        <v>233</v>
      </c>
      <c r="C36" s="18" t="s">
        <v>105</v>
      </c>
      <c r="D36" s="18" t="s">
        <v>116</v>
      </c>
      <c r="J36">
        <v>10</v>
      </c>
      <c r="K36">
        <v>12</v>
      </c>
    </row>
    <row r="37" spans="2:16" ht="15">
      <c r="B37" s="17" t="s">
        <v>234</v>
      </c>
      <c r="C37" s="18" t="s">
        <v>150</v>
      </c>
      <c r="D37" s="18" t="s">
        <v>150</v>
      </c>
      <c r="J37">
        <v>11</v>
      </c>
      <c r="K37">
        <v>16</v>
      </c>
    </row>
    <row r="38" spans="2:16" ht="15">
      <c r="B38" s="17" t="s">
        <v>235</v>
      </c>
      <c r="C38" s="18" t="s">
        <v>105</v>
      </c>
      <c r="D38" s="18" t="s">
        <v>117</v>
      </c>
      <c r="J38">
        <v>12</v>
      </c>
      <c r="K38" t="s">
        <v>341</v>
      </c>
    </row>
    <row r="39" spans="2:16" ht="15">
      <c r="B39" s="17" t="s">
        <v>236</v>
      </c>
      <c r="C39" s="18" t="s">
        <v>150</v>
      </c>
      <c r="D39" s="18" t="s">
        <v>111</v>
      </c>
      <c r="J39">
        <v>13</v>
      </c>
      <c r="K39" t="s">
        <v>341</v>
      </c>
    </row>
    <row r="40" spans="2:16" ht="15">
      <c r="B40" s="17" t="s">
        <v>237</v>
      </c>
      <c r="C40" s="18" t="s">
        <v>107</v>
      </c>
      <c r="D40" s="18" t="s">
        <v>109</v>
      </c>
      <c r="J40">
        <v>14</v>
      </c>
      <c r="K40" t="s">
        <v>341</v>
      </c>
    </row>
    <row r="41" spans="2:16" ht="15">
      <c r="B41" s="17" t="s">
        <v>238</v>
      </c>
      <c r="C41" s="18" t="s">
        <v>150</v>
      </c>
      <c r="D41" s="18" t="s">
        <v>116</v>
      </c>
      <c r="J41">
        <v>15</v>
      </c>
      <c r="K41" t="s">
        <v>341</v>
      </c>
    </row>
    <row r="42" spans="2:16" ht="15">
      <c r="B42" s="17" t="s">
        <v>239</v>
      </c>
      <c r="C42" s="18" t="s">
        <v>150</v>
      </c>
      <c r="D42" s="18" t="s">
        <v>109</v>
      </c>
      <c r="J42">
        <v>16</v>
      </c>
      <c r="K42" t="s">
        <v>341</v>
      </c>
    </row>
    <row r="43" spans="2:16" ht="15">
      <c r="B43" s="17" t="s">
        <v>240</v>
      </c>
      <c r="C43" s="18" t="s">
        <v>105</v>
      </c>
      <c r="D43" s="18" t="s">
        <v>109</v>
      </c>
      <c r="J43">
        <v>17</v>
      </c>
      <c r="K43" t="s">
        <v>341</v>
      </c>
    </row>
    <row r="44" spans="2:16" ht="15">
      <c r="B44" s="17" t="s">
        <v>241</v>
      </c>
      <c r="C44" s="18" t="s">
        <v>107</v>
      </c>
      <c r="D44" s="18" t="s">
        <v>109</v>
      </c>
      <c r="J44">
        <v>18</v>
      </c>
      <c r="K44" t="s">
        <v>341</v>
      </c>
    </row>
    <row r="45" spans="2:16" ht="15">
      <c r="B45" s="17" t="s">
        <v>242</v>
      </c>
      <c r="C45" s="18" t="s">
        <v>150</v>
      </c>
      <c r="D45" s="18" t="s">
        <v>109</v>
      </c>
      <c r="J45">
        <v>19</v>
      </c>
      <c r="K45" t="s">
        <v>341</v>
      </c>
    </row>
    <row r="46" spans="2:16" ht="15">
      <c r="B46" s="17" t="s">
        <v>67</v>
      </c>
      <c r="C46" s="18"/>
      <c r="D46" s="18"/>
      <c r="J46">
        <v>20</v>
      </c>
      <c r="K46" t="s">
        <v>341</v>
      </c>
    </row>
    <row r="47" spans="2:16" ht="15">
      <c r="B47" s="17" t="s">
        <v>243</v>
      </c>
      <c r="C47" s="18" t="s">
        <v>107</v>
      </c>
      <c r="D47" s="18" t="s">
        <v>116</v>
      </c>
      <c r="J47">
        <v>21</v>
      </c>
      <c r="K47" t="s">
        <v>341</v>
      </c>
    </row>
    <row r="48" spans="2:16" ht="15">
      <c r="B48" s="17" t="s">
        <v>244</v>
      </c>
      <c r="C48" s="18" t="s">
        <v>109</v>
      </c>
      <c r="D48" s="18" t="s">
        <v>118</v>
      </c>
    </row>
    <row r="49" spans="2:4" ht="15">
      <c r="B49" s="17" t="s">
        <v>245</v>
      </c>
      <c r="C49" s="18" t="s">
        <v>150</v>
      </c>
      <c r="D49" s="18" t="s">
        <v>116</v>
      </c>
    </row>
    <row r="50" spans="2:4" ht="15">
      <c r="B50" s="17" t="s">
        <v>246</v>
      </c>
      <c r="C50" s="18" t="s">
        <v>153</v>
      </c>
      <c r="D50" s="18" t="s">
        <v>116</v>
      </c>
    </row>
    <row r="51" spans="2:4" ht="15">
      <c r="B51" s="17" t="s">
        <v>247</v>
      </c>
      <c r="C51" s="18" t="s">
        <v>150</v>
      </c>
      <c r="D51" s="18" t="s">
        <v>111</v>
      </c>
    </row>
    <row r="52" spans="2:4" ht="15">
      <c r="B52" s="17" t="s">
        <v>248</v>
      </c>
      <c r="C52" s="18" t="s">
        <v>109</v>
      </c>
      <c r="D52" s="18" t="s">
        <v>117</v>
      </c>
    </row>
    <row r="53" spans="2:4" ht="15">
      <c r="B53" s="17" t="s">
        <v>249</v>
      </c>
      <c r="C53" s="18" t="s">
        <v>153</v>
      </c>
      <c r="D53" s="18" t="s">
        <v>116</v>
      </c>
    </row>
    <row r="54" spans="2:4" ht="15">
      <c r="B54" s="17" t="s">
        <v>250</v>
      </c>
      <c r="C54" s="18" t="s">
        <v>153</v>
      </c>
      <c r="D54" s="18" t="s">
        <v>105</v>
      </c>
    </row>
    <row r="55" spans="2:4" ht="15">
      <c r="B55" s="17" t="s">
        <v>251</v>
      </c>
      <c r="C55" s="18" t="s">
        <v>150</v>
      </c>
      <c r="D55" s="18" t="s">
        <v>117</v>
      </c>
    </row>
    <row r="56" spans="2:4" ht="15">
      <c r="B56" s="17" t="s">
        <v>252</v>
      </c>
      <c r="C56" s="18" t="s">
        <v>153</v>
      </c>
      <c r="D56" s="18" t="s">
        <v>111</v>
      </c>
    </row>
    <row r="57" spans="2:4" ht="15">
      <c r="B57" s="17" t="s">
        <v>253</v>
      </c>
      <c r="C57" s="18" t="s">
        <v>150</v>
      </c>
      <c r="D57" s="18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12</vt:i4>
      </vt:variant>
    </vt:vector>
  </HeadingPairs>
  <TitlesOfParts>
    <vt:vector size="19" baseType="lpstr">
      <vt:lpstr>Combat</vt:lpstr>
      <vt:lpstr>Persuasion Attempt</vt:lpstr>
      <vt:lpstr>Assassination Attempt</vt:lpstr>
      <vt:lpstr>Prosecution</vt:lpstr>
      <vt:lpstr>data</vt:lpstr>
      <vt:lpstr>math</vt:lpstr>
      <vt:lpstr>Non-Combat Calculations</vt:lpstr>
      <vt:lpstr>Assassin_Table</vt:lpstr>
      <vt:lpstr>COMBAT_table</vt:lpstr>
      <vt:lpstr>ENEMY_LEADERS</vt:lpstr>
      <vt:lpstr>ENEMY_LEADERS_table</vt:lpstr>
      <vt:lpstr>Popularity</vt:lpstr>
      <vt:lpstr>PROVINCES</vt:lpstr>
      <vt:lpstr>PROVINCES_table</vt:lpstr>
      <vt:lpstr>Senator_Alignment</vt:lpstr>
      <vt:lpstr>SENATORS</vt:lpstr>
      <vt:lpstr>SENATORS_table</vt:lpstr>
      <vt:lpstr>WARS</vt:lpstr>
      <vt:lpstr>WARS_table</vt:lpstr>
    </vt:vector>
  </TitlesOfParts>
  <Company>geen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Krempel</dc:creator>
  <cp:lastModifiedBy>WARRICK</cp:lastModifiedBy>
  <dcterms:created xsi:type="dcterms:W3CDTF">2007-10-28T08:37:36Z</dcterms:created>
  <dcterms:modified xsi:type="dcterms:W3CDTF">2018-02-25T15:14:03Z</dcterms:modified>
</cp:coreProperties>
</file>