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shiba\Desktop\Plan Piso\Ejemplos\"/>
    </mc:Choice>
  </mc:AlternateContent>
  <xr:revisionPtr revIDLastSave="0" documentId="13_ncr:1_{1CB83315-FBD9-48F1-B8F1-EEA90E071C0C}" xr6:coauthVersionLast="45" xr6:coauthVersionMax="45" xr10:uidLastSave="{00000000-0000-0000-0000-000000000000}"/>
  <bookViews>
    <workbookView minimized="1" xWindow="24030" yWindow="3390" windowWidth="15375" windowHeight="7875" tabRatio="847" activeTab="3" xr2:uid="{00000000-000D-0000-FFFF-FFFF00000000}"/>
  </bookViews>
  <sheets>
    <sheet name="FCA" sheetId="211" r:id="rId1"/>
    <sheet name="ALFA" sheetId="213" r:id="rId2"/>
    <sheet name="RESUMEN" sheetId="202" r:id="rId3"/>
    <sheet name="COMPRAS " sheetId="178" r:id="rId4"/>
    <sheet name="CF CRED" sheetId="10" r:id="rId5"/>
    <sheet name=" FIVE BAN" sheetId="171" r:id="rId6"/>
    <sheet name="BBVA" sheetId="168" r:id="rId7"/>
    <sheet name="INTERCAM" sheetId="3" r:id="rId8"/>
    <sheet name="SEMIN" sheetId="113" r:id="rId9"/>
    <sheet name="PROPIAS PAGADAS" sheetId="203" r:id="rId10"/>
    <sheet name="PAG.FIV." sheetId="18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5" hidden="1">' FIVE BAN'!$A$1:$AL$6</definedName>
    <definedName name="_xlnm._FilterDatabase" localSheetId="6" hidden="1">BBVA!$A$3:$AK$3</definedName>
    <definedName name="_xlnm._FilterDatabase" localSheetId="4" hidden="1">'CF CRED'!$A$3:$AM$11</definedName>
    <definedName name="_xlnm._FilterDatabase" localSheetId="3" hidden="1">'COMPRAS '!$A$2:$AK$362</definedName>
    <definedName name="_xlnm._FilterDatabase" localSheetId="7" hidden="1">INTERCAM!$A$3:$AJ$22</definedName>
    <definedName name="_xlnm._FilterDatabase" localSheetId="8" hidden="1">SEMIN!$A$3:$AK$3</definedName>
    <definedName name="_xlnm.Print_Area" localSheetId="2">RESUMEN!$A$1:$L$83</definedName>
  </definedNames>
  <calcPr calcId="181029"/>
  <pivotCaches>
    <pivotCache cacheId="0" r:id="rId2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18" i="178" l="1"/>
  <c r="AJ313" i="178"/>
  <c r="AJ312" i="178"/>
  <c r="AJ304" i="178"/>
  <c r="AJ299" i="178"/>
  <c r="AJ298" i="178"/>
  <c r="L10" i="202"/>
  <c r="AJ144" i="178" l="1"/>
  <c r="AJ145" i="178"/>
  <c r="P7" i="211" l="1"/>
  <c r="Z268" i="178" l="1"/>
  <c r="Z154" i="178"/>
  <c r="Z149" i="178"/>
  <c r="Z58" i="178"/>
  <c r="Z20" i="178"/>
  <c r="Z11" i="168" l="1"/>
  <c r="AA11" i="168" s="1"/>
  <c r="D11" i="168"/>
  <c r="AJ11" i="168" s="1"/>
  <c r="AL76" i="10"/>
  <c r="AA76" i="10"/>
  <c r="P76" i="10"/>
  <c r="N76" i="10"/>
  <c r="K76" i="10"/>
  <c r="L76" i="10" s="1"/>
  <c r="M76" i="10" s="1"/>
  <c r="D76" i="10"/>
  <c r="AJ76" i="10" s="1"/>
  <c r="AK76" i="10" s="1"/>
  <c r="AL75" i="10"/>
  <c r="AA75" i="10"/>
  <c r="X75" i="10"/>
  <c r="P75" i="10"/>
  <c r="N75" i="10"/>
  <c r="K75" i="10"/>
  <c r="L75" i="10" s="1"/>
  <c r="M75" i="10" s="1"/>
  <c r="D75" i="10"/>
  <c r="AJ75" i="10" s="1"/>
  <c r="AK75" i="10" s="1"/>
  <c r="AL74" i="10"/>
  <c r="AA74" i="10"/>
  <c r="X74" i="10"/>
  <c r="P74" i="10"/>
  <c r="N74" i="10"/>
  <c r="K74" i="10"/>
  <c r="L74" i="10" s="1"/>
  <c r="M74" i="10" s="1"/>
  <c r="D74" i="10"/>
  <c r="AJ74" i="10" s="1"/>
  <c r="AK74" i="10" s="1"/>
  <c r="AL73" i="10"/>
  <c r="AA73" i="10"/>
  <c r="X73" i="10"/>
  <c r="P73" i="10"/>
  <c r="N73" i="10"/>
  <c r="K73" i="10"/>
  <c r="L73" i="10" s="1"/>
  <c r="M73" i="10" s="1"/>
  <c r="D73" i="10"/>
  <c r="AJ73" i="10" s="1"/>
  <c r="AK73" i="10" s="1"/>
  <c r="AL72" i="10"/>
  <c r="AA72" i="10"/>
  <c r="X72" i="10"/>
  <c r="P72" i="10"/>
  <c r="N72" i="10"/>
  <c r="K72" i="10"/>
  <c r="L72" i="10" s="1"/>
  <c r="M72" i="10" s="1"/>
  <c r="D72" i="10"/>
  <c r="AJ72" i="10" s="1"/>
  <c r="AK72" i="10" s="1"/>
  <c r="AL71" i="10"/>
  <c r="AA71" i="10"/>
  <c r="X71" i="10"/>
  <c r="P71" i="10"/>
  <c r="N71" i="10"/>
  <c r="K71" i="10"/>
  <c r="L71" i="10" s="1"/>
  <c r="M71" i="10" s="1"/>
  <c r="D71" i="10"/>
  <c r="AJ71" i="10" s="1"/>
  <c r="AK71" i="10" s="1"/>
  <c r="AL70" i="10"/>
  <c r="AA70" i="10"/>
  <c r="X70" i="10"/>
  <c r="P70" i="10"/>
  <c r="N70" i="10"/>
  <c r="K70" i="10"/>
  <c r="L70" i="10" s="1"/>
  <c r="M70" i="10" s="1"/>
  <c r="D70" i="10"/>
  <c r="AJ70" i="10" s="1"/>
  <c r="AK70" i="10" s="1"/>
  <c r="AL69" i="10"/>
  <c r="AA69" i="10"/>
  <c r="X69" i="10"/>
  <c r="P69" i="10"/>
  <c r="N69" i="10"/>
  <c r="K69" i="10"/>
  <c r="L69" i="10" s="1"/>
  <c r="M69" i="10" s="1"/>
  <c r="D69" i="10"/>
  <c r="AJ69" i="10" s="1"/>
  <c r="AK69" i="10" s="1"/>
  <c r="AL68" i="10"/>
  <c r="AA68" i="10"/>
  <c r="X68" i="10"/>
  <c r="P68" i="10"/>
  <c r="N68" i="10"/>
  <c r="K68" i="10"/>
  <c r="L68" i="10" s="1"/>
  <c r="M68" i="10" s="1"/>
  <c r="D68" i="10"/>
  <c r="AJ68" i="10" s="1"/>
  <c r="AK68" i="10" s="1"/>
  <c r="AL67" i="10"/>
  <c r="AA67" i="10"/>
  <c r="X67" i="10"/>
  <c r="P67" i="10"/>
  <c r="N67" i="10"/>
  <c r="K67" i="10"/>
  <c r="L67" i="10" s="1"/>
  <c r="M67" i="10" s="1"/>
  <c r="D67" i="10"/>
  <c r="AJ67" i="10" s="1"/>
  <c r="AK67" i="10" s="1"/>
  <c r="AL66" i="10"/>
  <c r="AA66" i="10"/>
  <c r="X66" i="10"/>
  <c r="P66" i="10"/>
  <c r="N66" i="10"/>
  <c r="K66" i="10"/>
  <c r="L66" i="10" s="1"/>
  <c r="M66" i="10" s="1"/>
  <c r="D66" i="10"/>
  <c r="AJ66" i="10" s="1"/>
  <c r="AK66" i="10" s="1"/>
  <c r="AL65" i="10"/>
  <c r="AA65" i="10"/>
  <c r="X65" i="10"/>
  <c r="P65" i="10"/>
  <c r="N65" i="10"/>
  <c r="K65" i="10"/>
  <c r="L65" i="10" s="1"/>
  <c r="M65" i="10" s="1"/>
  <c r="D65" i="10"/>
  <c r="AJ65" i="10" s="1"/>
  <c r="AK65" i="10" s="1"/>
  <c r="AL64" i="10"/>
  <c r="AA64" i="10"/>
  <c r="X64" i="10"/>
  <c r="P64" i="10"/>
  <c r="N64" i="10"/>
  <c r="K64" i="10"/>
  <c r="L64" i="10" s="1"/>
  <c r="M64" i="10" s="1"/>
  <c r="D64" i="10"/>
  <c r="AJ64" i="10" s="1"/>
  <c r="AK64" i="10" s="1"/>
  <c r="AL63" i="10"/>
  <c r="AA63" i="10"/>
  <c r="X63" i="10"/>
  <c r="P63" i="10"/>
  <c r="N63" i="10"/>
  <c r="K63" i="10"/>
  <c r="L63" i="10" s="1"/>
  <c r="M63" i="10" s="1"/>
  <c r="D63" i="10"/>
  <c r="AJ63" i="10" s="1"/>
  <c r="AK63" i="10" s="1"/>
  <c r="AL62" i="10"/>
  <c r="AA62" i="10"/>
  <c r="X62" i="10"/>
  <c r="P62" i="10"/>
  <c r="N62" i="10"/>
  <c r="K62" i="10"/>
  <c r="L62" i="10" s="1"/>
  <c r="M62" i="10" s="1"/>
  <c r="D62" i="10"/>
  <c r="AJ62" i="10" s="1"/>
  <c r="AK62" i="10" s="1"/>
  <c r="AL61" i="10"/>
  <c r="AA61" i="10"/>
  <c r="X61" i="10"/>
  <c r="P61" i="10"/>
  <c r="N61" i="10"/>
  <c r="K61" i="10"/>
  <c r="L61" i="10" s="1"/>
  <c r="M61" i="10" s="1"/>
  <c r="D61" i="10"/>
  <c r="AJ61" i="10" s="1"/>
  <c r="AK61" i="10" s="1"/>
  <c r="AL60" i="10"/>
  <c r="AA60" i="10"/>
  <c r="X60" i="10"/>
  <c r="P60" i="10"/>
  <c r="N60" i="10"/>
  <c r="K60" i="10"/>
  <c r="L60" i="10" s="1"/>
  <c r="M60" i="10" s="1"/>
  <c r="D60" i="10"/>
  <c r="AJ60" i="10" s="1"/>
  <c r="AK60" i="10" s="1"/>
  <c r="AL59" i="10"/>
  <c r="AA59" i="10"/>
  <c r="X59" i="10"/>
  <c r="P59" i="10"/>
  <c r="N59" i="10"/>
  <c r="K59" i="10"/>
  <c r="L59" i="10" s="1"/>
  <c r="M59" i="10" s="1"/>
  <c r="D59" i="10"/>
  <c r="AJ59" i="10" s="1"/>
  <c r="AK59" i="10" s="1"/>
  <c r="AL58" i="10"/>
  <c r="AA58" i="10"/>
  <c r="X58" i="10"/>
  <c r="P58" i="10"/>
  <c r="N58" i="10"/>
  <c r="K58" i="10"/>
  <c r="L58" i="10" s="1"/>
  <c r="M58" i="10" s="1"/>
  <c r="D58" i="10"/>
  <c r="AJ58" i="10" s="1"/>
  <c r="AK58" i="10" s="1"/>
  <c r="AL57" i="10"/>
  <c r="AA57" i="10"/>
  <c r="X57" i="10"/>
  <c r="P57" i="10"/>
  <c r="N57" i="10"/>
  <c r="K57" i="10"/>
  <c r="L57" i="10" s="1"/>
  <c r="M57" i="10" s="1"/>
  <c r="D57" i="10"/>
  <c r="AJ57" i="10" s="1"/>
  <c r="AK57" i="10" s="1"/>
  <c r="AL56" i="10"/>
  <c r="AA56" i="10"/>
  <c r="X56" i="10"/>
  <c r="P56" i="10"/>
  <c r="N56" i="10"/>
  <c r="K56" i="10"/>
  <c r="L56" i="10" s="1"/>
  <c r="M56" i="10" s="1"/>
  <c r="D56" i="10"/>
  <c r="AJ56" i="10" s="1"/>
  <c r="AK56" i="10" s="1"/>
  <c r="AL55" i="10"/>
  <c r="AA55" i="10"/>
  <c r="X55" i="10"/>
  <c r="P55" i="10"/>
  <c r="N55" i="10"/>
  <c r="K55" i="10"/>
  <c r="L55" i="10" s="1"/>
  <c r="M55" i="10" s="1"/>
  <c r="D55" i="10"/>
  <c r="AJ55" i="10" s="1"/>
  <c r="AK55" i="10" s="1"/>
  <c r="AL54" i="10"/>
  <c r="AA54" i="10"/>
  <c r="X54" i="10"/>
  <c r="P54" i="10"/>
  <c r="N54" i="10"/>
  <c r="K54" i="10"/>
  <c r="L54" i="10" s="1"/>
  <c r="M54" i="10" s="1"/>
  <c r="D54" i="10"/>
  <c r="AJ54" i="10" s="1"/>
  <c r="AK54" i="10" s="1"/>
  <c r="AL53" i="10"/>
  <c r="AA53" i="10"/>
  <c r="X53" i="10"/>
  <c r="P53" i="10"/>
  <c r="N53" i="10"/>
  <c r="K53" i="10"/>
  <c r="L53" i="10" s="1"/>
  <c r="M53" i="10" s="1"/>
  <c r="D53" i="10"/>
  <c r="AJ53" i="10" s="1"/>
  <c r="AK53" i="10" s="1"/>
  <c r="AL52" i="10"/>
  <c r="AA52" i="10"/>
  <c r="X52" i="10"/>
  <c r="P52" i="10"/>
  <c r="N52" i="10"/>
  <c r="K52" i="10"/>
  <c r="L52" i="10" s="1"/>
  <c r="M52" i="10" s="1"/>
  <c r="D52" i="10"/>
  <c r="AJ52" i="10" s="1"/>
  <c r="AK52" i="10" s="1"/>
  <c r="AL51" i="10"/>
  <c r="AA51" i="10"/>
  <c r="X51" i="10"/>
  <c r="P51" i="10"/>
  <c r="N51" i="10"/>
  <c r="K51" i="10"/>
  <c r="L51" i="10" s="1"/>
  <c r="M51" i="10" s="1"/>
  <c r="D51" i="10"/>
  <c r="AJ51" i="10" s="1"/>
  <c r="AK51" i="10" s="1"/>
  <c r="AL50" i="10"/>
  <c r="AA50" i="10"/>
  <c r="X50" i="10"/>
  <c r="P50" i="10"/>
  <c r="N50" i="10"/>
  <c r="K50" i="10"/>
  <c r="L50" i="10" s="1"/>
  <c r="M50" i="10" s="1"/>
  <c r="D50" i="10"/>
  <c r="AJ50" i="10" s="1"/>
  <c r="AK50" i="10" s="1"/>
  <c r="AL49" i="10"/>
  <c r="AA49" i="10"/>
  <c r="X49" i="10"/>
  <c r="P49" i="10"/>
  <c r="N49" i="10"/>
  <c r="K49" i="10"/>
  <c r="L49" i="10" s="1"/>
  <c r="M49" i="10" s="1"/>
  <c r="D49" i="10"/>
  <c r="AJ49" i="10" s="1"/>
  <c r="AK49" i="10" s="1"/>
  <c r="AL48" i="10"/>
  <c r="AA48" i="10"/>
  <c r="X48" i="10"/>
  <c r="P48" i="10"/>
  <c r="N48" i="10"/>
  <c r="K48" i="10"/>
  <c r="L48" i="10" s="1"/>
  <c r="M48" i="10" s="1"/>
  <c r="D48" i="10"/>
  <c r="AJ48" i="10" s="1"/>
  <c r="AK48" i="10" s="1"/>
  <c r="AL47" i="10"/>
  <c r="AA47" i="10"/>
  <c r="X47" i="10"/>
  <c r="P47" i="10"/>
  <c r="N47" i="10"/>
  <c r="K47" i="10"/>
  <c r="L47" i="10" s="1"/>
  <c r="M47" i="10" s="1"/>
  <c r="D47" i="10"/>
  <c r="AJ47" i="10" s="1"/>
  <c r="AK47" i="10" s="1"/>
  <c r="AL46" i="10"/>
  <c r="AA46" i="10"/>
  <c r="X46" i="10"/>
  <c r="P46" i="10"/>
  <c r="N46" i="10"/>
  <c r="K46" i="10"/>
  <c r="L46" i="10" s="1"/>
  <c r="M46" i="10" s="1"/>
  <c r="D46" i="10"/>
  <c r="AJ46" i="10" s="1"/>
  <c r="AK46" i="10" s="1"/>
  <c r="AL45" i="10"/>
  <c r="AA45" i="10"/>
  <c r="X45" i="10"/>
  <c r="P45" i="10"/>
  <c r="N45" i="10"/>
  <c r="K45" i="10"/>
  <c r="L45" i="10" s="1"/>
  <c r="M45" i="10" s="1"/>
  <c r="D45" i="10"/>
  <c r="AJ45" i="10" s="1"/>
  <c r="AK45" i="10" s="1"/>
  <c r="AL44" i="10"/>
  <c r="AA44" i="10"/>
  <c r="X44" i="10"/>
  <c r="P44" i="10"/>
  <c r="N44" i="10"/>
  <c r="K44" i="10"/>
  <c r="L44" i="10" s="1"/>
  <c r="M44" i="10" s="1"/>
  <c r="D44" i="10"/>
  <c r="AJ44" i="10" s="1"/>
  <c r="AK44" i="10" s="1"/>
  <c r="AL43" i="10"/>
  <c r="AA43" i="10"/>
  <c r="X43" i="10"/>
  <c r="P43" i="10"/>
  <c r="N43" i="10"/>
  <c r="K43" i="10"/>
  <c r="L43" i="10" s="1"/>
  <c r="M43" i="10" s="1"/>
  <c r="D43" i="10"/>
  <c r="AJ43" i="10" s="1"/>
  <c r="AK43" i="10" s="1"/>
  <c r="AL42" i="10"/>
  <c r="AA42" i="10"/>
  <c r="X42" i="10"/>
  <c r="P42" i="10"/>
  <c r="N42" i="10"/>
  <c r="K42" i="10"/>
  <c r="L42" i="10" s="1"/>
  <c r="M42" i="10" s="1"/>
  <c r="D42" i="10"/>
  <c r="AJ42" i="10" s="1"/>
  <c r="AK42" i="10" s="1"/>
  <c r="AL41" i="10"/>
  <c r="AA41" i="10"/>
  <c r="X41" i="10"/>
  <c r="P41" i="10"/>
  <c r="N41" i="10"/>
  <c r="K41" i="10"/>
  <c r="L41" i="10" s="1"/>
  <c r="M41" i="10" s="1"/>
  <c r="D41" i="10"/>
  <c r="AJ41" i="10" s="1"/>
  <c r="AK41" i="10" s="1"/>
  <c r="AL40" i="10"/>
  <c r="AA40" i="10"/>
  <c r="X40" i="10"/>
  <c r="P40" i="10"/>
  <c r="N40" i="10"/>
  <c r="K40" i="10"/>
  <c r="L40" i="10" s="1"/>
  <c r="M40" i="10" s="1"/>
  <c r="D40" i="10"/>
  <c r="AJ40" i="10" s="1"/>
  <c r="AK40" i="10" s="1"/>
  <c r="AL39" i="10"/>
  <c r="AA39" i="10"/>
  <c r="X39" i="10"/>
  <c r="P39" i="10"/>
  <c r="N39" i="10"/>
  <c r="K39" i="10"/>
  <c r="L39" i="10" s="1"/>
  <c r="M39" i="10" s="1"/>
  <c r="D39" i="10"/>
  <c r="AJ39" i="10" s="1"/>
  <c r="AK39" i="10" s="1"/>
  <c r="AL38" i="10"/>
  <c r="AA38" i="10"/>
  <c r="X38" i="10"/>
  <c r="P38" i="10"/>
  <c r="N38" i="10"/>
  <c r="K38" i="10"/>
  <c r="L38" i="10" s="1"/>
  <c r="M38" i="10" s="1"/>
  <c r="D38" i="10"/>
  <c r="AJ38" i="10" s="1"/>
  <c r="AK38" i="10" s="1"/>
  <c r="AL37" i="10"/>
  <c r="AA37" i="10"/>
  <c r="X37" i="10"/>
  <c r="P37" i="10"/>
  <c r="N37" i="10"/>
  <c r="K37" i="10"/>
  <c r="L37" i="10" s="1"/>
  <c r="M37" i="10" s="1"/>
  <c r="D37" i="10"/>
  <c r="AJ37" i="10" s="1"/>
  <c r="AK37" i="10" s="1"/>
  <c r="AL36" i="10"/>
  <c r="AA36" i="10"/>
  <c r="X36" i="10"/>
  <c r="P36" i="10"/>
  <c r="N36" i="10"/>
  <c r="K36" i="10"/>
  <c r="L36" i="10" s="1"/>
  <c r="M36" i="10" s="1"/>
  <c r="D36" i="10"/>
  <c r="AJ36" i="10" s="1"/>
  <c r="AK36" i="10" s="1"/>
  <c r="AL35" i="10"/>
  <c r="AA35" i="10"/>
  <c r="X35" i="10"/>
  <c r="P35" i="10"/>
  <c r="N35" i="10"/>
  <c r="K35" i="10"/>
  <c r="L35" i="10" s="1"/>
  <c r="M35" i="10" s="1"/>
  <c r="D35" i="10"/>
  <c r="AJ35" i="10" s="1"/>
  <c r="AK35" i="10" s="1"/>
  <c r="AL34" i="10"/>
  <c r="AA34" i="10"/>
  <c r="X34" i="10"/>
  <c r="P34" i="10"/>
  <c r="N34" i="10"/>
  <c r="K34" i="10"/>
  <c r="L34" i="10" s="1"/>
  <c r="M34" i="10" s="1"/>
  <c r="D34" i="10"/>
  <c r="AJ34" i="10" s="1"/>
  <c r="AK34" i="10" s="1"/>
  <c r="AL33" i="10"/>
  <c r="AA33" i="10"/>
  <c r="X33" i="10"/>
  <c r="P33" i="10"/>
  <c r="N33" i="10"/>
  <c r="K33" i="10"/>
  <c r="L33" i="10" s="1"/>
  <c r="M33" i="10" s="1"/>
  <c r="D33" i="10"/>
  <c r="AJ33" i="10" s="1"/>
  <c r="AK33" i="10" s="1"/>
  <c r="AL32" i="10"/>
  <c r="AA32" i="10"/>
  <c r="X32" i="10"/>
  <c r="P32" i="10"/>
  <c r="N32" i="10"/>
  <c r="K32" i="10"/>
  <c r="L32" i="10" s="1"/>
  <c r="M32" i="10" s="1"/>
  <c r="D32" i="10"/>
  <c r="AJ32" i="10" s="1"/>
  <c r="AK32" i="10" s="1"/>
  <c r="AL31" i="10"/>
  <c r="AA31" i="10"/>
  <c r="X31" i="10"/>
  <c r="P31" i="10"/>
  <c r="N31" i="10"/>
  <c r="K31" i="10"/>
  <c r="L31" i="10" s="1"/>
  <c r="M31" i="10" s="1"/>
  <c r="D31" i="10"/>
  <c r="AJ31" i="10" s="1"/>
  <c r="AK31" i="10" s="1"/>
  <c r="AL30" i="10"/>
  <c r="AA30" i="10"/>
  <c r="X30" i="10"/>
  <c r="P30" i="10"/>
  <c r="N30" i="10"/>
  <c r="K30" i="10"/>
  <c r="L30" i="10" s="1"/>
  <c r="M30" i="10" s="1"/>
  <c r="D30" i="10"/>
  <c r="AJ30" i="10" s="1"/>
  <c r="AK30" i="10" s="1"/>
  <c r="AL29" i="10"/>
  <c r="AA29" i="10"/>
  <c r="X29" i="10"/>
  <c r="N29" i="10"/>
  <c r="K29" i="10"/>
  <c r="L29" i="10" s="1"/>
  <c r="M29" i="10" s="1"/>
  <c r="F29" i="10"/>
  <c r="P29" i="10" s="1"/>
  <c r="D29" i="10"/>
  <c r="AJ29" i="10" s="1"/>
  <c r="AL28" i="10"/>
  <c r="AA28" i="10"/>
  <c r="X28" i="10"/>
  <c r="N28" i="10"/>
  <c r="K28" i="10"/>
  <c r="L28" i="10" s="1"/>
  <c r="M28" i="10" s="1"/>
  <c r="F28" i="10"/>
  <c r="P28" i="10" s="1"/>
  <c r="D28" i="10"/>
  <c r="AJ28" i="10" s="1"/>
  <c r="AL27" i="10"/>
  <c r="AA27" i="10"/>
  <c r="X27" i="10"/>
  <c r="N27" i="10"/>
  <c r="K27" i="10"/>
  <c r="L27" i="10" s="1"/>
  <c r="M27" i="10" s="1"/>
  <c r="F27" i="10"/>
  <c r="P27" i="10" s="1"/>
  <c r="D27" i="10"/>
  <c r="AJ27" i="10" s="1"/>
  <c r="AL26" i="10"/>
  <c r="AA26" i="10"/>
  <c r="X26" i="10"/>
  <c r="N26" i="10"/>
  <c r="K26" i="10"/>
  <c r="L26" i="10" s="1"/>
  <c r="M26" i="10" s="1"/>
  <c r="F26" i="10"/>
  <c r="P26" i="10" s="1"/>
  <c r="D26" i="10"/>
  <c r="AJ26" i="10" s="1"/>
  <c r="AL25" i="10"/>
  <c r="AA25" i="10"/>
  <c r="X25" i="10"/>
  <c r="N25" i="10"/>
  <c r="K25" i="10"/>
  <c r="L25" i="10" s="1"/>
  <c r="M25" i="10" s="1"/>
  <c r="F25" i="10"/>
  <c r="P25" i="10" s="1"/>
  <c r="D25" i="10"/>
  <c r="AJ25" i="10" s="1"/>
  <c r="AL24" i="10"/>
  <c r="AA24" i="10"/>
  <c r="X24" i="10"/>
  <c r="N24" i="10"/>
  <c r="K24" i="10"/>
  <c r="L24" i="10" s="1"/>
  <c r="M24" i="10" s="1"/>
  <c r="F24" i="10"/>
  <c r="P24" i="10" s="1"/>
  <c r="D24" i="10"/>
  <c r="AJ24" i="10" s="1"/>
  <c r="AK24" i="10" l="1"/>
  <c r="AK25" i="10"/>
  <c r="AK26" i="10"/>
  <c r="AK27" i="10"/>
  <c r="AK28" i="10"/>
  <c r="AK29" i="10"/>
  <c r="F183" i="178" l="1"/>
  <c r="F182" i="178"/>
  <c r="F181" i="178"/>
  <c r="F180" i="178"/>
  <c r="F179" i="178"/>
  <c r="F178" i="178"/>
  <c r="F177" i="178"/>
  <c r="Z36" i="171"/>
  <c r="AA36" i="171" s="1"/>
  <c r="D36" i="171"/>
  <c r="E36" i="171" s="1"/>
  <c r="Z35" i="171"/>
  <c r="AA35" i="171" s="1"/>
  <c r="D35" i="171"/>
  <c r="E35" i="171" s="1"/>
  <c r="AA34" i="171"/>
  <c r="D34" i="171"/>
  <c r="E34" i="171" s="1"/>
  <c r="Z33" i="171"/>
  <c r="AA33" i="171" s="1"/>
  <c r="D33" i="171"/>
  <c r="Z32" i="171"/>
  <c r="AA32" i="171" s="1"/>
  <c r="D32" i="171"/>
  <c r="Z31" i="171"/>
  <c r="AA31" i="171" s="1"/>
  <c r="D31" i="171"/>
  <c r="Z30" i="171"/>
  <c r="AA30" i="171" s="1"/>
  <c r="D30" i="171"/>
  <c r="Z29" i="171"/>
  <c r="AA29" i="171" s="1"/>
  <c r="D29" i="171"/>
  <c r="Z28" i="171"/>
  <c r="AA28" i="171" s="1"/>
  <c r="D28" i="171"/>
  <c r="AA27" i="171"/>
  <c r="D27" i="171"/>
  <c r="AA26" i="171"/>
  <c r="D26" i="171"/>
  <c r="AA25" i="171"/>
  <c r="D25" i="171"/>
  <c r="AA24" i="171"/>
  <c r="D24" i="171"/>
  <c r="AA23" i="171"/>
  <c r="D23" i="171"/>
  <c r="AA22" i="171"/>
  <c r="D22" i="171"/>
  <c r="Z21" i="171"/>
  <c r="AA21" i="171" s="1"/>
  <c r="D21" i="171"/>
  <c r="AA20" i="171"/>
  <c r="D20" i="171"/>
  <c r="AA19" i="171"/>
  <c r="D19" i="171"/>
  <c r="Z18" i="171"/>
  <c r="AA18" i="171" s="1"/>
  <c r="D18" i="171"/>
  <c r="Z17" i="171"/>
  <c r="AA17" i="171" s="1"/>
  <c r="D17" i="171"/>
  <c r="Z16" i="171"/>
  <c r="AA16" i="171" s="1"/>
  <c r="F16" i="171"/>
  <c r="D16" i="171"/>
  <c r="Z15" i="171"/>
  <c r="AA15" i="171" s="1"/>
  <c r="F15" i="171"/>
  <c r="D15" i="171"/>
  <c r="D28" i="181" l="1"/>
  <c r="AA3" i="203"/>
  <c r="P3" i="203"/>
  <c r="AL2" i="203"/>
  <c r="AA2" i="203"/>
  <c r="P2" i="203"/>
  <c r="AA25" i="113"/>
  <c r="P25" i="113"/>
  <c r="D25" i="113"/>
  <c r="AA24" i="113"/>
  <c r="P24" i="113"/>
  <c r="D24" i="113"/>
  <c r="AA23" i="113"/>
  <c r="P23" i="113"/>
  <c r="D23" i="113"/>
  <c r="AA22" i="113"/>
  <c r="P22" i="113"/>
  <c r="D22" i="113"/>
  <c r="AA21" i="113"/>
  <c r="P21" i="113"/>
  <c r="D21" i="113"/>
  <c r="AA20" i="113"/>
  <c r="P20" i="113"/>
  <c r="D20" i="113"/>
  <c r="AA19" i="113"/>
  <c r="P19" i="113"/>
  <c r="D19" i="113"/>
  <c r="AA18" i="113"/>
  <c r="P18" i="113"/>
  <c r="D18" i="113"/>
  <c r="AA17" i="113"/>
  <c r="P17" i="113"/>
  <c r="D17" i="113"/>
  <c r="AA16" i="113"/>
  <c r="P16" i="113"/>
  <c r="D16" i="113"/>
  <c r="AA15" i="113"/>
  <c r="P15" i="113"/>
  <c r="D15" i="113"/>
  <c r="P14" i="113"/>
  <c r="D14" i="113"/>
  <c r="AA13" i="113"/>
  <c r="P13" i="113"/>
  <c r="D13" i="113"/>
  <c r="A1" i="113"/>
  <c r="AL15" i="113" s="1"/>
  <c r="AL27" i="3"/>
  <c r="AA27" i="3"/>
  <c r="P27" i="3"/>
  <c r="D27" i="3"/>
  <c r="AL26" i="3"/>
  <c r="AA26" i="3"/>
  <c r="P26" i="3"/>
  <c r="D26" i="3"/>
  <c r="AL25" i="3"/>
  <c r="AA25" i="3"/>
  <c r="P25" i="3"/>
  <c r="D25" i="3"/>
  <c r="AL24" i="3"/>
  <c r="AA24" i="3"/>
  <c r="P24" i="3"/>
  <c r="D24" i="3"/>
  <c r="AL23" i="3"/>
  <c r="AA23" i="3"/>
  <c r="P23" i="3"/>
  <c r="D23" i="3"/>
  <c r="AA22" i="3"/>
  <c r="P22" i="3"/>
  <c r="D22" i="3"/>
  <c r="AA21" i="3"/>
  <c r="P21" i="3"/>
  <c r="D21" i="3"/>
  <c r="AA20" i="3"/>
  <c r="P20" i="3"/>
  <c r="D20" i="3"/>
  <c r="AA19" i="3"/>
  <c r="P19" i="3"/>
  <c r="D19" i="3"/>
  <c r="AA18" i="3"/>
  <c r="P18" i="3"/>
  <c r="D18" i="3"/>
  <c r="Z13" i="3"/>
  <c r="AA13" i="3" s="1"/>
  <c r="P13" i="3"/>
  <c r="D13" i="3"/>
  <c r="AA5" i="3"/>
  <c r="P5" i="3"/>
  <c r="D5" i="3"/>
  <c r="A2" i="3"/>
  <c r="AJ10" i="168"/>
  <c r="Z10" i="168"/>
  <c r="AA10" i="168" s="1"/>
  <c r="AA9" i="168"/>
  <c r="D9" i="168"/>
  <c r="AJ9" i="168" s="1"/>
  <c r="AJ8" i="168"/>
  <c r="AA8" i="168"/>
  <c r="AA7" i="168"/>
  <c r="D7" i="168"/>
  <c r="AJ7" i="168" s="1"/>
  <c r="C2" i="168"/>
  <c r="A1" i="168"/>
  <c r="AA14" i="171"/>
  <c r="F14" i="171"/>
  <c r="D14" i="171"/>
  <c r="AA13" i="171"/>
  <c r="F13" i="171"/>
  <c r="D13" i="171"/>
  <c r="AA12" i="171"/>
  <c r="F12" i="171"/>
  <c r="D12" i="171"/>
  <c r="AA10" i="171"/>
  <c r="F10" i="171"/>
  <c r="D10" i="171"/>
  <c r="A2" i="171"/>
  <c r="A1" i="171"/>
  <c r="Z23" i="10"/>
  <c r="AA23" i="10" s="1"/>
  <c r="P23" i="10"/>
  <c r="N23" i="10"/>
  <c r="L23" i="10"/>
  <c r="M23" i="10" s="1"/>
  <c r="D23" i="10"/>
  <c r="AJ23" i="10" s="1"/>
  <c r="AK23" i="10" s="1"/>
  <c r="Z22" i="10"/>
  <c r="AA22" i="10" s="1"/>
  <c r="P22" i="10"/>
  <c r="N22" i="10"/>
  <c r="L22" i="10"/>
  <c r="M22" i="10" s="1"/>
  <c r="D22" i="10"/>
  <c r="AJ22" i="10" s="1"/>
  <c r="AK22" i="10" s="1"/>
  <c r="AL21" i="10"/>
  <c r="AA21" i="10"/>
  <c r="P21" i="10"/>
  <c r="N21" i="10"/>
  <c r="K21" i="10"/>
  <c r="L21" i="10" s="1"/>
  <c r="M21" i="10" s="1"/>
  <c r="D21" i="10"/>
  <c r="AJ21" i="10" s="1"/>
  <c r="AK21" i="10" s="1"/>
  <c r="AL20" i="10"/>
  <c r="Z20" i="10"/>
  <c r="AA20" i="10" s="1"/>
  <c r="P20" i="10"/>
  <c r="N20" i="10"/>
  <c r="K20" i="10"/>
  <c r="L20" i="10" s="1"/>
  <c r="M20" i="10" s="1"/>
  <c r="D20" i="10"/>
  <c r="AJ20" i="10" s="1"/>
  <c r="AK20" i="10" s="1"/>
  <c r="AL19" i="10"/>
  <c r="AA19" i="10"/>
  <c r="P19" i="10"/>
  <c r="N19" i="10"/>
  <c r="K19" i="10"/>
  <c r="L19" i="10" s="1"/>
  <c r="M19" i="10" s="1"/>
  <c r="D19" i="10"/>
  <c r="AJ19" i="10" s="1"/>
  <c r="AK19" i="10" s="1"/>
  <c r="AL18" i="10"/>
  <c r="Z18" i="10"/>
  <c r="AA18" i="10" s="1"/>
  <c r="P18" i="10"/>
  <c r="N18" i="10"/>
  <c r="K18" i="10"/>
  <c r="L18" i="10" s="1"/>
  <c r="M18" i="10" s="1"/>
  <c r="D18" i="10"/>
  <c r="AJ18" i="10" s="1"/>
  <c r="AK18" i="10" s="1"/>
  <c r="AL15" i="10"/>
  <c r="AA15" i="10"/>
  <c r="P15" i="10"/>
  <c r="N15" i="10"/>
  <c r="K15" i="10"/>
  <c r="L15" i="10" s="1"/>
  <c r="M15" i="10" s="1"/>
  <c r="D15" i="10"/>
  <c r="AJ15" i="10" s="1"/>
  <c r="AK15" i="10" s="1"/>
  <c r="AL14" i="10"/>
  <c r="AA14" i="10"/>
  <c r="X14" i="10"/>
  <c r="P14" i="10"/>
  <c r="N14" i="10"/>
  <c r="K14" i="10"/>
  <c r="L14" i="10" s="1"/>
  <c r="M14" i="10" s="1"/>
  <c r="D14" i="10"/>
  <c r="AJ14" i="10" s="1"/>
  <c r="AK14" i="10" s="1"/>
  <c r="AL11" i="10"/>
  <c r="AA11" i="10"/>
  <c r="P11" i="10"/>
  <c r="N11" i="10"/>
  <c r="K11" i="10"/>
  <c r="L11" i="10" s="1"/>
  <c r="M11" i="10" s="1"/>
  <c r="D11" i="10"/>
  <c r="AJ11" i="10" s="1"/>
  <c r="AK11" i="10" s="1"/>
  <c r="AL10" i="10"/>
  <c r="Z10" i="10"/>
  <c r="AA10" i="10" s="1"/>
  <c r="P10" i="10"/>
  <c r="N10" i="10"/>
  <c r="K10" i="10"/>
  <c r="L10" i="10" s="1"/>
  <c r="M10" i="10" s="1"/>
  <c r="D10" i="10"/>
  <c r="AJ10" i="10" s="1"/>
  <c r="AK10" i="10" s="1"/>
  <c r="AL9" i="10"/>
  <c r="Z9" i="10"/>
  <c r="AA9" i="10" s="1"/>
  <c r="P9" i="10"/>
  <c r="N9" i="10"/>
  <c r="L9" i="10"/>
  <c r="M9" i="10" s="1"/>
  <c r="D9" i="10"/>
  <c r="AJ9" i="10" s="1"/>
  <c r="AK9" i="10" s="1"/>
  <c r="A2" i="10"/>
  <c r="AA360" i="178"/>
  <c r="P360" i="178"/>
  <c r="AA358" i="178"/>
  <c r="P358" i="178"/>
  <c r="D358" i="178"/>
  <c r="AA356" i="178"/>
  <c r="P356" i="178"/>
  <c r="D356" i="178"/>
  <c r="AA355" i="178"/>
  <c r="P355" i="178"/>
  <c r="D355" i="178"/>
  <c r="AA354" i="178"/>
  <c r="P354" i="178"/>
  <c r="D354" i="178"/>
  <c r="AA353" i="178"/>
  <c r="P353" i="178"/>
  <c r="P352" i="178"/>
  <c r="AA351" i="178"/>
  <c r="P351" i="178"/>
  <c r="D351" i="178"/>
  <c r="AA350" i="178"/>
  <c r="P350" i="178"/>
  <c r="D350" i="178"/>
  <c r="AA348" i="178"/>
  <c r="P348" i="178"/>
  <c r="D348" i="178"/>
  <c r="AA346" i="178"/>
  <c r="P346" i="178"/>
  <c r="D346" i="178"/>
  <c r="AA344" i="178"/>
  <c r="P344" i="178"/>
  <c r="D344" i="178"/>
  <c r="AA343" i="178"/>
  <c r="P343" i="178"/>
  <c r="D343" i="178"/>
  <c r="AA342" i="178"/>
  <c r="P342" i="178"/>
  <c r="D342" i="178"/>
  <c r="AA341" i="178"/>
  <c r="P341" i="178"/>
  <c r="D341" i="178"/>
  <c r="AA340" i="178"/>
  <c r="P340" i="178"/>
  <c r="D340" i="178"/>
  <c r="AA339" i="178"/>
  <c r="P339" i="178"/>
  <c r="D339" i="178"/>
  <c r="AA338" i="178"/>
  <c r="P338" i="178"/>
  <c r="D338" i="178"/>
  <c r="AA337" i="178"/>
  <c r="P337" i="178"/>
  <c r="D337" i="178"/>
  <c r="AA336" i="178"/>
  <c r="P336" i="178"/>
  <c r="D336" i="178"/>
  <c r="AA335" i="178"/>
  <c r="P335" i="178"/>
  <c r="D335" i="178"/>
  <c r="AA334" i="178"/>
  <c r="P334" i="178"/>
  <c r="D334" i="178"/>
  <c r="AA333" i="178"/>
  <c r="P333" i="178"/>
  <c r="D333" i="178"/>
  <c r="AA332" i="178"/>
  <c r="P332" i="178"/>
  <c r="D332" i="178"/>
  <c r="AA331" i="178"/>
  <c r="P331" i="178"/>
  <c r="D331" i="178"/>
  <c r="AA330" i="178"/>
  <c r="P330" i="178"/>
  <c r="D330" i="178"/>
  <c r="AA329" i="178"/>
  <c r="P329" i="178"/>
  <c r="D329" i="178"/>
  <c r="AA328" i="178"/>
  <c r="P328" i="178"/>
  <c r="D328" i="178"/>
  <c r="AA327" i="178"/>
  <c r="P327" i="178"/>
  <c r="D327" i="178"/>
  <c r="AA326" i="178"/>
  <c r="P326" i="178"/>
  <c r="D326" i="178"/>
  <c r="AA323" i="178"/>
  <c r="D323" i="178"/>
  <c r="AJ323" i="178" s="1"/>
  <c r="AA322" i="178"/>
  <c r="D322" i="178"/>
  <c r="AJ322" i="178" s="1"/>
  <c r="AA321" i="178"/>
  <c r="D321" i="178"/>
  <c r="AJ321" i="178" s="1"/>
  <c r="AA320" i="178"/>
  <c r="D320" i="178"/>
  <c r="AJ320" i="178" s="1"/>
  <c r="AA319" i="178"/>
  <c r="D319" i="178"/>
  <c r="AJ319" i="178" s="1"/>
  <c r="AA318" i="178"/>
  <c r="AA317" i="178"/>
  <c r="D317" i="178"/>
  <c r="AJ317" i="178" s="1"/>
  <c r="AA316" i="178"/>
  <c r="D316" i="178"/>
  <c r="AJ316" i="178" s="1"/>
  <c r="AA315" i="178"/>
  <c r="D315" i="178"/>
  <c r="AJ315" i="178" s="1"/>
  <c r="AA314" i="178"/>
  <c r="D314" i="178"/>
  <c r="AJ314" i="178" s="1"/>
  <c r="AA313" i="178"/>
  <c r="AA312" i="178"/>
  <c r="AA311" i="178"/>
  <c r="D311" i="178"/>
  <c r="AJ311" i="178" s="1"/>
  <c r="AA310" i="178"/>
  <c r="D310" i="178"/>
  <c r="AJ310" i="178" s="1"/>
  <c r="Z309" i="178"/>
  <c r="AA309" i="178" s="1"/>
  <c r="D309" i="178"/>
  <c r="AJ309" i="178" s="1"/>
  <c r="AA308" i="178"/>
  <c r="D308" i="178"/>
  <c r="AJ308" i="178" s="1"/>
  <c r="AA307" i="178"/>
  <c r="D307" i="178"/>
  <c r="AJ307" i="178" s="1"/>
  <c r="AA306" i="178"/>
  <c r="D306" i="178"/>
  <c r="AJ306" i="178" s="1"/>
  <c r="AA305" i="178"/>
  <c r="D305" i="178"/>
  <c r="AJ305" i="178" s="1"/>
  <c r="AA304" i="178"/>
  <c r="AA303" i="178"/>
  <c r="D303" i="178"/>
  <c r="AJ303" i="178" s="1"/>
  <c r="AA302" i="178"/>
  <c r="D302" i="178"/>
  <c r="AJ302" i="178" s="1"/>
  <c r="AA301" i="178"/>
  <c r="X301" i="178"/>
  <c r="D301" i="178"/>
  <c r="AJ301" i="178" s="1"/>
  <c r="AA300" i="178"/>
  <c r="D300" i="178"/>
  <c r="AJ300" i="178" s="1"/>
  <c r="AA299" i="178"/>
  <c r="AA298" i="178"/>
  <c r="AA296" i="178"/>
  <c r="D296" i="178"/>
  <c r="E296" i="178" s="1"/>
  <c r="AA295" i="178"/>
  <c r="D295" i="178"/>
  <c r="E295" i="178" s="1"/>
  <c r="Z294" i="178"/>
  <c r="AA294" i="178" s="1"/>
  <c r="D294" i="178"/>
  <c r="E294" i="178" s="1"/>
  <c r="AA293" i="178"/>
  <c r="D293" i="178"/>
  <c r="E293" i="178" s="1"/>
  <c r="AA292" i="178"/>
  <c r="D292" i="178"/>
  <c r="E292" i="178" s="1"/>
  <c r="AA291" i="178"/>
  <c r="D291" i="178"/>
  <c r="E291" i="178" s="1"/>
  <c r="AA290" i="178"/>
  <c r="D290" i="178"/>
  <c r="E290" i="178" s="1"/>
  <c r="AA289" i="178"/>
  <c r="D289" i="178"/>
  <c r="E289" i="178" s="1"/>
  <c r="AA288" i="178"/>
  <c r="D288" i="178"/>
  <c r="E288" i="178" s="1"/>
  <c r="AA287" i="178"/>
  <c r="D287" i="178"/>
  <c r="E287" i="178" s="1"/>
  <c r="AA286" i="178"/>
  <c r="D286" i="178"/>
  <c r="AA285" i="178"/>
  <c r="D285" i="178"/>
  <c r="AA284" i="178"/>
  <c r="D284" i="178"/>
  <c r="AA283" i="178"/>
  <c r="D283" i="178"/>
  <c r="AA282" i="178"/>
  <c r="D282" i="178"/>
  <c r="AA280" i="178"/>
  <c r="D280" i="178"/>
  <c r="AA279" i="178"/>
  <c r="D279" i="178"/>
  <c r="AA278" i="178"/>
  <c r="D278" i="178"/>
  <c r="AA277" i="178"/>
  <c r="D277" i="178"/>
  <c r="AA276" i="178"/>
  <c r="D276" i="178"/>
  <c r="AA275" i="178"/>
  <c r="D275" i="178"/>
  <c r="AA274" i="178"/>
  <c r="D274" i="178"/>
  <c r="AA273" i="178"/>
  <c r="D273" i="178"/>
  <c r="AA272" i="178"/>
  <c r="D272" i="178"/>
  <c r="AA271" i="178"/>
  <c r="D271" i="178"/>
  <c r="AA270" i="178"/>
  <c r="D270" i="178"/>
  <c r="AA269" i="178"/>
  <c r="D269" i="178"/>
  <c r="AA268" i="178"/>
  <c r="D268" i="178"/>
  <c r="AA267" i="178"/>
  <c r="D267" i="178"/>
  <c r="AA266" i="178"/>
  <c r="D266" i="178"/>
  <c r="AA265" i="178"/>
  <c r="D265" i="178"/>
  <c r="AA264" i="178"/>
  <c r="D264" i="178"/>
  <c r="AA263" i="178"/>
  <c r="D263" i="178"/>
  <c r="AA262" i="178"/>
  <c r="D262" i="178"/>
  <c r="AA261" i="178"/>
  <c r="D261" i="178"/>
  <c r="AA260" i="178"/>
  <c r="D260" i="178"/>
  <c r="AA259" i="178"/>
  <c r="D259" i="178"/>
  <c r="AA258" i="178"/>
  <c r="D258" i="178"/>
  <c r="AA257" i="178"/>
  <c r="D257" i="178"/>
  <c r="AA256" i="178"/>
  <c r="D256" i="178"/>
  <c r="AA255" i="178"/>
  <c r="D255" i="178"/>
  <c r="AA254" i="178"/>
  <c r="D254" i="178"/>
  <c r="AA253" i="178"/>
  <c r="D253" i="178"/>
  <c r="AA252" i="178"/>
  <c r="D252" i="178"/>
  <c r="AA251" i="178"/>
  <c r="D251" i="178"/>
  <c r="AA250" i="178"/>
  <c r="D250" i="178"/>
  <c r="AA249" i="178"/>
  <c r="D249" i="178"/>
  <c r="AA248" i="178"/>
  <c r="D248" i="178"/>
  <c r="AA247" i="178"/>
  <c r="D247" i="178"/>
  <c r="AA246" i="178"/>
  <c r="D246" i="178"/>
  <c r="AA245" i="178"/>
  <c r="D245" i="178"/>
  <c r="AA244" i="178"/>
  <c r="D244" i="178"/>
  <c r="AA243" i="178"/>
  <c r="D243" i="178"/>
  <c r="AA242" i="178"/>
  <c r="D242" i="178"/>
  <c r="AA241" i="178"/>
  <c r="D241" i="178"/>
  <c r="AA240" i="178"/>
  <c r="D240" i="178"/>
  <c r="AA239" i="178"/>
  <c r="D239" i="178"/>
  <c r="AA238" i="178"/>
  <c r="D238" i="178"/>
  <c r="AA237" i="178"/>
  <c r="D237" i="178"/>
  <c r="AA236" i="178"/>
  <c r="D236" i="178"/>
  <c r="AA235" i="178"/>
  <c r="D235" i="178"/>
  <c r="AA234" i="178"/>
  <c r="D234" i="178"/>
  <c r="AA233" i="178"/>
  <c r="D233" i="178"/>
  <c r="AA232" i="178"/>
  <c r="D232" i="178"/>
  <c r="AA231" i="178"/>
  <c r="D231" i="178"/>
  <c r="AA230" i="178"/>
  <c r="D230" i="178"/>
  <c r="AA229" i="178"/>
  <c r="D229" i="178"/>
  <c r="AA228" i="178"/>
  <c r="D228" i="178"/>
  <c r="AA227" i="178"/>
  <c r="D227" i="178"/>
  <c r="AA226" i="178"/>
  <c r="D226" i="178"/>
  <c r="AA225" i="178"/>
  <c r="D225" i="178"/>
  <c r="AA224" i="178"/>
  <c r="D224" i="178"/>
  <c r="AA223" i="178"/>
  <c r="F223" i="178"/>
  <c r="D223" i="178"/>
  <c r="AA222" i="178"/>
  <c r="F222" i="178"/>
  <c r="D222" i="178"/>
  <c r="AA221" i="178"/>
  <c r="F221" i="178"/>
  <c r="D221" i="178"/>
  <c r="AA220" i="178"/>
  <c r="F220" i="178"/>
  <c r="D220" i="178"/>
  <c r="AA219" i="178"/>
  <c r="F219" i="178"/>
  <c r="D219" i="178"/>
  <c r="AA218" i="178"/>
  <c r="F218" i="178"/>
  <c r="D218" i="178"/>
  <c r="AA217" i="178"/>
  <c r="F217" i="178"/>
  <c r="D217" i="178"/>
  <c r="AA216" i="178"/>
  <c r="F216" i="178"/>
  <c r="D216" i="178"/>
  <c r="AA215" i="178"/>
  <c r="F215" i="178"/>
  <c r="D215" i="178"/>
  <c r="AA214" i="178"/>
  <c r="F214" i="178"/>
  <c r="D214" i="178"/>
  <c r="AA213" i="178"/>
  <c r="F213" i="178"/>
  <c r="D213" i="178"/>
  <c r="AA212" i="178"/>
  <c r="F212" i="178"/>
  <c r="D212" i="178"/>
  <c r="AA211" i="178"/>
  <c r="F211" i="178"/>
  <c r="D211" i="178"/>
  <c r="AA210" i="178"/>
  <c r="F210" i="178"/>
  <c r="D210" i="178"/>
  <c r="AA209" i="178"/>
  <c r="F209" i="178"/>
  <c r="D209" i="178"/>
  <c r="AA208" i="178"/>
  <c r="F208" i="178"/>
  <c r="D208" i="178"/>
  <c r="AA207" i="178"/>
  <c r="F207" i="178"/>
  <c r="D207" i="178"/>
  <c r="AA206" i="178"/>
  <c r="F206" i="178"/>
  <c r="D206" i="178"/>
  <c r="AA205" i="178"/>
  <c r="F205" i="178"/>
  <c r="D205" i="178"/>
  <c r="AA204" i="178"/>
  <c r="F204" i="178"/>
  <c r="D204" i="178"/>
  <c r="AA203" i="178"/>
  <c r="F203" i="178"/>
  <c r="D203" i="178"/>
  <c r="AA202" i="178"/>
  <c r="D202" i="178"/>
  <c r="AA201" i="178"/>
  <c r="D201" i="178"/>
  <c r="AA200" i="178"/>
  <c r="D200" i="178"/>
  <c r="AA199" i="178"/>
  <c r="D199" i="178"/>
  <c r="AA198" i="178"/>
  <c r="D198" i="178"/>
  <c r="AA197" i="178"/>
  <c r="D197" i="178"/>
  <c r="AA196" i="178"/>
  <c r="D196" i="178"/>
  <c r="AA195" i="178"/>
  <c r="D195" i="178"/>
  <c r="AA194" i="178"/>
  <c r="D194" i="178"/>
  <c r="AA193" i="178"/>
  <c r="D193" i="178"/>
  <c r="AA192" i="178"/>
  <c r="D192" i="178"/>
  <c r="AA191" i="178"/>
  <c r="D191" i="178"/>
  <c r="AA190" i="178"/>
  <c r="D190" i="178"/>
  <c r="AA189" i="178"/>
  <c r="D189" i="178"/>
  <c r="AA188" i="178"/>
  <c r="D188" i="178"/>
  <c r="AA187" i="178"/>
  <c r="D187" i="178"/>
  <c r="Z186" i="178"/>
  <c r="AA186" i="178" s="1"/>
  <c r="D186" i="178"/>
  <c r="AA185" i="178"/>
  <c r="D185" i="178"/>
  <c r="AA184" i="178"/>
  <c r="D184" i="178"/>
  <c r="AA183" i="178"/>
  <c r="D183" i="178"/>
  <c r="AA182" i="178"/>
  <c r="D182" i="178"/>
  <c r="AA181" i="178"/>
  <c r="D181" i="178"/>
  <c r="AA180" i="178"/>
  <c r="D180" i="178"/>
  <c r="AA179" i="178"/>
  <c r="D179" i="178"/>
  <c r="AA178" i="178"/>
  <c r="D178" i="178"/>
  <c r="AA177" i="178"/>
  <c r="D177" i="178"/>
  <c r="AA176" i="178"/>
  <c r="F176" i="178"/>
  <c r="D176" i="178"/>
  <c r="AA175" i="178"/>
  <c r="F175" i="178"/>
  <c r="D175" i="178"/>
  <c r="AA174" i="178"/>
  <c r="F174" i="178"/>
  <c r="D174" i="178"/>
  <c r="Z173" i="178"/>
  <c r="AA173" i="178" s="1"/>
  <c r="F173" i="178"/>
  <c r="D173" i="178"/>
  <c r="AA172" i="178"/>
  <c r="F172" i="178"/>
  <c r="D172" i="178"/>
  <c r="AA171" i="178"/>
  <c r="F171" i="178"/>
  <c r="D171" i="178"/>
  <c r="AA170" i="178"/>
  <c r="F170" i="178"/>
  <c r="D170" i="178"/>
  <c r="AA168" i="178"/>
  <c r="P168" i="178"/>
  <c r="L168" i="178"/>
  <c r="D168" i="178"/>
  <c r="AA167" i="178"/>
  <c r="P167" i="178"/>
  <c r="L167" i="178"/>
  <c r="D167" i="178"/>
  <c r="AA166" i="178"/>
  <c r="P166" i="178"/>
  <c r="L166" i="178"/>
  <c r="D166" i="178"/>
  <c r="AA165" i="178"/>
  <c r="P165" i="178"/>
  <c r="L165" i="178"/>
  <c r="D165" i="178"/>
  <c r="AA164" i="178"/>
  <c r="P164" i="178"/>
  <c r="L164" i="178"/>
  <c r="D164" i="178"/>
  <c r="AA163" i="178"/>
  <c r="P163" i="178"/>
  <c r="L163" i="178"/>
  <c r="D163" i="178"/>
  <c r="AA162" i="178"/>
  <c r="P162" i="178"/>
  <c r="L162" i="178"/>
  <c r="D162" i="178"/>
  <c r="AA161" i="178"/>
  <c r="P161" i="178"/>
  <c r="L161" i="178"/>
  <c r="D161" i="178"/>
  <c r="AA160" i="178"/>
  <c r="P160" i="178"/>
  <c r="L160" i="178"/>
  <c r="D160" i="178"/>
  <c r="AA159" i="178"/>
  <c r="P159" i="178"/>
  <c r="L159" i="178"/>
  <c r="D159" i="178"/>
  <c r="AA158" i="178"/>
  <c r="P158" i="178"/>
  <c r="L158" i="178"/>
  <c r="D158" i="178"/>
  <c r="AA157" i="178"/>
  <c r="P157" i="178"/>
  <c r="L157" i="178"/>
  <c r="D157" i="178"/>
  <c r="AA156" i="178"/>
  <c r="P156" i="178"/>
  <c r="L156" i="178"/>
  <c r="D156" i="178"/>
  <c r="AA155" i="178"/>
  <c r="P155" i="178"/>
  <c r="L155" i="178"/>
  <c r="D155" i="178"/>
  <c r="AA154" i="178"/>
  <c r="P154" i="178"/>
  <c r="L154" i="178"/>
  <c r="D154" i="178"/>
  <c r="AA153" i="178"/>
  <c r="L153" i="178"/>
  <c r="F153" i="178"/>
  <c r="P153" i="178" s="1"/>
  <c r="D153" i="178"/>
  <c r="AJ153" i="178" s="1"/>
  <c r="AA152" i="178"/>
  <c r="P152" i="178"/>
  <c r="L152" i="178"/>
  <c r="D152" i="178"/>
  <c r="AA151" i="178"/>
  <c r="P151" i="178"/>
  <c r="L151" i="178"/>
  <c r="D151" i="178"/>
  <c r="AA150" i="178"/>
  <c r="P150" i="178"/>
  <c r="L150" i="178"/>
  <c r="D150" i="178"/>
  <c r="AA149" i="178"/>
  <c r="P149" i="178"/>
  <c r="L149" i="178"/>
  <c r="D149" i="178"/>
  <c r="AA148" i="178"/>
  <c r="P148" i="178"/>
  <c r="L148" i="178"/>
  <c r="D148" i="178"/>
  <c r="AA147" i="178"/>
  <c r="P147" i="178"/>
  <c r="L147" i="178"/>
  <c r="D147" i="178"/>
  <c r="AA146" i="178"/>
  <c r="P146" i="178"/>
  <c r="L146" i="178"/>
  <c r="D146" i="178"/>
  <c r="AK145" i="178"/>
  <c r="AA145" i="178"/>
  <c r="P145" i="178"/>
  <c r="L145" i="178"/>
  <c r="AK144" i="178"/>
  <c r="AA144" i="178"/>
  <c r="P144" i="178"/>
  <c r="L144" i="178"/>
  <c r="AA143" i="178"/>
  <c r="L143" i="178"/>
  <c r="F143" i="178"/>
  <c r="P143" i="178" s="1"/>
  <c r="D143" i="178"/>
  <c r="AJ143" i="178" s="1"/>
  <c r="AA142" i="178"/>
  <c r="L142" i="178"/>
  <c r="F142" i="178"/>
  <c r="P142" i="178" s="1"/>
  <c r="D142" i="178"/>
  <c r="AJ142" i="178" s="1"/>
  <c r="AA141" i="178"/>
  <c r="L141" i="178"/>
  <c r="F141" i="178"/>
  <c r="P141" i="178" s="1"/>
  <c r="D141" i="178"/>
  <c r="AJ141" i="178" s="1"/>
  <c r="AA140" i="178"/>
  <c r="L140" i="178"/>
  <c r="F140" i="178"/>
  <c r="P140" i="178" s="1"/>
  <c r="D140" i="178"/>
  <c r="AJ140" i="178" s="1"/>
  <c r="AA139" i="178"/>
  <c r="L139" i="178"/>
  <c r="F139" i="178"/>
  <c r="P139" i="178" s="1"/>
  <c r="D139" i="178"/>
  <c r="AJ139" i="178" s="1"/>
  <c r="AA137" i="178"/>
  <c r="P137" i="178"/>
  <c r="K137" i="178"/>
  <c r="L137" i="178" s="1"/>
  <c r="D137" i="178"/>
  <c r="AA136" i="178"/>
  <c r="K136" i="178"/>
  <c r="L136" i="178" s="1"/>
  <c r="F136" i="178"/>
  <c r="P136" i="178" s="1"/>
  <c r="D136" i="178"/>
  <c r="AJ136" i="178" s="1"/>
  <c r="AA135" i="178"/>
  <c r="K135" i="178"/>
  <c r="L135" i="178" s="1"/>
  <c r="F135" i="178"/>
  <c r="P135" i="178" s="1"/>
  <c r="D135" i="178"/>
  <c r="AJ135" i="178" s="1"/>
  <c r="AA133" i="178"/>
  <c r="P133" i="178"/>
  <c r="K133" i="178"/>
  <c r="L133" i="178" s="1"/>
  <c r="D133" i="178"/>
  <c r="AA132" i="178"/>
  <c r="P132" i="178"/>
  <c r="K132" i="178"/>
  <c r="L132" i="178" s="1"/>
  <c r="D132" i="178"/>
  <c r="AA131" i="178"/>
  <c r="P131" i="178"/>
  <c r="K131" i="178"/>
  <c r="L131" i="178" s="1"/>
  <c r="D131" i="178"/>
  <c r="AA130" i="178"/>
  <c r="P130" i="178"/>
  <c r="K130" i="178"/>
  <c r="L130" i="178" s="1"/>
  <c r="D130" i="178"/>
  <c r="AA129" i="178"/>
  <c r="P129" i="178"/>
  <c r="K129" i="178"/>
  <c r="L129" i="178" s="1"/>
  <c r="D129" i="178"/>
  <c r="AA128" i="178"/>
  <c r="P128" i="178"/>
  <c r="K128" i="178"/>
  <c r="L128" i="178" s="1"/>
  <c r="D128" i="178"/>
  <c r="AA127" i="178"/>
  <c r="P127" i="178"/>
  <c r="K127" i="178"/>
  <c r="L127" i="178" s="1"/>
  <c r="D127" i="178"/>
  <c r="AA126" i="178"/>
  <c r="P126" i="178"/>
  <c r="K126" i="178"/>
  <c r="L126" i="178" s="1"/>
  <c r="D126" i="178"/>
  <c r="AA125" i="178"/>
  <c r="P125" i="178"/>
  <c r="K125" i="178"/>
  <c r="L125" i="178" s="1"/>
  <c r="D125" i="178"/>
  <c r="AA124" i="178"/>
  <c r="P124" i="178"/>
  <c r="K124" i="178"/>
  <c r="L124" i="178" s="1"/>
  <c r="D124" i="178"/>
  <c r="AA123" i="178"/>
  <c r="P123" i="178"/>
  <c r="K123" i="178"/>
  <c r="L123" i="178" s="1"/>
  <c r="D123" i="178"/>
  <c r="AA122" i="178"/>
  <c r="P122" i="178"/>
  <c r="K122" i="178"/>
  <c r="L122" i="178" s="1"/>
  <c r="D122" i="178"/>
  <c r="AA121" i="178"/>
  <c r="P121" i="178"/>
  <c r="K121" i="178"/>
  <c r="L121" i="178" s="1"/>
  <c r="D121" i="178"/>
  <c r="AA119" i="178"/>
  <c r="P119" i="178"/>
  <c r="K119" i="178"/>
  <c r="L119" i="178" s="1"/>
  <c r="D119" i="178"/>
  <c r="AA118" i="178"/>
  <c r="P118" i="178"/>
  <c r="K118" i="178"/>
  <c r="L118" i="178" s="1"/>
  <c r="D118" i="178"/>
  <c r="AA117" i="178"/>
  <c r="P117" i="178"/>
  <c r="K117" i="178"/>
  <c r="L117" i="178" s="1"/>
  <c r="D117" i="178"/>
  <c r="AA116" i="178"/>
  <c r="P116" i="178"/>
  <c r="K116" i="178"/>
  <c r="L116" i="178" s="1"/>
  <c r="D116" i="178"/>
  <c r="AA115" i="178"/>
  <c r="P115" i="178"/>
  <c r="K115" i="178"/>
  <c r="L115" i="178" s="1"/>
  <c r="D115" i="178"/>
  <c r="AA114" i="178"/>
  <c r="P114" i="178"/>
  <c r="K114" i="178"/>
  <c r="L114" i="178" s="1"/>
  <c r="D114" i="178"/>
  <c r="AA113" i="178"/>
  <c r="P113" i="178"/>
  <c r="K113" i="178"/>
  <c r="L113" i="178" s="1"/>
  <c r="D113" i="178"/>
  <c r="AA112" i="178"/>
  <c r="P112" i="178"/>
  <c r="K112" i="178"/>
  <c r="L112" i="178" s="1"/>
  <c r="D112" i="178"/>
  <c r="AA111" i="178"/>
  <c r="P111" i="178"/>
  <c r="K111" i="178"/>
  <c r="L111" i="178" s="1"/>
  <c r="D111" i="178"/>
  <c r="AA110" i="178"/>
  <c r="P110" i="178"/>
  <c r="K110" i="178"/>
  <c r="L110" i="178" s="1"/>
  <c r="D110" i="178"/>
  <c r="AA109" i="178"/>
  <c r="P109" i="178"/>
  <c r="K109" i="178"/>
  <c r="L109" i="178" s="1"/>
  <c r="D109" i="178"/>
  <c r="AA108" i="178"/>
  <c r="P108" i="178"/>
  <c r="K108" i="178"/>
  <c r="L108" i="178" s="1"/>
  <c r="D108" i="178"/>
  <c r="AA107" i="178"/>
  <c r="P107" i="178"/>
  <c r="K107" i="178"/>
  <c r="L107" i="178" s="1"/>
  <c r="D107" i="178"/>
  <c r="AA106" i="178"/>
  <c r="P106" i="178"/>
  <c r="K106" i="178"/>
  <c r="L106" i="178" s="1"/>
  <c r="D106" i="178"/>
  <c r="AA105" i="178"/>
  <c r="P105" i="178"/>
  <c r="K105" i="178"/>
  <c r="L105" i="178" s="1"/>
  <c r="D105" i="178"/>
  <c r="AA104" i="178"/>
  <c r="P104" i="178"/>
  <c r="K104" i="178"/>
  <c r="L104" i="178" s="1"/>
  <c r="D104" i="178"/>
  <c r="AA103" i="178"/>
  <c r="P103" i="178"/>
  <c r="K103" i="178"/>
  <c r="L103" i="178" s="1"/>
  <c r="D103" i="178"/>
  <c r="AA102" i="178"/>
  <c r="P102" i="178"/>
  <c r="K102" i="178"/>
  <c r="L102" i="178" s="1"/>
  <c r="D102" i="178"/>
  <c r="AA101" i="178"/>
  <c r="P101" i="178"/>
  <c r="K101" i="178"/>
  <c r="L101" i="178" s="1"/>
  <c r="D101" i="178"/>
  <c r="AA100" i="178"/>
  <c r="P100" i="178"/>
  <c r="K100" i="178"/>
  <c r="L100" i="178" s="1"/>
  <c r="D100" i="178"/>
  <c r="AA99" i="178"/>
  <c r="P99" i="178"/>
  <c r="K99" i="178"/>
  <c r="L99" i="178" s="1"/>
  <c r="D99" i="178"/>
  <c r="AA98" i="178"/>
  <c r="P98" i="178"/>
  <c r="K98" i="178"/>
  <c r="L98" i="178" s="1"/>
  <c r="D98" i="178"/>
  <c r="AA97" i="178"/>
  <c r="P97" i="178"/>
  <c r="K97" i="178"/>
  <c r="L97" i="178" s="1"/>
  <c r="D97" i="178"/>
  <c r="AA96" i="178"/>
  <c r="P96" i="178"/>
  <c r="K96" i="178"/>
  <c r="L96" i="178" s="1"/>
  <c r="D96" i="178"/>
  <c r="AA95" i="178"/>
  <c r="P95" i="178"/>
  <c r="K95" i="178"/>
  <c r="L95" i="178" s="1"/>
  <c r="D95" i="178"/>
  <c r="AA94" i="178"/>
  <c r="P94" i="178"/>
  <c r="K94" i="178"/>
  <c r="L94" i="178" s="1"/>
  <c r="D94" i="178"/>
  <c r="AA93" i="178"/>
  <c r="P93" i="178"/>
  <c r="K93" i="178"/>
  <c r="L93" i="178" s="1"/>
  <c r="D93" i="178"/>
  <c r="AA92" i="178"/>
  <c r="P92" i="178"/>
  <c r="K92" i="178"/>
  <c r="L92" i="178" s="1"/>
  <c r="D92" i="178"/>
  <c r="AA91" i="178"/>
  <c r="P91" i="178"/>
  <c r="K91" i="178"/>
  <c r="L91" i="178" s="1"/>
  <c r="D91" i="178"/>
  <c r="AA90" i="178"/>
  <c r="P90" i="178"/>
  <c r="K90" i="178"/>
  <c r="L90" i="178" s="1"/>
  <c r="D90" i="178"/>
  <c r="AA89" i="178"/>
  <c r="P89" i="178"/>
  <c r="K89" i="178"/>
  <c r="L89" i="178" s="1"/>
  <c r="D89" i="178"/>
  <c r="AA88" i="178"/>
  <c r="P88" i="178"/>
  <c r="K88" i="178"/>
  <c r="L88" i="178" s="1"/>
  <c r="D88" i="178"/>
  <c r="AA87" i="178"/>
  <c r="P87" i="178"/>
  <c r="K87" i="178"/>
  <c r="L87" i="178" s="1"/>
  <c r="D87" i="178"/>
  <c r="AA86" i="178"/>
  <c r="P86" i="178"/>
  <c r="K86" i="178"/>
  <c r="L86" i="178" s="1"/>
  <c r="D86" i="178"/>
  <c r="AA85" i="178"/>
  <c r="P85" i="178"/>
  <c r="K85" i="178"/>
  <c r="L85" i="178" s="1"/>
  <c r="D85" i="178"/>
  <c r="AA84" i="178"/>
  <c r="P84" i="178"/>
  <c r="K84" i="178"/>
  <c r="L84" i="178" s="1"/>
  <c r="D84" i="178"/>
  <c r="AA83" i="178"/>
  <c r="P83" i="178"/>
  <c r="K83" i="178"/>
  <c r="L83" i="178" s="1"/>
  <c r="D83" i="178"/>
  <c r="AA82" i="178"/>
  <c r="P82" i="178"/>
  <c r="K82" i="178"/>
  <c r="L82" i="178" s="1"/>
  <c r="D82" i="178"/>
  <c r="AA81" i="178"/>
  <c r="P81" i="178"/>
  <c r="K81" i="178"/>
  <c r="L81" i="178" s="1"/>
  <c r="D81" i="178"/>
  <c r="AA80" i="178"/>
  <c r="P80" i="178"/>
  <c r="K80" i="178"/>
  <c r="L80" i="178" s="1"/>
  <c r="D80" i="178"/>
  <c r="AA79" i="178"/>
  <c r="P79" i="178"/>
  <c r="K79" i="178"/>
  <c r="L79" i="178" s="1"/>
  <c r="D79" i="178"/>
  <c r="AA78" i="178"/>
  <c r="P78" i="178"/>
  <c r="K78" i="178"/>
  <c r="L78" i="178" s="1"/>
  <c r="D78" i="178"/>
  <c r="AA77" i="178"/>
  <c r="P77" i="178"/>
  <c r="K77" i="178"/>
  <c r="L77" i="178" s="1"/>
  <c r="D77" i="178"/>
  <c r="AA76" i="178"/>
  <c r="P76" i="178"/>
  <c r="K76" i="178"/>
  <c r="L76" i="178" s="1"/>
  <c r="D76" i="178"/>
  <c r="AA75" i="178"/>
  <c r="P75" i="178"/>
  <c r="K75" i="178"/>
  <c r="L75" i="178" s="1"/>
  <c r="D75" i="178"/>
  <c r="AA74" i="178"/>
  <c r="P74" i="178"/>
  <c r="K74" i="178"/>
  <c r="L74" i="178" s="1"/>
  <c r="D74" i="178"/>
  <c r="AA73" i="178"/>
  <c r="P73" i="178"/>
  <c r="K73" i="178"/>
  <c r="L73" i="178" s="1"/>
  <c r="D73" i="178"/>
  <c r="AA72" i="178"/>
  <c r="P72" i="178"/>
  <c r="K72" i="178"/>
  <c r="L72" i="178" s="1"/>
  <c r="D72" i="178"/>
  <c r="AA71" i="178"/>
  <c r="P71" i="178"/>
  <c r="K71" i="178"/>
  <c r="L71" i="178" s="1"/>
  <c r="D71" i="178"/>
  <c r="AA70" i="178"/>
  <c r="P70" i="178"/>
  <c r="K70" i="178"/>
  <c r="L70" i="178" s="1"/>
  <c r="D70" i="178"/>
  <c r="AA69" i="178"/>
  <c r="P69" i="178"/>
  <c r="K69" i="178"/>
  <c r="L69" i="178" s="1"/>
  <c r="D69" i="178"/>
  <c r="AA68" i="178"/>
  <c r="P68" i="178"/>
  <c r="K68" i="178"/>
  <c r="L68" i="178" s="1"/>
  <c r="D68" i="178"/>
  <c r="AA67" i="178"/>
  <c r="P67" i="178"/>
  <c r="K67" i="178"/>
  <c r="L67" i="178" s="1"/>
  <c r="D67" i="178"/>
  <c r="AA66" i="178"/>
  <c r="P66" i="178"/>
  <c r="K66" i="178"/>
  <c r="L66" i="178" s="1"/>
  <c r="D66" i="178"/>
  <c r="AA65" i="178"/>
  <c r="P65" i="178"/>
  <c r="K65" i="178"/>
  <c r="L65" i="178" s="1"/>
  <c r="D65" i="178"/>
  <c r="AA64" i="178"/>
  <c r="P64" i="178"/>
  <c r="K64" i="178"/>
  <c r="L64" i="178" s="1"/>
  <c r="D64" i="178"/>
  <c r="AA63" i="178"/>
  <c r="P63" i="178"/>
  <c r="K63" i="178"/>
  <c r="L63" i="178" s="1"/>
  <c r="D63" i="178"/>
  <c r="AA62" i="178"/>
  <c r="P62" i="178"/>
  <c r="K62" i="178"/>
  <c r="L62" i="178" s="1"/>
  <c r="D62" i="178"/>
  <c r="AA61" i="178"/>
  <c r="P61" i="178"/>
  <c r="K61" i="178"/>
  <c r="L61" i="178" s="1"/>
  <c r="D61" i="178"/>
  <c r="AA60" i="178"/>
  <c r="P60" i="178"/>
  <c r="K60" i="178"/>
  <c r="L60" i="178" s="1"/>
  <c r="D60" i="178"/>
  <c r="AA59" i="178"/>
  <c r="P59" i="178"/>
  <c r="K59" i="178"/>
  <c r="L59" i="178" s="1"/>
  <c r="D59" i="178"/>
  <c r="AA58" i="178"/>
  <c r="P58" i="178"/>
  <c r="K58" i="178"/>
  <c r="L58" i="178" s="1"/>
  <c r="D58" i="178"/>
  <c r="AA57" i="178"/>
  <c r="P57" i="178"/>
  <c r="K57" i="178"/>
  <c r="L57" i="178" s="1"/>
  <c r="D57" i="178"/>
  <c r="AA56" i="178"/>
  <c r="P56" i="178"/>
  <c r="K56" i="178"/>
  <c r="L56" i="178" s="1"/>
  <c r="D56" i="178"/>
  <c r="AA55" i="178"/>
  <c r="P55" i="178"/>
  <c r="K55" i="178"/>
  <c r="L55" i="178" s="1"/>
  <c r="D55" i="178"/>
  <c r="AA54" i="178"/>
  <c r="P54" i="178"/>
  <c r="K54" i="178"/>
  <c r="L54" i="178" s="1"/>
  <c r="D54" i="178"/>
  <c r="AA53" i="178"/>
  <c r="P53" i="178"/>
  <c r="K53" i="178"/>
  <c r="L53" i="178" s="1"/>
  <c r="D53" i="178"/>
  <c r="AA52" i="178"/>
  <c r="P52" i="178"/>
  <c r="K52" i="178"/>
  <c r="L52" i="178" s="1"/>
  <c r="D52" i="178"/>
  <c r="AA51" i="178"/>
  <c r="P51" i="178"/>
  <c r="K51" i="178"/>
  <c r="L51" i="178" s="1"/>
  <c r="D51" i="178"/>
  <c r="AA50" i="178"/>
  <c r="P50" i="178"/>
  <c r="K50" i="178"/>
  <c r="L50" i="178" s="1"/>
  <c r="D50" i="178"/>
  <c r="AA49" i="178"/>
  <c r="P49" i="178"/>
  <c r="K49" i="178"/>
  <c r="L49" i="178" s="1"/>
  <c r="D49" i="178"/>
  <c r="AA48" i="178"/>
  <c r="P48" i="178"/>
  <c r="K48" i="178"/>
  <c r="L48" i="178" s="1"/>
  <c r="D48" i="178"/>
  <c r="AA47" i="178"/>
  <c r="P47" i="178"/>
  <c r="K47" i="178"/>
  <c r="L47" i="178" s="1"/>
  <c r="D47" i="178"/>
  <c r="AA46" i="178"/>
  <c r="P46" i="178"/>
  <c r="K46" i="178"/>
  <c r="L46" i="178" s="1"/>
  <c r="D46" i="178"/>
  <c r="AA45" i="178"/>
  <c r="P45" i="178"/>
  <c r="K45" i="178"/>
  <c r="L45" i="178" s="1"/>
  <c r="D45" i="178"/>
  <c r="AA44" i="178"/>
  <c r="P44" i="178"/>
  <c r="K44" i="178"/>
  <c r="L44" i="178" s="1"/>
  <c r="D44" i="178"/>
  <c r="AA43" i="178"/>
  <c r="P43" i="178"/>
  <c r="K43" i="178"/>
  <c r="L43" i="178" s="1"/>
  <c r="D43" i="178"/>
  <c r="AA42" i="178"/>
  <c r="P42" i="178"/>
  <c r="K42" i="178"/>
  <c r="L42" i="178" s="1"/>
  <c r="D42" i="178"/>
  <c r="AA41" i="178"/>
  <c r="P41" i="178"/>
  <c r="K41" i="178"/>
  <c r="L41" i="178" s="1"/>
  <c r="D41" i="178"/>
  <c r="AA40" i="178"/>
  <c r="P40" i="178"/>
  <c r="K40" i="178"/>
  <c r="L40" i="178" s="1"/>
  <c r="D40" i="178"/>
  <c r="AA39" i="178"/>
  <c r="P39" i="178"/>
  <c r="K39" i="178"/>
  <c r="L39" i="178" s="1"/>
  <c r="D39" i="178"/>
  <c r="AA38" i="178"/>
  <c r="P38" i="178"/>
  <c r="K38" i="178"/>
  <c r="L38" i="178" s="1"/>
  <c r="D38" i="178"/>
  <c r="AA37" i="178"/>
  <c r="P37" i="178"/>
  <c r="K37" i="178"/>
  <c r="L37" i="178" s="1"/>
  <c r="D37" i="178"/>
  <c r="AA36" i="178"/>
  <c r="P36" i="178"/>
  <c r="K36" i="178"/>
  <c r="L36" i="178" s="1"/>
  <c r="D36" i="178"/>
  <c r="AA35" i="178"/>
  <c r="P35" i="178"/>
  <c r="K35" i="178"/>
  <c r="L35" i="178" s="1"/>
  <c r="D35" i="178"/>
  <c r="AA34" i="178"/>
  <c r="P34" i="178"/>
  <c r="K34" i="178"/>
  <c r="L34" i="178" s="1"/>
  <c r="D34" i="178"/>
  <c r="AA33" i="178"/>
  <c r="X33" i="178"/>
  <c r="P33" i="178"/>
  <c r="K33" i="178"/>
  <c r="L33" i="178" s="1"/>
  <c r="D33" i="178"/>
  <c r="AA32" i="178"/>
  <c r="X32" i="178"/>
  <c r="P32" i="178"/>
  <c r="K32" i="178"/>
  <c r="L32" i="178" s="1"/>
  <c r="D32" i="178"/>
  <c r="AA31" i="178"/>
  <c r="X31" i="178"/>
  <c r="P31" i="178"/>
  <c r="K31" i="178"/>
  <c r="L31" i="178" s="1"/>
  <c r="D31" i="178"/>
  <c r="AA30" i="178"/>
  <c r="X30" i="178"/>
  <c r="P30" i="178"/>
  <c r="K30" i="178"/>
  <c r="L30" i="178" s="1"/>
  <c r="D30" i="178"/>
  <c r="AA29" i="178"/>
  <c r="X29" i="178"/>
  <c r="P29" i="178"/>
  <c r="K29" i="178"/>
  <c r="L29" i="178" s="1"/>
  <c r="D29" i="178"/>
  <c r="AA28" i="178"/>
  <c r="P28" i="178"/>
  <c r="K28" i="178"/>
  <c r="L28" i="178" s="1"/>
  <c r="D28" i="178"/>
  <c r="AA27" i="178"/>
  <c r="P27" i="178"/>
  <c r="K27" i="178"/>
  <c r="L27" i="178" s="1"/>
  <c r="D27" i="178"/>
  <c r="AA26" i="178"/>
  <c r="P26" i="178"/>
  <c r="K26" i="178"/>
  <c r="L26" i="178" s="1"/>
  <c r="D26" i="178"/>
  <c r="AA25" i="178"/>
  <c r="P25" i="178"/>
  <c r="K25" i="178"/>
  <c r="L25" i="178" s="1"/>
  <c r="D25" i="178"/>
  <c r="AA24" i="178"/>
  <c r="P24" i="178"/>
  <c r="K24" i="178"/>
  <c r="L24" i="178" s="1"/>
  <c r="D24" i="178"/>
  <c r="AA23" i="178"/>
  <c r="P23" i="178"/>
  <c r="K23" i="178"/>
  <c r="L23" i="178" s="1"/>
  <c r="D23" i="178"/>
  <c r="AA22" i="178"/>
  <c r="P22" i="178"/>
  <c r="K22" i="178"/>
  <c r="L22" i="178" s="1"/>
  <c r="D22" i="178"/>
  <c r="AA21" i="178"/>
  <c r="P21" i="178"/>
  <c r="K21" i="178"/>
  <c r="L21" i="178" s="1"/>
  <c r="D21" i="178"/>
  <c r="AA20" i="178"/>
  <c r="P20" i="178"/>
  <c r="K20" i="178"/>
  <c r="L20" i="178" s="1"/>
  <c r="D20" i="178"/>
  <c r="AA19" i="178"/>
  <c r="P19" i="178"/>
  <c r="K19" i="178"/>
  <c r="L19" i="178" s="1"/>
  <c r="D19" i="178"/>
  <c r="AA18" i="178"/>
  <c r="P18" i="178"/>
  <c r="K18" i="178"/>
  <c r="L18" i="178" s="1"/>
  <c r="D18" i="178"/>
  <c r="AA17" i="178"/>
  <c r="P17" i="178"/>
  <c r="K17" i="178"/>
  <c r="L17" i="178" s="1"/>
  <c r="D17" i="178"/>
  <c r="AA16" i="178"/>
  <c r="P16" i="178"/>
  <c r="K16" i="178"/>
  <c r="L16" i="178" s="1"/>
  <c r="D16" i="178"/>
  <c r="AA15" i="178"/>
  <c r="P15" i="178"/>
  <c r="K15" i="178"/>
  <c r="L15" i="178" s="1"/>
  <c r="D15" i="178"/>
  <c r="AA14" i="178"/>
  <c r="P14" i="178"/>
  <c r="K14" i="178"/>
  <c r="L14" i="178" s="1"/>
  <c r="D14" i="178"/>
  <c r="AA13" i="178"/>
  <c r="P13" i="178"/>
  <c r="K13" i="178"/>
  <c r="L13" i="178" s="1"/>
  <c r="D13" i="178"/>
  <c r="AA12" i="178"/>
  <c r="P12" i="178"/>
  <c r="K12" i="178"/>
  <c r="L12" i="178" s="1"/>
  <c r="D12" i="178"/>
  <c r="AA11" i="178"/>
  <c r="P11" i="178"/>
  <c r="K11" i="178"/>
  <c r="L11" i="178" s="1"/>
  <c r="D11" i="178"/>
  <c r="AA10" i="178"/>
  <c r="P10" i="178"/>
  <c r="K10" i="178"/>
  <c r="L10" i="178" s="1"/>
  <c r="D10" i="178"/>
  <c r="AA9" i="178"/>
  <c r="P9" i="178"/>
  <c r="K9" i="178"/>
  <c r="L9" i="178" s="1"/>
  <c r="D9" i="178"/>
  <c r="AA8" i="178"/>
  <c r="P8" i="178"/>
  <c r="K8" i="178"/>
  <c r="L8" i="178" s="1"/>
  <c r="D8" i="178"/>
  <c r="AA7" i="178"/>
  <c r="P7" i="178"/>
  <c r="K7" i="178"/>
  <c r="L7" i="178" s="1"/>
  <c r="D7" i="178"/>
  <c r="AA6" i="178"/>
  <c r="P6" i="178"/>
  <c r="K6" i="178"/>
  <c r="L6" i="178" s="1"/>
  <c r="D6" i="178"/>
  <c r="AA5" i="178"/>
  <c r="P5" i="178"/>
  <c r="K5" i="178"/>
  <c r="L5" i="178" s="1"/>
  <c r="D5" i="178"/>
  <c r="AA4" i="178"/>
  <c r="P4" i="178"/>
  <c r="K4" i="178"/>
  <c r="L4" i="178" s="1"/>
  <c r="D4" i="178"/>
  <c r="A1" i="178"/>
  <c r="O20" i="202"/>
  <c r="N20" i="202"/>
  <c r="L15" i="202"/>
  <c r="L63" i="202" s="1"/>
  <c r="H1" i="202"/>
  <c r="L77" i="202"/>
  <c r="K20" i="202"/>
  <c r="L52" i="202"/>
  <c r="K69" i="202"/>
  <c r="K32" i="202"/>
  <c r="L73" i="202"/>
  <c r="L8" i="202"/>
  <c r="K44" i="202"/>
  <c r="L20" i="202"/>
  <c r="L69" i="202"/>
  <c r="L32" i="202"/>
  <c r="L53" i="202"/>
  <c r="K53" i="202"/>
  <c r="K52" i="202"/>
  <c r="L44" i="202"/>
  <c r="K68" i="202"/>
  <c r="K77" i="202"/>
  <c r="K8" i="202"/>
  <c r="L68" i="202"/>
  <c r="K73" i="202"/>
  <c r="AJ31" i="178" l="1"/>
  <c r="AK31" i="178" s="1"/>
  <c r="AJ30" i="178"/>
  <c r="AK30" i="178" s="1"/>
  <c r="AJ34" i="178"/>
  <c r="AK34" i="178" s="1"/>
  <c r="AJ36" i="178"/>
  <c r="AK36" i="178" s="1"/>
  <c r="AJ37" i="178"/>
  <c r="AK37" i="178" s="1"/>
  <c r="AJ39" i="178"/>
  <c r="AK39" i="178" s="1"/>
  <c r="AJ41" i="178"/>
  <c r="AK41" i="178" s="1"/>
  <c r="AJ43" i="178"/>
  <c r="AK43" i="178" s="1"/>
  <c r="AJ45" i="178"/>
  <c r="AK45" i="178" s="1"/>
  <c r="AJ47" i="178"/>
  <c r="AK47" i="178" s="1"/>
  <c r="AJ49" i="178"/>
  <c r="AK49" i="178" s="1"/>
  <c r="AJ51" i="178"/>
  <c r="AK51" i="178" s="1"/>
  <c r="AJ53" i="178"/>
  <c r="AK53" i="178" s="1"/>
  <c r="AJ55" i="178"/>
  <c r="AK55" i="178" s="1"/>
  <c r="AJ57" i="178"/>
  <c r="AK57" i="178" s="1"/>
  <c r="AJ59" i="178"/>
  <c r="AK59" i="178" s="1"/>
  <c r="AJ61" i="178"/>
  <c r="AK61" i="178" s="1"/>
  <c r="AJ63" i="178"/>
  <c r="AK63" i="178" s="1"/>
  <c r="AJ65" i="178"/>
  <c r="AK65" i="178" s="1"/>
  <c r="AJ67" i="178"/>
  <c r="AK67" i="178" s="1"/>
  <c r="AJ69" i="178"/>
  <c r="AK69" i="178" s="1"/>
  <c r="AJ71" i="178"/>
  <c r="AK71" i="178" s="1"/>
  <c r="AJ73" i="178"/>
  <c r="AK73" i="178" s="1"/>
  <c r="AJ75" i="178"/>
  <c r="AK75" i="178" s="1"/>
  <c r="AJ77" i="178"/>
  <c r="AK77" i="178" s="1"/>
  <c r="AJ79" i="178"/>
  <c r="AK79" i="178" s="1"/>
  <c r="AJ81" i="178"/>
  <c r="AK81" i="178" s="1"/>
  <c r="AJ83" i="178"/>
  <c r="AK83" i="178" s="1"/>
  <c r="AJ84" i="178"/>
  <c r="AK84" i="178" s="1"/>
  <c r="AJ86" i="178"/>
  <c r="AK86" i="178" s="1"/>
  <c r="AJ88" i="178"/>
  <c r="AK88" i="178" s="1"/>
  <c r="AJ90" i="178"/>
  <c r="AK90" i="178" s="1"/>
  <c r="AJ92" i="178"/>
  <c r="AK92" i="178" s="1"/>
  <c r="AJ94" i="178"/>
  <c r="AK94" i="178" s="1"/>
  <c r="AJ96" i="178"/>
  <c r="AK96" i="178" s="1"/>
  <c r="AJ98" i="178"/>
  <c r="AK98" i="178" s="1"/>
  <c r="AJ100" i="178"/>
  <c r="AK100" i="178" s="1"/>
  <c r="AJ102" i="178"/>
  <c r="AK102" i="178" s="1"/>
  <c r="AJ104" i="178"/>
  <c r="AK104" i="178" s="1"/>
  <c r="AJ106" i="178"/>
  <c r="AK106" i="178" s="1"/>
  <c r="AJ108" i="178"/>
  <c r="AK108" i="178" s="1"/>
  <c r="AJ110" i="178"/>
  <c r="AK110" i="178" s="1"/>
  <c r="AJ112" i="178"/>
  <c r="AK112" i="178" s="1"/>
  <c r="AJ113" i="178"/>
  <c r="AK113" i="178" s="1"/>
  <c r="AJ115" i="178"/>
  <c r="AK115" i="178" s="1"/>
  <c r="AJ116" i="178"/>
  <c r="AK116" i="178" s="1"/>
  <c r="AJ118" i="178"/>
  <c r="AK118" i="178" s="1"/>
  <c r="AJ119" i="178"/>
  <c r="AK119" i="178" s="1"/>
  <c r="AJ121" i="178"/>
  <c r="AK121" i="178" s="1"/>
  <c r="AJ122" i="178"/>
  <c r="AK122" i="178" s="1"/>
  <c r="AJ123" i="178"/>
  <c r="AK123" i="178" s="1"/>
  <c r="AJ124" i="178"/>
  <c r="AK124" i="178" s="1"/>
  <c r="AJ125" i="178"/>
  <c r="AK125" i="178" s="1"/>
  <c r="AJ126" i="178"/>
  <c r="AK126" i="178" s="1"/>
  <c r="AJ127" i="178"/>
  <c r="AK127" i="178" s="1"/>
  <c r="AJ128" i="178"/>
  <c r="AK128" i="178" s="1"/>
  <c r="AJ129" i="178"/>
  <c r="AK129" i="178" s="1"/>
  <c r="AJ130" i="178"/>
  <c r="AK130" i="178" s="1"/>
  <c r="AJ131" i="178"/>
  <c r="AK131" i="178" s="1"/>
  <c r="AJ132" i="178"/>
  <c r="AK132" i="178" s="1"/>
  <c r="AJ133" i="178"/>
  <c r="AK133" i="178" s="1"/>
  <c r="AJ137" i="178"/>
  <c r="AK137" i="178" s="1"/>
  <c r="AJ32" i="178"/>
  <c r="AK32" i="178" s="1"/>
  <c r="AJ4" i="178"/>
  <c r="AK4" i="178" s="1"/>
  <c r="AJ5" i="178"/>
  <c r="AK5" i="178" s="1"/>
  <c r="AJ6" i="178"/>
  <c r="AK6" i="178" s="1"/>
  <c r="AJ7" i="178"/>
  <c r="AK7" i="178" s="1"/>
  <c r="AJ8" i="178"/>
  <c r="AK8" i="178" s="1"/>
  <c r="AJ9" i="178"/>
  <c r="AK9" i="178" s="1"/>
  <c r="AJ10" i="178"/>
  <c r="AK10" i="178" s="1"/>
  <c r="AJ11" i="178"/>
  <c r="AK11" i="178" s="1"/>
  <c r="AJ12" i="178"/>
  <c r="AK12" i="178" s="1"/>
  <c r="AJ13" i="178"/>
  <c r="AK13" i="178" s="1"/>
  <c r="AJ14" i="178"/>
  <c r="AK14" i="178" s="1"/>
  <c r="AJ15" i="178"/>
  <c r="AK15" i="178" s="1"/>
  <c r="AJ16" i="178"/>
  <c r="AK16" i="178" s="1"/>
  <c r="AJ17" i="178"/>
  <c r="AK17" i="178" s="1"/>
  <c r="AJ18" i="178"/>
  <c r="AK18" i="178" s="1"/>
  <c r="AJ19" i="178"/>
  <c r="AK19" i="178" s="1"/>
  <c r="AJ20" i="178"/>
  <c r="AK20" i="178" s="1"/>
  <c r="AJ21" i="178"/>
  <c r="AK21" i="178" s="1"/>
  <c r="AJ22" i="178"/>
  <c r="AK22" i="178" s="1"/>
  <c r="AJ23" i="178"/>
  <c r="AK23" i="178" s="1"/>
  <c r="AJ24" i="178"/>
  <c r="AK24" i="178" s="1"/>
  <c r="AJ25" i="178"/>
  <c r="AK25" i="178" s="1"/>
  <c r="AJ26" i="178"/>
  <c r="AK26" i="178" s="1"/>
  <c r="AJ27" i="178"/>
  <c r="AK27" i="178" s="1"/>
  <c r="AJ28" i="178"/>
  <c r="AK28" i="178" s="1"/>
  <c r="AJ29" i="178"/>
  <c r="AK29" i="178" s="1"/>
  <c r="AJ33" i="178"/>
  <c r="AK33" i="178" s="1"/>
  <c r="AJ35" i="178"/>
  <c r="AK35" i="178" s="1"/>
  <c r="AJ38" i="178"/>
  <c r="AK38" i="178" s="1"/>
  <c r="AJ40" i="178"/>
  <c r="AK40" i="178" s="1"/>
  <c r="AJ42" i="178"/>
  <c r="AK42" i="178" s="1"/>
  <c r="AJ44" i="178"/>
  <c r="AK44" i="178" s="1"/>
  <c r="AJ46" i="178"/>
  <c r="AK46" i="178" s="1"/>
  <c r="AJ48" i="178"/>
  <c r="AK48" i="178" s="1"/>
  <c r="AJ50" i="178"/>
  <c r="AK50" i="178" s="1"/>
  <c r="AJ52" i="178"/>
  <c r="AK52" i="178" s="1"/>
  <c r="AJ54" i="178"/>
  <c r="AK54" i="178" s="1"/>
  <c r="AJ56" i="178"/>
  <c r="AK56" i="178" s="1"/>
  <c r="AJ58" i="178"/>
  <c r="AK58" i="178" s="1"/>
  <c r="AJ60" i="178"/>
  <c r="AK60" i="178" s="1"/>
  <c r="AJ62" i="178"/>
  <c r="AK62" i="178" s="1"/>
  <c r="AJ64" i="178"/>
  <c r="AK64" i="178" s="1"/>
  <c r="AJ66" i="178"/>
  <c r="AK66" i="178" s="1"/>
  <c r="AJ68" i="178"/>
  <c r="AK68" i="178" s="1"/>
  <c r="AJ70" i="178"/>
  <c r="AK70" i="178" s="1"/>
  <c r="AJ72" i="178"/>
  <c r="AK72" i="178" s="1"/>
  <c r="AJ74" i="178"/>
  <c r="AK74" i="178" s="1"/>
  <c r="AJ76" i="178"/>
  <c r="AK76" i="178" s="1"/>
  <c r="AJ78" i="178"/>
  <c r="AK78" i="178" s="1"/>
  <c r="AJ80" i="178"/>
  <c r="AK80" i="178" s="1"/>
  <c r="AJ82" i="178"/>
  <c r="AK82" i="178" s="1"/>
  <c r="AJ85" i="178"/>
  <c r="AK85" i="178" s="1"/>
  <c r="AJ87" i="178"/>
  <c r="AK87" i="178" s="1"/>
  <c r="AJ89" i="178"/>
  <c r="AK89" i="178" s="1"/>
  <c r="AJ91" i="178"/>
  <c r="AK91" i="178" s="1"/>
  <c r="AJ93" i="178"/>
  <c r="AK93" i="178" s="1"/>
  <c r="AJ95" i="178"/>
  <c r="AK95" i="178" s="1"/>
  <c r="AJ97" i="178"/>
  <c r="AK97" i="178" s="1"/>
  <c r="AJ99" i="178"/>
  <c r="AK99" i="178" s="1"/>
  <c r="AJ101" i="178"/>
  <c r="AK101" i="178" s="1"/>
  <c r="AJ103" i="178"/>
  <c r="AK103" i="178" s="1"/>
  <c r="AJ105" i="178"/>
  <c r="AK105" i="178" s="1"/>
  <c r="AJ107" i="178"/>
  <c r="AK107" i="178" s="1"/>
  <c r="AJ109" i="178"/>
  <c r="AK109" i="178" s="1"/>
  <c r="AJ111" i="178"/>
  <c r="AK111" i="178" s="1"/>
  <c r="AJ114" i="178"/>
  <c r="AK114" i="178" s="1"/>
  <c r="AJ117" i="178"/>
  <c r="AK117" i="178" s="1"/>
  <c r="AJ146" i="178"/>
  <c r="AK146" i="178" s="1"/>
  <c r="AJ147" i="178"/>
  <c r="AK147" i="178" s="1"/>
  <c r="AJ148" i="178"/>
  <c r="AK148" i="178" s="1"/>
  <c r="AJ149" i="178"/>
  <c r="AK149" i="178" s="1"/>
  <c r="AJ150" i="178"/>
  <c r="AK150" i="178" s="1"/>
  <c r="AJ151" i="178"/>
  <c r="AK151" i="178" s="1"/>
  <c r="AJ152" i="178"/>
  <c r="AK152" i="178" s="1"/>
  <c r="AJ154" i="178"/>
  <c r="AK154" i="178" s="1"/>
  <c r="AJ155" i="178"/>
  <c r="AK155" i="178" s="1"/>
  <c r="AJ156" i="178"/>
  <c r="AK156" i="178" s="1"/>
  <c r="AJ157" i="178"/>
  <c r="AK157" i="178" s="1"/>
  <c r="AJ158" i="178"/>
  <c r="AK158" i="178" s="1"/>
  <c r="AJ159" i="178"/>
  <c r="AK159" i="178" s="1"/>
  <c r="AJ160" i="178"/>
  <c r="AK160" i="178" s="1"/>
  <c r="AJ161" i="178"/>
  <c r="AK161" i="178" s="1"/>
  <c r="AJ162" i="178"/>
  <c r="AK162" i="178" s="1"/>
  <c r="AJ163" i="178"/>
  <c r="AK163" i="178" s="1"/>
  <c r="AJ164" i="178"/>
  <c r="AK164" i="178" s="1"/>
  <c r="AJ165" i="178"/>
  <c r="AK165" i="178" s="1"/>
  <c r="AJ166" i="178"/>
  <c r="AK166" i="178" s="1"/>
  <c r="AJ167" i="178"/>
  <c r="AK167" i="178" s="1"/>
  <c r="AJ168" i="178"/>
  <c r="AK168" i="178" s="1"/>
  <c r="AL9" i="168"/>
  <c r="AL11" i="168"/>
  <c r="M11" i="168"/>
  <c r="O11" i="168" s="1"/>
  <c r="M36" i="171"/>
  <c r="O36" i="171" s="1"/>
  <c r="P36" i="171" s="1"/>
  <c r="M35" i="171"/>
  <c r="O35" i="171" s="1"/>
  <c r="P35" i="171" s="1"/>
  <c r="AL36" i="171"/>
  <c r="AL35" i="171"/>
  <c r="AL34" i="171"/>
  <c r="M34" i="171"/>
  <c r="O34" i="171" s="1"/>
  <c r="P34" i="171" s="1"/>
  <c r="M33" i="171"/>
  <c r="O33" i="171" s="1"/>
  <c r="P33" i="171" s="1"/>
  <c r="AL32" i="171"/>
  <c r="AL33" i="171"/>
  <c r="M32" i="171"/>
  <c r="O32" i="171" s="1"/>
  <c r="P32" i="171" s="1"/>
  <c r="M31" i="171"/>
  <c r="O31" i="171" s="1"/>
  <c r="P31" i="171" s="1"/>
  <c r="AL31" i="171"/>
  <c r="AL30" i="171"/>
  <c r="M29" i="171"/>
  <c r="O29" i="171" s="1"/>
  <c r="P29" i="171" s="1"/>
  <c r="M30" i="171"/>
  <c r="O30" i="171" s="1"/>
  <c r="P30" i="171" s="1"/>
  <c r="AL29" i="171"/>
  <c r="AL28" i="171"/>
  <c r="M28" i="171"/>
  <c r="O28" i="171" s="1"/>
  <c r="P28" i="171" s="1"/>
  <c r="AL27" i="171"/>
  <c r="M27" i="171"/>
  <c r="O27" i="171" s="1"/>
  <c r="P27" i="171" s="1"/>
  <c r="AL26" i="171"/>
  <c r="M26" i="171"/>
  <c r="O26" i="171" s="1"/>
  <c r="P26" i="171" s="1"/>
  <c r="AL25" i="171"/>
  <c r="M25" i="171"/>
  <c r="O25" i="171" s="1"/>
  <c r="P25" i="171" s="1"/>
  <c r="AL24" i="171"/>
  <c r="M24" i="171"/>
  <c r="O24" i="171" s="1"/>
  <c r="P24" i="171" s="1"/>
  <c r="AL23" i="171"/>
  <c r="M23" i="171"/>
  <c r="O23" i="171" s="1"/>
  <c r="P23" i="171" s="1"/>
  <c r="AL22" i="171"/>
  <c r="M22" i="171"/>
  <c r="O22" i="171" s="1"/>
  <c r="P22" i="171" s="1"/>
  <c r="AL21" i="171"/>
  <c r="M21" i="171"/>
  <c r="O21" i="171" s="1"/>
  <c r="P21" i="171" s="1"/>
  <c r="AL20" i="171"/>
  <c r="M20" i="171"/>
  <c r="O20" i="171" s="1"/>
  <c r="P20" i="171" s="1"/>
  <c r="AL19" i="171"/>
  <c r="M19" i="171"/>
  <c r="O19" i="171" s="1"/>
  <c r="P19" i="171" s="1"/>
  <c r="AL18" i="171"/>
  <c r="M18" i="171"/>
  <c r="O18" i="171" s="1"/>
  <c r="P18" i="171" s="1"/>
  <c r="AL17" i="171"/>
  <c r="M17" i="171"/>
  <c r="O17" i="171" s="1"/>
  <c r="P17" i="171" s="1"/>
  <c r="AL10" i="171"/>
  <c r="M16" i="171"/>
  <c r="O16" i="171" s="1"/>
  <c r="P16" i="171" s="1"/>
  <c r="M15" i="171"/>
  <c r="O15" i="171" s="1"/>
  <c r="P15" i="171" s="1"/>
  <c r="AL16" i="171"/>
  <c r="AL15" i="171"/>
  <c r="M38" i="178"/>
  <c r="AK139" i="178"/>
  <c r="AK142" i="178"/>
  <c r="AK143" i="178"/>
  <c r="AK136" i="178"/>
  <c r="AK153" i="178"/>
  <c r="Q1" i="178"/>
  <c r="M6" i="178"/>
  <c r="AL7" i="178"/>
  <c r="M8" i="178"/>
  <c r="AL9" i="178"/>
  <c r="M19" i="178"/>
  <c r="AL29" i="178"/>
  <c r="M30" i="178"/>
  <c r="AL33" i="178"/>
  <c r="AL221" i="178"/>
  <c r="AL243" i="178"/>
  <c r="M241" i="178"/>
  <c r="O241" i="178" s="1"/>
  <c r="P241" i="178" s="1"/>
  <c r="AL240" i="178"/>
  <c r="M238" i="178"/>
  <c r="O238" i="178" s="1"/>
  <c r="P238" i="178" s="1"/>
  <c r="AL237" i="178"/>
  <c r="AL219" i="178"/>
  <c r="AL211" i="178"/>
  <c r="AL203" i="178"/>
  <c r="AL187" i="178"/>
  <c r="M170" i="178"/>
  <c r="O170" i="178" s="1"/>
  <c r="P170" i="178" s="1"/>
  <c r="M165" i="178"/>
  <c r="M161" i="178"/>
  <c r="M157" i="178"/>
  <c r="N146" i="178"/>
  <c r="AL99" i="178"/>
  <c r="M98" i="178"/>
  <c r="AL93" i="178"/>
  <c r="AL91" i="178"/>
  <c r="M90" i="178"/>
  <c r="AL85" i="178"/>
  <c r="AL83" i="178"/>
  <c r="M82" i="178"/>
  <c r="AL77" i="178"/>
  <c r="AL75" i="178"/>
  <c r="M74" i="178"/>
  <c r="AL69" i="178"/>
  <c r="AL67" i="178"/>
  <c r="M66" i="178"/>
  <c r="AL61" i="178"/>
  <c r="AL59" i="178"/>
  <c r="M58" i="178"/>
  <c r="AL53" i="178"/>
  <c r="AL51" i="178"/>
  <c r="M50" i="178"/>
  <c r="AL45" i="178"/>
  <c r="AL43" i="178"/>
  <c r="M42" i="178"/>
  <c r="AL37" i="178"/>
  <c r="AL35" i="178"/>
  <c r="M34" i="178"/>
  <c r="N33" i="178"/>
  <c r="N29" i="178"/>
  <c r="N28" i="178"/>
  <c r="N27" i="178"/>
  <c r="N26" i="178"/>
  <c r="N25" i="178"/>
  <c r="N24" i="178"/>
  <c r="N23" i="178"/>
  <c r="N22" i="178"/>
  <c r="N21" i="178"/>
  <c r="AL18" i="178"/>
  <c r="N17" i="178"/>
  <c r="N16" i="178"/>
  <c r="N15" i="178"/>
  <c r="N14" i="178"/>
  <c r="N13" i="178"/>
  <c r="N12" i="178"/>
  <c r="N11" i="178"/>
  <c r="N10" i="178"/>
  <c r="M224" i="178"/>
  <c r="O224" i="178" s="1"/>
  <c r="P224" i="178" s="1"/>
  <c r="AL223" i="178"/>
  <c r="AL215" i="178"/>
  <c r="AL207" i="178"/>
  <c r="M175" i="178"/>
  <c r="O175" i="178" s="1"/>
  <c r="P175" i="178" s="1"/>
  <c r="N133" i="178"/>
  <c r="N132" i="178"/>
  <c r="N131" i="178"/>
  <c r="N130" i="178"/>
  <c r="N129" i="178"/>
  <c r="N128" i="178"/>
  <c r="N127" i="178"/>
  <c r="N126" i="178"/>
  <c r="N125" i="178"/>
  <c r="N124" i="178"/>
  <c r="N123" i="178"/>
  <c r="N122" i="178"/>
  <c r="N121" i="178"/>
  <c r="N119" i="178"/>
  <c r="N118" i="178"/>
  <c r="N117" i="178"/>
  <c r="N116" i="178"/>
  <c r="N115" i="178"/>
  <c r="N114" i="178"/>
  <c r="N113" i="178"/>
  <c r="N112" i="178"/>
  <c r="N111" i="178"/>
  <c r="N110" i="178"/>
  <c r="N109" i="178"/>
  <c r="N108" i="178"/>
  <c r="N107" i="178"/>
  <c r="N106" i="178"/>
  <c r="N105" i="178"/>
  <c r="N104" i="178"/>
  <c r="N103" i="178"/>
  <c r="N102" i="178"/>
  <c r="N101" i="178"/>
  <c r="N100" i="178"/>
  <c r="AL97" i="178"/>
  <c r="AL95" i="178"/>
  <c r="M94" i="178"/>
  <c r="AL89" i="178"/>
  <c r="AL87" i="178"/>
  <c r="M86" i="178"/>
  <c r="AL81" i="178"/>
  <c r="AL79" i="178"/>
  <c r="M78" i="178"/>
  <c r="AL73" i="178"/>
  <c r="AL71" i="178"/>
  <c r="M70" i="178"/>
  <c r="AL65" i="178"/>
  <c r="AL63" i="178"/>
  <c r="M62" i="178"/>
  <c r="AL57" i="178"/>
  <c r="AL55" i="178"/>
  <c r="M54" i="178"/>
  <c r="AL49" i="178"/>
  <c r="AL47" i="178"/>
  <c r="M46" i="178"/>
  <c r="M4" i="178"/>
  <c r="AL5" i="178"/>
  <c r="AL39" i="178"/>
  <c r="M40" i="178"/>
  <c r="AL41" i="178"/>
  <c r="M48" i="178"/>
  <c r="M56" i="178"/>
  <c r="M64" i="178"/>
  <c r="M72" i="178"/>
  <c r="M80" i="178"/>
  <c r="M88" i="178"/>
  <c r="M96" i="178"/>
  <c r="AK140" i="178"/>
  <c r="M36" i="178"/>
  <c r="M44" i="178"/>
  <c r="M52" i="178"/>
  <c r="M60" i="178"/>
  <c r="M68" i="178"/>
  <c r="M76" i="178"/>
  <c r="M84" i="178"/>
  <c r="M92" i="178"/>
  <c r="O31" i="202"/>
  <c r="L28" i="202"/>
  <c r="L23" i="202"/>
  <c r="L26" i="202" s="1"/>
  <c r="L61" i="202"/>
  <c r="L64" i="202" s="1"/>
  <c r="K35" i="202"/>
  <c r="K38" i="202" s="1"/>
  <c r="K61" i="202"/>
  <c r="K54" i="202"/>
  <c r="L74" i="202"/>
  <c r="L78" i="202"/>
  <c r="L81" i="202" s="1"/>
  <c r="K60" i="202"/>
  <c r="N11" i="202"/>
  <c r="N34" i="202" s="1"/>
  <c r="K11" i="202"/>
  <c r="K14" i="202" s="1"/>
  <c r="L48" i="202"/>
  <c r="L47" i="202"/>
  <c r="L70" i="202"/>
  <c r="O11" i="202"/>
  <c r="L11" i="202"/>
  <c r="L14" i="202" s="1"/>
  <c r="O14" i="202" s="1"/>
  <c r="L60" i="202"/>
  <c r="L16" i="202"/>
  <c r="K23" i="202"/>
  <c r="K26" i="202" s="1"/>
  <c r="N31" i="202"/>
  <c r="L35" i="202"/>
  <c r="L38" i="202" s="1"/>
  <c r="L40" i="202"/>
  <c r="K47" i="202"/>
  <c r="L54" i="202"/>
  <c r="L56" i="202"/>
  <c r="K70" i="202"/>
  <c r="K74" i="202"/>
  <c r="K78" i="202"/>
  <c r="AK135" i="178"/>
  <c r="AK141" i="178"/>
  <c r="AL262" i="178"/>
  <c r="M263" i="178"/>
  <c r="O263" i="178" s="1"/>
  <c r="P263" i="178" s="1"/>
  <c r="AL266" i="178"/>
  <c r="M267" i="178"/>
  <c r="O267" i="178" s="1"/>
  <c r="P267" i="178" s="1"/>
  <c r="AL270" i="178"/>
  <c r="M271" i="178"/>
  <c r="O271" i="178" s="1"/>
  <c r="P271" i="178" s="1"/>
  <c r="AL274" i="178"/>
  <c r="M275" i="178"/>
  <c r="O275" i="178" s="1"/>
  <c r="P275" i="178" s="1"/>
  <c r="AL278" i="178"/>
  <c r="M279" i="178"/>
  <c r="O279" i="178" s="1"/>
  <c r="P279" i="178" s="1"/>
  <c r="AL283" i="178"/>
  <c r="M284" i="178"/>
  <c r="O284" i="178" s="1"/>
  <c r="P284" i="178" s="1"/>
  <c r="AL296" i="178"/>
  <c r="AL13" i="171"/>
  <c r="AL8" i="168"/>
  <c r="M9" i="168"/>
  <c r="O9" i="168" s="1"/>
  <c r="AK9" i="168" s="1"/>
  <c r="AL4" i="178"/>
  <c r="M5" i="178"/>
  <c r="AL6" i="178"/>
  <c r="M7" i="178"/>
  <c r="AL8" i="178"/>
  <c r="M9" i="178"/>
  <c r="M18" i="178"/>
  <c r="AL19" i="178"/>
  <c r="M20" i="178"/>
  <c r="N31" i="178"/>
  <c r="AL31" i="178"/>
  <c r="M32" i="178"/>
  <c r="AL34" i="178"/>
  <c r="M35" i="178"/>
  <c r="AL36" i="178"/>
  <c r="M37" i="178"/>
  <c r="AL38" i="178"/>
  <c r="M39" i="178"/>
  <c r="AL40" i="178"/>
  <c r="M41" i="178"/>
  <c r="AL42" i="178"/>
  <c r="M43" i="178"/>
  <c r="AL44" i="178"/>
  <c r="M45" i="178"/>
  <c r="AL46" i="178"/>
  <c r="M47" i="178"/>
  <c r="AL48" i="178"/>
  <c r="M49" i="178"/>
  <c r="AL50" i="178"/>
  <c r="M51" i="178"/>
  <c r="AL52" i="178"/>
  <c r="M53" i="178"/>
  <c r="AL54" i="178"/>
  <c r="M55" i="178"/>
  <c r="AL56" i="178"/>
  <c r="M57" i="178"/>
  <c r="AL58" i="178"/>
  <c r="M59" i="178"/>
  <c r="AL60" i="178"/>
  <c r="M61" i="178"/>
  <c r="AL62" i="178"/>
  <c r="M63" i="178"/>
  <c r="AL64" i="178"/>
  <c r="M65" i="178"/>
  <c r="AL66" i="178"/>
  <c r="M67" i="178"/>
  <c r="AL68" i="178"/>
  <c r="M69" i="178"/>
  <c r="AL70" i="178"/>
  <c r="M71" i="178"/>
  <c r="AL72" i="178"/>
  <c r="M73" i="178"/>
  <c r="AL74" i="178"/>
  <c r="M75" i="178"/>
  <c r="AL76" i="178"/>
  <c r="M77" i="178"/>
  <c r="AL78" i="178"/>
  <c r="M79" i="178"/>
  <c r="AL80" i="178"/>
  <c r="M81" i="178"/>
  <c r="AL82" i="178"/>
  <c r="M83" i="178"/>
  <c r="AL84" i="178"/>
  <c r="M85" i="178"/>
  <c r="AL86" i="178"/>
  <c r="M87" i="178"/>
  <c r="AL88" i="178"/>
  <c r="M89" i="178"/>
  <c r="AL90" i="178"/>
  <c r="M91" i="178"/>
  <c r="AL92" i="178"/>
  <c r="M93" i="178"/>
  <c r="AL94" i="178"/>
  <c r="M95" i="178"/>
  <c r="AL96" i="178"/>
  <c r="M97" i="178"/>
  <c r="AL98" i="178"/>
  <c r="M99" i="178"/>
  <c r="AL135" i="178"/>
  <c r="N148" i="178"/>
  <c r="M151" i="178"/>
  <c r="N154" i="178"/>
  <c r="M155" i="178"/>
  <c r="M159" i="178"/>
  <c r="M163" i="178"/>
  <c r="M167" i="178"/>
  <c r="M172" i="178"/>
  <c r="O172" i="178" s="1"/>
  <c r="P172" i="178" s="1"/>
  <c r="AL205" i="178"/>
  <c r="AL209" i="178"/>
  <c r="AL213" i="178"/>
  <c r="AL217" i="178"/>
  <c r="M8" i="168"/>
  <c r="O8" i="168" s="1"/>
  <c r="AK8" i="168" s="1"/>
  <c r="AL323" i="178"/>
  <c r="M323" i="178"/>
  <c r="O323" i="178" s="1"/>
  <c r="AL322" i="178"/>
  <c r="M322" i="178"/>
  <c r="O322" i="178" s="1"/>
  <c r="AL321" i="178"/>
  <c r="M321" i="178"/>
  <c r="O321" i="178" s="1"/>
  <c r="AL320" i="178"/>
  <c r="M320" i="178"/>
  <c r="O320" i="178" s="1"/>
  <c r="AL319" i="178"/>
  <c r="M319" i="178"/>
  <c r="O319" i="178" s="1"/>
  <c r="AL318" i="178"/>
  <c r="M318" i="178"/>
  <c r="O318" i="178" s="1"/>
  <c r="AL312" i="178"/>
  <c r="M312" i="178"/>
  <c r="O312" i="178" s="1"/>
  <c r="M309" i="178"/>
  <c r="O309" i="178" s="1"/>
  <c r="AL303" i="178"/>
  <c r="M303" i="178"/>
  <c r="O303" i="178" s="1"/>
  <c r="AL302" i="178"/>
  <c r="M302" i="178"/>
  <c r="O302" i="178" s="1"/>
  <c r="AL301" i="178"/>
  <c r="AL298" i="178"/>
  <c r="M298" i="178"/>
  <c r="O298" i="178" s="1"/>
  <c r="AL360" i="178"/>
  <c r="AL348" i="178"/>
  <c r="AL346" i="178"/>
  <c r="AL317" i="178"/>
  <c r="M317" i="178"/>
  <c r="O317" i="178" s="1"/>
  <c r="AL316" i="178"/>
  <c r="M316" i="178"/>
  <c r="O316" i="178" s="1"/>
  <c r="AL315" i="178"/>
  <c r="M315" i="178"/>
  <c r="O315" i="178" s="1"/>
  <c r="AL314" i="178"/>
  <c r="M314" i="178"/>
  <c r="O314" i="178" s="1"/>
  <c r="AL313" i="178"/>
  <c r="M313" i="178"/>
  <c r="O313" i="178" s="1"/>
  <c r="AL308" i="178"/>
  <c r="M308" i="178"/>
  <c r="O308" i="178" s="1"/>
  <c r="AL307" i="178"/>
  <c r="M307" i="178"/>
  <c r="O307" i="178" s="1"/>
  <c r="AL306" i="178"/>
  <c r="M306" i="178"/>
  <c r="O306" i="178" s="1"/>
  <c r="AL305" i="178"/>
  <c r="M305" i="178"/>
  <c r="O305" i="178" s="1"/>
  <c r="AL304" i="178"/>
  <c r="M304" i="178"/>
  <c r="O304" i="178" s="1"/>
  <c r="M301" i="178"/>
  <c r="O301" i="178" s="1"/>
  <c r="AL300" i="178"/>
  <c r="M300" i="178"/>
  <c r="O300" i="178" s="1"/>
  <c r="AL299" i="178"/>
  <c r="M299" i="178"/>
  <c r="O299" i="178" s="1"/>
  <c r="M296" i="178"/>
  <c r="O296" i="178" s="1"/>
  <c r="P296" i="178" s="1"/>
  <c r="AL294" i="178"/>
  <c r="AL293" i="178"/>
  <c r="M293" i="178"/>
  <c r="O293" i="178" s="1"/>
  <c r="P293" i="178" s="1"/>
  <c r="AL291" i="178"/>
  <c r="M291" i="178"/>
  <c r="O291" i="178" s="1"/>
  <c r="P291" i="178" s="1"/>
  <c r="AL289" i="178"/>
  <c r="M289" i="178"/>
  <c r="O289" i="178" s="1"/>
  <c r="P289" i="178" s="1"/>
  <c r="AL287" i="178"/>
  <c r="M287" i="178"/>
  <c r="O287" i="178" s="1"/>
  <c r="P287" i="178" s="1"/>
  <c r="AL311" i="178"/>
  <c r="M310" i="178"/>
  <c r="O310" i="178" s="1"/>
  <c r="AL309" i="178"/>
  <c r="AL295" i="178"/>
  <c r="AL292" i="178"/>
  <c r="AL290" i="178"/>
  <c r="AL288" i="178"/>
  <c r="AL286" i="178"/>
  <c r="M285" i="178"/>
  <c r="O285" i="178" s="1"/>
  <c r="P285" i="178" s="1"/>
  <c r="AL284" i="178"/>
  <c r="AL260" i="178"/>
  <c r="M260" i="178"/>
  <c r="O260" i="178" s="1"/>
  <c r="P260" i="178" s="1"/>
  <c r="AL259" i="178"/>
  <c r="M259" i="178"/>
  <c r="O259" i="178" s="1"/>
  <c r="P259" i="178" s="1"/>
  <c r="AL258" i="178"/>
  <c r="M258" i="178"/>
  <c r="O258" i="178" s="1"/>
  <c r="P258" i="178" s="1"/>
  <c r="AL257" i="178"/>
  <c r="M257" i="178"/>
  <c r="O257" i="178" s="1"/>
  <c r="P257" i="178" s="1"/>
  <c r="AL256" i="178"/>
  <c r="M256" i="178"/>
  <c r="O256" i="178" s="1"/>
  <c r="P256" i="178" s="1"/>
  <c r="AL255" i="178"/>
  <c r="M255" i="178"/>
  <c r="O255" i="178" s="1"/>
  <c r="P255" i="178" s="1"/>
  <c r="AL254" i="178"/>
  <c r="M254" i="178"/>
  <c r="O254" i="178" s="1"/>
  <c r="P254" i="178" s="1"/>
  <c r="AL253" i="178"/>
  <c r="M253" i="178"/>
  <c r="O253" i="178" s="1"/>
  <c r="P253" i="178" s="1"/>
  <c r="AL252" i="178"/>
  <c r="M252" i="178"/>
  <c r="O252" i="178" s="1"/>
  <c r="P252" i="178" s="1"/>
  <c r="AL251" i="178"/>
  <c r="M251" i="178"/>
  <c r="O251" i="178" s="1"/>
  <c r="P251" i="178" s="1"/>
  <c r="AL250" i="178"/>
  <c r="M250" i="178"/>
  <c r="O250" i="178" s="1"/>
  <c r="P250" i="178" s="1"/>
  <c r="AL249" i="178"/>
  <c r="M249" i="178"/>
  <c r="O249" i="178" s="1"/>
  <c r="P249" i="178" s="1"/>
  <c r="AL248" i="178"/>
  <c r="M248" i="178"/>
  <c r="O248" i="178" s="1"/>
  <c r="P248" i="178" s="1"/>
  <c r="AL247" i="178"/>
  <c r="M247" i="178"/>
  <c r="O247" i="178" s="1"/>
  <c r="P247" i="178" s="1"/>
  <c r="AL246" i="178"/>
  <c r="M246" i="178"/>
  <c r="O246" i="178" s="1"/>
  <c r="P246" i="178" s="1"/>
  <c r="AL245" i="178"/>
  <c r="M245" i="178"/>
  <c r="O245" i="178" s="1"/>
  <c r="P245" i="178" s="1"/>
  <c r="AL244" i="178"/>
  <c r="M244" i="178"/>
  <c r="O244" i="178" s="1"/>
  <c r="P244" i="178" s="1"/>
  <c r="AL235" i="178"/>
  <c r="M235" i="178"/>
  <c r="O235" i="178" s="1"/>
  <c r="P235" i="178" s="1"/>
  <c r="AL234" i="178"/>
  <c r="M234" i="178"/>
  <c r="O234" i="178" s="1"/>
  <c r="P234" i="178" s="1"/>
  <c r="AL233" i="178"/>
  <c r="M233" i="178"/>
  <c r="O233" i="178" s="1"/>
  <c r="P233" i="178" s="1"/>
  <c r="AL232" i="178"/>
  <c r="M232" i="178"/>
  <c r="O232" i="178" s="1"/>
  <c r="P232" i="178" s="1"/>
  <c r="AL231" i="178"/>
  <c r="M231" i="178"/>
  <c r="O231" i="178" s="1"/>
  <c r="P231" i="178" s="1"/>
  <c r="AL230" i="178"/>
  <c r="M230" i="178"/>
  <c r="O230" i="178" s="1"/>
  <c r="P230" i="178" s="1"/>
  <c r="AL229" i="178"/>
  <c r="M229" i="178"/>
  <c r="O229" i="178" s="1"/>
  <c r="P229" i="178" s="1"/>
  <c r="AL228" i="178"/>
  <c r="M228" i="178"/>
  <c r="O228" i="178" s="1"/>
  <c r="P228" i="178" s="1"/>
  <c r="AL227" i="178"/>
  <c r="M227" i="178"/>
  <c r="O227" i="178" s="1"/>
  <c r="P227" i="178" s="1"/>
  <c r="AL226" i="178"/>
  <c r="M226" i="178"/>
  <c r="O226" i="178" s="1"/>
  <c r="P226" i="178" s="1"/>
  <c r="AL225" i="178"/>
  <c r="M311" i="178"/>
  <c r="O311" i="178" s="1"/>
  <c r="AL310" i="178"/>
  <c r="M294" i="178"/>
  <c r="O294" i="178" s="1"/>
  <c r="P294" i="178" s="1"/>
  <c r="M292" i="178"/>
  <c r="O292" i="178" s="1"/>
  <c r="P292" i="178" s="1"/>
  <c r="M290" i="178"/>
  <c r="O290" i="178" s="1"/>
  <c r="P290" i="178" s="1"/>
  <c r="M288" i="178"/>
  <c r="O288" i="178" s="1"/>
  <c r="P288" i="178" s="1"/>
  <c r="M286" i="178"/>
  <c r="O286" i="178" s="1"/>
  <c r="P286" i="178" s="1"/>
  <c r="AL285" i="178"/>
  <c r="M283" i="178"/>
  <c r="O283" i="178" s="1"/>
  <c r="P283" i="178" s="1"/>
  <c r="AL282" i="178"/>
  <c r="M280" i="178"/>
  <c r="O280" i="178" s="1"/>
  <c r="P280" i="178" s="1"/>
  <c r="AL279" i="178"/>
  <c r="M278" i="178"/>
  <c r="O278" i="178" s="1"/>
  <c r="P278" i="178" s="1"/>
  <c r="AL277" i="178"/>
  <c r="M276" i="178"/>
  <c r="O276" i="178" s="1"/>
  <c r="P276" i="178" s="1"/>
  <c r="AL275" i="178"/>
  <c r="M274" i="178"/>
  <c r="O274" i="178" s="1"/>
  <c r="P274" i="178" s="1"/>
  <c r="AL273" i="178"/>
  <c r="M272" i="178"/>
  <c r="O272" i="178" s="1"/>
  <c r="P272" i="178" s="1"/>
  <c r="AL271" i="178"/>
  <c r="M270" i="178"/>
  <c r="O270" i="178" s="1"/>
  <c r="P270" i="178" s="1"/>
  <c r="AL269" i="178"/>
  <c r="M268" i="178"/>
  <c r="O268" i="178" s="1"/>
  <c r="P268" i="178" s="1"/>
  <c r="AL267" i="178"/>
  <c r="M266" i="178"/>
  <c r="O266" i="178" s="1"/>
  <c r="P266" i="178" s="1"/>
  <c r="AL265" i="178"/>
  <c r="M264" i="178"/>
  <c r="O264" i="178" s="1"/>
  <c r="P264" i="178" s="1"/>
  <c r="AL263" i="178"/>
  <c r="M262" i="178"/>
  <c r="O262" i="178" s="1"/>
  <c r="P262" i="178" s="1"/>
  <c r="AL261" i="178"/>
  <c r="M243" i="178"/>
  <c r="O243" i="178" s="1"/>
  <c r="P243" i="178" s="1"/>
  <c r="AL242" i="178"/>
  <c r="AL241" i="178"/>
  <c r="M240" i="178"/>
  <c r="O240" i="178" s="1"/>
  <c r="P240" i="178" s="1"/>
  <c r="AL239" i="178"/>
  <c r="AL238" i="178"/>
  <c r="M237" i="178"/>
  <c r="O237" i="178" s="1"/>
  <c r="P237" i="178" s="1"/>
  <c r="AL236" i="178"/>
  <c r="M225" i="178"/>
  <c r="O225" i="178" s="1"/>
  <c r="P225" i="178" s="1"/>
  <c r="AL222" i="178"/>
  <c r="M222" i="178"/>
  <c r="O222" i="178" s="1"/>
  <c r="P222" i="178" s="1"/>
  <c r="AL220" i="178"/>
  <c r="M220" i="178"/>
  <c r="O220" i="178" s="1"/>
  <c r="P220" i="178" s="1"/>
  <c r="AL218" i="178"/>
  <c r="M218" i="178"/>
  <c r="O218" i="178" s="1"/>
  <c r="P218" i="178" s="1"/>
  <c r="AL216" i="178"/>
  <c r="M216" i="178"/>
  <c r="O216" i="178" s="1"/>
  <c r="P216" i="178" s="1"/>
  <c r="AL214" i="178"/>
  <c r="M214" i="178"/>
  <c r="O214" i="178" s="1"/>
  <c r="P214" i="178" s="1"/>
  <c r="AL212" i="178"/>
  <c r="M212" i="178"/>
  <c r="O212" i="178" s="1"/>
  <c r="P212" i="178" s="1"/>
  <c r="AL210" i="178"/>
  <c r="M210" i="178"/>
  <c r="O210" i="178" s="1"/>
  <c r="P210" i="178" s="1"/>
  <c r="AL208" i="178"/>
  <c r="M208" i="178"/>
  <c r="O208" i="178" s="1"/>
  <c r="P208" i="178" s="1"/>
  <c r="AL206" i="178"/>
  <c r="M206" i="178"/>
  <c r="O206" i="178" s="1"/>
  <c r="P206" i="178" s="1"/>
  <c r="AL204" i="178"/>
  <c r="M204" i="178"/>
  <c r="O204" i="178" s="1"/>
  <c r="P204" i="178" s="1"/>
  <c r="AL202" i="178"/>
  <c r="M202" i="178"/>
  <c r="O202" i="178" s="1"/>
  <c r="P202" i="178" s="1"/>
  <c r="AL201" i="178"/>
  <c r="M201" i="178"/>
  <c r="O201" i="178" s="1"/>
  <c r="P201" i="178" s="1"/>
  <c r="AL200" i="178"/>
  <c r="M200" i="178"/>
  <c r="O200" i="178" s="1"/>
  <c r="P200" i="178" s="1"/>
  <c r="AL199" i="178"/>
  <c r="M199" i="178"/>
  <c r="O199" i="178" s="1"/>
  <c r="P199" i="178" s="1"/>
  <c r="AL198" i="178"/>
  <c r="M198" i="178"/>
  <c r="O198" i="178" s="1"/>
  <c r="P198" i="178" s="1"/>
  <c r="AL197" i="178"/>
  <c r="M197" i="178"/>
  <c r="O197" i="178" s="1"/>
  <c r="P197" i="178" s="1"/>
  <c r="AL196" i="178"/>
  <c r="M196" i="178"/>
  <c r="O196" i="178" s="1"/>
  <c r="P196" i="178" s="1"/>
  <c r="AL195" i="178"/>
  <c r="M195" i="178"/>
  <c r="O195" i="178" s="1"/>
  <c r="P195" i="178" s="1"/>
  <c r="AL194" i="178"/>
  <c r="M194" i="178"/>
  <c r="O194" i="178" s="1"/>
  <c r="P194" i="178" s="1"/>
  <c r="AL193" i="178"/>
  <c r="M193" i="178"/>
  <c r="O193" i="178" s="1"/>
  <c r="P193" i="178" s="1"/>
  <c r="AL192" i="178"/>
  <c r="M192" i="178"/>
  <c r="O192" i="178" s="1"/>
  <c r="P192" i="178" s="1"/>
  <c r="AL191" i="178"/>
  <c r="M191" i="178"/>
  <c r="O191" i="178" s="1"/>
  <c r="P191" i="178" s="1"/>
  <c r="AL190" i="178"/>
  <c r="M190" i="178"/>
  <c r="O190" i="178" s="1"/>
  <c r="P190" i="178" s="1"/>
  <c r="AL189" i="178"/>
  <c r="M189" i="178"/>
  <c r="O189" i="178" s="1"/>
  <c r="P189" i="178" s="1"/>
  <c r="AL188" i="178"/>
  <c r="M188" i="178"/>
  <c r="O188" i="178" s="1"/>
  <c r="P188" i="178" s="1"/>
  <c r="M186" i="178"/>
  <c r="O186" i="178" s="1"/>
  <c r="P186" i="178" s="1"/>
  <c r="AL185" i="178"/>
  <c r="M185" i="178"/>
  <c r="O185" i="178" s="1"/>
  <c r="P185" i="178" s="1"/>
  <c r="AL184" i="178"/>
  <c r="M184" i="178"/>
  <c r="O184" i="178" s="1"/>
  <c r="P184" i="178" s="1"/>
  <c r="AL183" i="178"/>
  <c r="M183" i="178"/>
  <c r="O183" i="178" s="1"/>
  <c r="P183" i="178" s="1"/>
  <c r="AL182" i="178"/>
  <c r="M182" i="178"/>
  <c r="O182" i="178" s="1"/>
  <c r="P182" i="178" s="1"/>
  <c r="AL181" i="178"/>
  <c r="M181" i="178"/>
  <c r="O181" i="178" s="1"/>
  <c r="P181" i="178" s="1"/>
  <c r="AL180" i="178"/>
  <c r="M180" i="178"/>
  <c r="O180" i="178" s="1"/>
  <c r="P180" i="178" s="1"/>
  <c r="AL179" i="178"/>
  <c r="M179" i="178"/>
  <c r="O179" i="178" s="1"/>
  <c r="P179" i="178" s="1"/>
  <c r="AL178" i="178"/>
  <c r="M178" i="178"/>
  <c r="O178" i="178" s="1"/>
  <c r="P178" i="178" s="1"/>
  <c r="AL177" i="178"/>
  <c r="M177" i="178"/>
  <c r="O177" i="178" s="1"/>
  <c r="P177" i="178" s="1"/>
  <c r="AL176" i="178"/>
  <c r="M176" i="178"/>
  <c r="O176" i="178" s="1"/>
  <c r="P176" i="178" s="1"/>
  <c r="AL174" i="178"/>
  <c r="M174" i="178"/>
  <c r="O174" i="178" s="1"/>
  <c r="P174" i="178" s="1"/>
  <c r="M173" i="178"/>
  <c r="O173" i="178" s="1"/>
  <c r="P173" i="178" s="1"/>
  <c r="AL171" i="178"/>
  <c r="M171" i="178"/>
  <c r="O171" i="178" s="1"/>
  <c r="P171" i="178" s="1"/>
  <c r="N168" i="178"/>
  <c r="N167" i="178"/>
  <c r="N166" i="178"/>
  <c r="N165" i="178"/>
  <c r="N164" i="178"/>
  <c r="N163" i="178"/>
  <c r="N162" i="178"/>
  <c r="N161" i="178"/>
  <c r="N160" i="178"/>
  <c r="N159" i="178"/>
  <c r="N158" i="178"/>
  <c r="N157" i="178"/>
  <c r="N156" i="178"/>
  <c r="N155" i="178"/>
  <c r="M154" i="178"/>
  <c r="M153" i="178"/>
  <c r="N152" i="178"/>
  <c r="N151" i="178"/>
  <c r="N150" i="178"/>
  <c r="M149" i="178"/>
  <c r="M148" i="178"/>
  <c r="M147" i="178"/>
  <c r="M146" i="178"/>
  <c r="M145" i="178"/>
  <c r="N144" i="178"/>
  <c r="M143" i="178"/>
  <c r="N142" i="178"/>
  <c r="M141" i="178"/>
  <c r="N140" i="178"/>
  <c r="M139" i="178"/>
  <c r="AL137" i="178"/>
  <c r="M137" i="178"/>
  <c r="AL136" i="178"/>
  <c r="M136" i="178"/>
  <c r="N135" i="178"/>
  <c r="AL133" i="178"/>
  <c r="M133" i="178"/>
  <c r="AL132" i="178"/>
  <c r="M132" i="178"/>
  <c r="AL131" i="178"/>
  <c r="M131" i="178"/>
  <c r="AL130" i="178"/>
  <c r="M130" i="178"/>
  <c r="AL129" i="178"/>
  <c r="M129" i="178"/>
  <c r="AL128" i="178"/>
  <c r="M128" i="178"/>
  <c r="AL127" i="178"/>
  <c r="M127" i="178"/>
  <c r="AL126" i="178"/>
  <c r="M126" i="178"/>
  <c r="AL125" i="178"/>
  <c r="M125" i="178"/>
  <c r="AL124" i="178"/>
  <c r="M124" i="178"/>
  <c r="AL123" i="178"/>
  <c r="M123" i="178"/>
  <c r="AL122" i="178"/>
  <c r="M122" i="178"/>
  <c r="AL121" i="178"/>
  <c r="M121" i="178"/>
  <c r="AL119" i="178"/>
  <c r="M119" i="178"/>
  <c r="AL118" i="178"/>
  <c r="M118" i="178"/>
  <c r="AL117" i="178"/>
  <c r="M117" i="178"/>
  <c r="AL116" i="178"/>
  <c r="M116" i="178"/>
  <c r="AL115" i="178"/>
  <c r="M115" i="178"/>
  <c r="AL114" i="178"/>
  <c r="M114" i="178"/>
  <c r="AL113" i="178"/>
  <c r="M113" i="178"/>
  <c r="AL112" i="178"/>
  <c r="M112" i="178"/>
  <c r="AL111" i="178"/>
  <c r="M111" i="178"/>
  <c r="AL110" i="178"/>
  <c r="M110" i="178"/>
  <c r="AL109" i="178"/>
  <c r="M109" i="178"/>
  <c r="AL108" i="178"/>
  <c r="M108" i="178"/>
  <c r="AL107" i="178"/>
  <c r="M107" i="178"/>
  <c r="AL106" i="178"/>
  <c r="M106" i="178"/>
  <c r="AL105" i="178"/>
  <c r="M105" i="178"/>
  <c r="AL104" i="178"/>
  <c r="M104" i="178"/>
  <c r="AL103" i="178"/>
  <c r="M103" i="178"/>
  <c r="AL102" i="178"/>
  <c r="M102" i="178"/>
  <c r="AL101" i="178"/>
  <c r="M101" i="178"/>
  <c r="AL100" i="178"/>
  <c r="M100" i="178"/>
  <c r="N4" i="178"/>
  <c r="N5" i="178"/>
  <c r="N6" i="178"/>
  <c r="N7" i="178"/>
  <c r="N8" i="178"/>
  <c r="N9" i="178"/>
  <c r="M10" i="178"/>
  <c r="AL10" i="178"/>
  <c r="M11" i="178"/>
  <c r="AL11" i="178"/>
  <c r="M12" i="178"/>
  <c r="AL12" i="178"/>
  <c r="M13" i="178"/>
  <c r="AL13" i="178"/>
  <c r="M14" i="178"/>
  <c r="AL14" i="178"/>
  <c r="M15" i="178"/>
  <c r="AL15" i="178"/>
  <c r="M16" i="178"/>
  <c r="AL16" i="178"/>
  <c r="M17" i="178"/>
  <c r="AL17" i="178"/>
  <c r="N18" i="178"/>
  <c r="N19" i="178"/>
  <c r="N20" i="178"/>
  <c r="AL20" i="178"/>
  <c r="M21" i="178"/>
  <c r="AL21" i="178"/>
  <c r="M22" i="178"/>
  <c r="AL22" i="178"/>
  <c r="M23" i="178"/>
  <c r="AL23" i="178"/>
  <c r="M24" i="178"/>
  <c r="AL24" i="178"/>
  <c r="M25" i="178"/>
  <c r="AL25" i="178"/>
  <c r="M26" i="178"/>
  <c r="AL26" i="178"/>
  <c r="M27" i="178"/>
  <c r="AL27" i="178"/>
  <c r="M28" i="178"/>
  <c r="AL28" i="178"/>
  <c r="M29" i="178"/>
  <c r="N30" i="178"/>
  <c r="AL30" i="178"/>
  <c r="M31" i="178"/>
  <c r="N32" i="178"/>
  <c r="AL32" i="178"/>
  <c r="M33" i="178"/>
  <c r="N34" i="178"/>
  <c r="N35" i="178"/>
  <c r="N36" i="178"/>
  <c r="N37" i="178"/>
  <c r="N38" i="178"/>
  <c r="N39" i="178"/>
  <c r="N40" i="178"/>
  <c r="N41" i="178"/>
  <c r="N42" i="178"/>
  <c r="N43" i="178"/>
  <c r="N44" i="178"/>
  <c r="N45" i="178"/>
  <c r="N46" i="178"/>
  <c r="N47" i="178"/>
  <c r="N48" i="178"/>
  <c r="N49" i="178"/>
  <c r="N50" i="178"/>
  <c r="N51" i="178"/>
  <c r="N52" i="178"/>
  <c r="N53" i="178"/>
  <c r="N54" i="178"/>
  <c r="N55" i="178"/>
  <c r="N56" i="178"/>
  <c r="N57" i="178"/>
  <c r="N58" i="178"/>
  <c r="N59" i="178"/>
  <c r="N60" i="178"/>
  <c r="N61" i="178"/>
  <c r="N62" i="178"/>
  <c r="N63" i="178"/>
  <c r="N64" i="178"/>
  <c r="N65" i="178"/>
  <c r="N66" i="178"/>
  <c r="N67" i="178"/>
  <c r="N68" i="178"/>
  <c r="N69" i="178"/>
  <c r="N70" i="178"/>
  <c r="N71" i="178"/>
  <c r="N72" i="178"/>
  <c r="N73" i="178"/>
  <c r="N74" i="178"/>
  <c r="N75" i="178"/>
  <c r="N76" i="178"/>
  <c r="N77" i="178"/>
  <c r="N78" i="178"/>
  <c r="N79" i="178"/>
  <c r="N80" i="178"/>
  <c r="N81" i="178"/>
  <c r="N82" i="178"/>
  <c r="N83" i="178"/>
  <c r="N84" i="178"/>
  <c r="N85" i="178"/>
  <c r="N86" i="178"/>
  <c r="N87" i="178"/>
  <c r="N88" i="178"/>
  <c r="N89" i="178"/>
  <c r="N90" i="178"/>
  <c r="N91" i="178"/>
  <c r="N92" i="178"/>
  <c r="N93" i="178"/>
  <c r="N94" i="178"/>
  <c r="N95" i="178"/>
  <c r="N96" i="178"/>
  <c r="N97" i="178"/>
  <c r="N98" i="178"/>
  <c r="N99" i="178"/>
  <c r="M135" i="178"/>
  <c r="N136" i="178"/>
  <c r="N137" i="178"/>
  <c r="N139" i="178"/>
  <c r="M140" i="178"/>
  <c r="N141" i="178"/>
  <c r="M142" i="178"/>
  <c r="N143" i="178"/>
  <c r="M144" i="178"/>
  <c r="N145" i="178"/>
  <c r="N147" i="178"/>
  <c r="N149" i="178"/>
  <c r="M150" i="178"/>
  <c r="M152" i="178"/>
  <c r="N153" i="178"/>
  <c r="M156" i="178"/>
  <c r="M158" i="178"/>
  <c r="M160" i="178"/>
  <c r="M162" i="178"/>
  <c r="M164" i="178"/>
  <c r="M166" i="178"/>
  <c r="M168" i="178"/>
  <c r="AL170" i="178"/>
  <c r="AL172" i="178"/>
  <c r="AL173" i="178"/>
  <c r="AL175" i="178"/>
  <c r="AL186" i="178"/>
  <c r="M187" i="178"/>
  <c r="O187" i="178" s="1"/>
  <c r="P187" i="178" s="1"/>
  <c r="M203" i="178"/>
  <c r="O203" i="178" s="1"/>
  <c r="P203" i="178" s="1"/>
  <c r="M205" i="178"/>
  <c r="O205" i="178" s="1"/>
  <c r="P205" i="178" s="1"/>
  <c r="M207" i="178"/>
  <c r="O207" i="178" s="1"/>
  <c r="P207" i="178" s="1"/>
  <c r="M209" i="178"/>
  <c r="O209" i="178" s="1"/>
  <c r="P209" i="178" s="1"/>
  <c r="M211" i="178"/>
  <c r="O211" i="178" s="1"/>
  <c r="P211" i="178" s="1"/>
  <c r="M213" i="178"/>
  <c r="O213" i="178" s="1"/>
  <c r="P213" i="178" s="1"/>
  <c r="M215" i="178"/>
  <c r="O215" i="178" s="1"/>
  <c r="P215" i="178" s="1"/>
  <c r="M217" i="178"/>
  <c r="O217" i="178" s="1"/>
  <c r="P217" i="178" s="1"/>
  <c r="M219" i="178"/>
  <c r="O219" i="178" s="1"/>
  <c r="P219" i="178" s="1"/>
  <c r="M221" i="178"/>
  <c r="O221" i="178" s="1"/>
  <c r="P221" i="178" s="1"/>
  <c r="M223" i="178"/>
  <c r="O223" i="178" s="1"/>
  <c r="P223" i="178" s="1"/>
  <c r="AL224" i="178"/>
  <c r="M236" i="178"/>
  <c r="O236" i="178" s="1"/>
  <c r="P236" i="178" s="1"/>
  <c r="M239" i="178"/>
  <c r="O239" i="178" s="1"/>
  <c r="P239" i="178" s="1"/>
  <c r="M242" i="178"/>
  <c r="O242" i="178" s="1"/>
  <c r="P242" i="178" s="1"/>
  <c r="M261" i="178"/>
  <c r="O261" i="178" s="1"/>
  <c r="P261" i="178" s="1"/>
  <c r="AL264" i="178"/>
  <c r="M265" i="178"/>
  <c r="O265" i="178" s="1"/>
  <c r="P265" i="178" s="1"/>
  <c r="AL268" i="178"/>
  <c r="M269" i="178"/>
  <c r="O269" i="178" s="1"/>
  <c r="P269" i="178" s="1"/>
  <c r="AL272" i="178"/>
  <c r="M273" i="178"/>
  <c r="O273" i="178" s="1"/>
  <c r="P273" i="178" s="1"/>
  <c r="AL276" i="178"/>
  <c r="M277" i="178"/>
  <c r="O277" i="178" s="1"/>
  <c r="P277" i="178" s="1"/>
  <c r="AL280" i="178"/>
  <c r="M282" i="178"/>
  <c r="O282" i="178" s="1"/>
  <c r="P282" i="178" s="1"/>
  <c r="M295" i="178"/>
  <c r="O295" i="178" s="1"/>
  <c r="P295" i="178" s="1"/>
  <c r="AL14" i="171"/>
  <c r="M14" i="171"/>
  <c r="O14" i="171" s="1"/>
  <c r="P14" i="171" s="1"/>
  <c r="AL12" i="171"/>
  <c r="M12" i="171"/>
  <c r="O12" i="171" s="1"/>
  <c r="P12" i="171" s="1"/>
  <c r="M10" i="171"/>
  <c r="O10" i="171" s="1"/>
  <c r="P10" i="171" s="1"/>
  <c r="M13" i="171"/>
  <c r="O13" i="171" s="1"/>
  <c r="P13" i="171" s="1"/>
  <c r="M10" i="168"/>
  <c r="O10" i="168" s="1"/>
  <c r="AL7" i="168"/>
  <c r="M7" i="168"/>
  <c r="O7" i="168" s="1"/>
  <c r="AL10" i="168"/>
  <c r="AL13" i="113"/>
  <c r="P11" i="168" l="1"/>
  <c r="AK11" i="168"/>
  <c r="P9" i="168"/>
  <c r="P8" i="168"/>
  <c r="L80" i="202"/>
  <c r="O34" i="202"/>
  <c r="K62" i="202"/>
  <c r="L62" i="202"/>
  <c r="AK310" i="178"/>
  <c r="P310" i="178"/>
  <c r="AK304" i="178"/>
  <c r="P304" i="178"/>
  <c r="AK305" i="178"/>
  <c r="P305" i="178"/>
  <c r="AK306" i="178"/>
  <c r="P306" i="178"/>
  <c r="AK307" i="178"/>
  <c r="P307" i="178"/>
  <c r="AK308" i="178"/>
  <c r="P308" i="178"/>
  <c r="P302" i="178"/>
  <c r="AK302" i="178"/>
  <c r="P303" i="178"/>
  <c r="AK303" i="178"/>
  <c r="P312" i="178"/>
  <c r="AK312" i="178"/>
  <c r="P318" i="178"/>
  <c r="AK318" i="178"/>
  <c r="P319" i="178"/>
  <c r="AK319" i="178"/>
  <c r="P320" i="178"/>
  <c r="AK320" i="178"/>
  <c r="P321" i="178"/>
  <c r="AK321" i="178"/>
  <c r="P322" i="178"/>
  <c r="AK322" i="178"/>
  <c r="P323" i="178"/>
  <c r="AK323" i="178"/>
  <c r="P7" i="168"/>
  <c r="AK7" i="168"/>
  <c r="AK10" i="168"/>
  <c r="P10" i="168"/>
  <c r="AK311" i="178"/>
  <c r="P311" i="178"/>
  <c r="AK299" i="178"/>
  <c r="P299" i="178"/>
  <c r="AK300" i="178"/>
  <c r="P300" i="178"/>
  <c r="AK301" i="178"/>
  <c r="P301" i="178"/>
  <c r="AK313" i="178"/>
  <c r="P313" i="178"/>
  <c r="AK314" i="178"/>
  <c r="P314" i="178"/>
  <c r="AK315" i="178"/>
  <c r="P315" i="178"/>
  <c r="AK316" i="178"/>
  <c r="P316" i="178"/>
  <c r="AK317" i="178"/>
  <c r="P317" i="178"/>
  <c r="P298" i="178"/>
  <c r="AK298" i="178"/>
  <c r="AK309" i="178"/>
  <c r="P309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Conta-mit02</author>
  </authors>
  <commentList>
    <comment ref="Z17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Conta-mit02:</t>
        </r>
        <r>
          <rPr>
            <sz val="9"/>
            <color indexed="81"/>
            <rFont val="Tahoma"/>
            <family val="2"/>
          </rPr>
          <t xml:space="preserve">
enganche de 32,126.89
</t>
        </r>
      </text>
    </comment>
    <comment ref="Z26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Conta-mit02:</t>
        </r>
        <r>
          <rPr>
            <sz val="9"/>
            <color indexed="81"/>
            <rFont val="Tahoma"/>
            <family val="2"/>
          </rPr>
          <t xml:space="preserve">
ENGANCHE 62,000</t>
        </r>
      </text>
    </comment>
  </commentList>
</comments>
</file>

<file path=xl/sharedStrings.xml><?xml version="1.0" encoding="utf-8"?>
<sst xmlns="http://schemas.openxmlformats.org/spreadsheetml/2006/main" count="6301" uniqueCount="1488">
  <si>
    <t xml:space="preserve">DATOS FINANCIERA </t>
  </si>
  <si>
    <t>COMPROBACION</t>
  </si>
  <si>
    <t>FECHA DE COMPRA</t>
  </si>
  <si>
    <t>MARCA</t>
  </si>
  <si>
    <t>VIN</t>
  </si>
  <si>
    <t>VALOR FACTURA</t>
  </si>
  <si>
    <t xml:space="preserve">NOMBRE DEL PROVEEDOR </t>
  </si>
  <si>
    <t>STATUS UNIDAD</t>
  </si>
  <si>
    <t>UBICACIÓN</t>
  </si>
  <si>
    <t>FINANCIAMIENTO CON</t>
  </si>
  <si>
    <t>FECHA DE FINANCIAMIENTO</t>
  </si>
  <si>
    <t>DIAS DE CREDITO</t>
  </si>
  <si>
    <t xml:space="preserve">DIAS TRASCURRIDOS </t>
  </si>
  <si>
    <t>TASA</t>
  </si>
  <si>
    <t>INTERESES</t>
  </si>
  <si>
    <t>IMPORTE A PAGAR</t>
  </si>
  <si>
    <t>IMPORTE PAGADO</t>
  </si>
  <si>
    <t>FECHA DE PAGO A LA FINANCIERA</t>
  </si>
  <si>
    <t>CLIENTE</t>
  </si>
  <si>
    <t>TIPO DE VENTA</t>
  </si>
  <si>
    <t>FECHA DE VENTA</t>
  </si>
  <si>
    <t>DIAS DE CREDITO CON PRORROGA</t>
  </si>
  <si>
    <t>FECHA VENCIMIENTO</t>
  </si>
  <si>
    <t>VALOR DE VENTA</t>
  </si>
  <si>
    <t>PAGO DEL CLIENTE</t>
  </si>
  <si>
    <t>SALDO ACTUAL</t>
  </si>
  <si>
    <t>No. RECIBO</t>
  </si>
  <si>
    <t>FECHA DE RECIBO</t>
  </si>
  <si>
    <t xml:space="preserve">FECHA DE SALIDA </t>
  </si>
  <si>
    <t xml:space="preserve">OBSERVACIONES </t>
  </si>
  <si>
    <t xml:space="preserve">DIFERENCIA </t>
  </si>
  <si>
    <t>CONTADO</t>
  </si>
  <si>
    <t>BODY</t>
  </si>
  <si>
    <t>FINANCIADA</t>
  </si>
  <si>
    <t>INTERCAMBIO</t>
  </si>
  <si>
    <t>PROPIAS</t>
  </si>
  <si>
    <t>OUT OF STOCK</t>
  </si>
  <si>
    <t>VACH</t>
  </si>
  <si>
    <t>MENA ABASCAL HECTOR</t>
  </si>
  <si>
    <t>ENTREGADA</t>
  </si>
  <si>
    <t>CONTADO BANCO</t>
  </si>
  <si>
    <t>AUTOPOLANCO, S.A. DE C.V.</t>
  </si>
  <si>
    <t xml:space="preserve">VENDEDOR </t>
  </si>
  <si>
    <t>IMPORTE A PAGAR NETO</t>
  </si>
  <si>
    <t>ATLACOMULCO</t>
  </si>
  <si>
    <t>GONZALEZ BECERRIL OMAR</t>
  </si>
  <si>
    <t>STATUS DE PAGO</t>
  </si>
  <si>
    <t>PRIORIDAD DE PAGO</t>
  </si>
  <si>
    <t>3 NORMAL</t>
  </si>
  <si>
    <t xml:space="preserve">DATOS UNIDAD </t>
  </si>
  <si>
    <t>Serie Factura</t>
  </si>
  <si>
    <t>SERIE</t>
  </si>
  <si>
    <t>PISO</t>
  </si>
  <si>
    <t>KASA NAUCALPAN S.A DE C.V.</t>
  </si>
  <si>
    <t>JEEP GRAND CHEROKEE LIMITED 4X2 6 CIL</t>
  </si>
  <si>
    <t>LERMA</t>
  </si>
  <si>
    <t>TENANCINGO</t>
  </si>
  <si>
    <t>JEEP GRAND CHEROKEE LIMITED 4X4 8 CIL</t>
  </si>
  <si>
    <t>RAM 4000 CHASIS CABINA "PL" 4X2 MTX 8 CIL</t>
  </si>
  <si>
    <t>RAM 2500 PROMASTER 11.5 M3</t>
  </si>
  <si>
    <t>RAM 2500 REG CAB HEMI SPORT V8 6ATX 4X2</t>
  </si>
  <si>
    <t xml:space="preserve">AUDITORIA </t>
  </si>
  <si>
    <t>TOTAL</t>
  </si>
  <si>
    <t>SEMINUEVA</t>
  </si>
  <si>
    <t>PXF</t>
  </si>
  <si>
    <t>TORTI BECERRIL RENE OMAR</t>
  </si>
  <si>
    <t>CRUZ COLIN GERARDO</t>
  </si>
  <si>
    <t>GONZALEZ MIRANDA GENOVEVA PAT</t>
  </si>
  <si>
    <t>A CUENTA DE UNIDAD</t>
  </si>
  <si>
    <t>SALA</t>
  </si>
  <si>
    <t>MIRELES MORALES SANDRA</t>
  </si>
  <si>
    <t>DODGE ATTITUDE SE MT</t>
  </si>
  <si>
    <t>DODGE ATTITUDE SE AT</t>
  </si>
  <si>
    <t>DODGE ATTITUDE SXT AT</t>
  </si>
  <si>
    <t>DODGE ATTITUDE SXT MT</t>
  </si>
  <si>
    <t>2013</t>
  </si>
  <si>
    <t>2014</t>
  </si>
  <si>
    <t>2015</t>
  </si>
  <si>
    <t>PAGO A LA FINA</t>
  </si>
  <si>
    <t>P3</t>
  </si>
  <si>
    <t>P1</t>
  </si>
  <si>
    <t>CF CREDIT SERVICES, S.A. DE C.V. SOFOM, E.R. GRUPO FINANCIERO INBURSA</t>
  </si>
  <si>
    <t>1 IMPORTANTE</t>
  </si>
  <si>
    <t>RAM 700 REGULAR CAB</t>
  </si>
  <si>
    <t>3C6JRAAT7GG121775</t>
  </si>
  <si>
    <t>AUTOMOTRIZ CONTRY COMERCIAL, S.A. DE C.V.</t>
  </si>
  <si>
    <t>FECHA DE PAGO A FINAN</t>
  </si>
  <si>
    <t>CF</t>
  </si>
  <si>
    <t>09/05/2016</t>
  </si>
  <si>
    <t>3C6TRVCG7GE128950</t>
  </si>
  <si>
    <t>RELACIÓN DE UNIDADES A PAGAR: PLAN PISO FIVE</t>
  </si>
  <si>
    <t xml:space="preserve">Nombre del Cliente: </t>
  </si>
  <si>
    <t xml:space="preserve">Número de Contrato: </t>
  </si>
  <si>
    <t>FOLIO</t>
  </si>
  <si>
    <t>No. DE SERIE</t>
  </si>
  <si>
    <t>OBSERVACIONES</t>
  </si>
  <si>
    <t xml:space="preserve">TOTAL:       </t>
  </si>
  <si>
    <t>CONTINENTAL AUTOMOTRIZ S.A. DE C.V.</t>
  </si>
  <si>
    <t>31/08/2016</t>
  </si>
  <si>
    <t>1C4RJEBG0HC626329</t>
  </si>
  <si>
    <t>PROPIAS EN PISO</t>
  </si>
  <si>
    <t>PROPIA</t>
  </si>
  <si>
    <t>ACTIVOS FIJOS</t>
  </si>
  <si>
    <t>ACTIVO FIJO PILAR MENA</t>
  </si>
  <si>
    <t>INTERESES.</t>
  </si>
  <si>
    <t>IMPORTE A PAGAR.</t>
  </si>
  <si>
    <t>IMPORTE A PAGAR NETO.</t>
  </si>
  <si>
    <t xml:space="preserve"> NO. UNIDADES</t>
  </si>
  <si>
    <t>FECHA</t>
  </si>
  <si>
    <t>CONCILIACIONES</t>
  </si>
  <si>
    <t>CONTINENTAL CF</t>
  </si>
  <si>
    <t>PAGADAS</t>
  </si>
  <si>
    <t>CTA PAGA CF</t>
  </si>
  <si>
    <t>DIF CF</t>
  </si>
  <si>
    <t>LINEA CF</t>
  </si>
  <si>
    <t>LINEA DISPONIBLE</t>
  </si>
  <si>
    <t>FINANCIADO CF</t>
  </si>
  <si>
    <t>LINEA FIVE</t>
  </si>
  <si>
    <t>REPORTE PLAN PISO CONTINENTAL AUTOMOTRIZ S.A DE C.V</t>
  </si>
  <si>
    <t>Total PROPIAS EN PISO</t>
  </si>
  <si>
    <t>RAM PROMASTER RAPID</t>
  </si>
  <si>
    <t>MENOS PXF</t>
  </si>
  <si>
    <t>MAS PAGADAS</t>
  </si>
  <si>
    <t>A CUENTA DE ENGANCHE</t>
  </si>
  <si>
    <t>FIAT PALIO ADVENTURE AUTOMATICO</t>
  </si>
  <si>
    <t>FIAT UNO SPORTING MANUAL</t>
  </si>
  <si>
    <t>FIAT UNO WAY MANUAL</t>
  </si>
  <si>
    <t>FIAT MOBI LIKE MANUAL</t>
  </si>
  <si>
    <t>FIAT MOBI WAY MANUAL</t>
  </si>
  <si>
    <t>SEMINUEVOS CF</t>
  </si>
  <si>
    <t>CF CREDIT CONTI</t>
  </si>
  <si>
    <t>FIVE CONTI</t>
  </si>
  <si>
    <t>FIVE FIAT</t>
  </si>
  <si>
    <t>Total FIVE CONTI</t>
  </si>
  <si>
    <t>TOTAL CONTI</t>
  </si>
  <si>
    <t>TOTAL OCUPADO</t>
  </si>
  <si>
    <t>TOTAL FIAT</t>
  </si>
  <si>
    <t>INTERCAMBIO FIAT</t>
  </si>
  <si>
    <t>INTERCAMBIO CONTI</t>
  </si>
  <si>
    <t>OTROS DISTRIBUIDORES INTERCAMBIOS CONTINENTAL</t>
  </si>
  <si>
    <t>SEMINUEVA NO FINANCIADA CONTINENTAL</t>
  </si>
  <si>
    <t>Total INTERCAMBIO</t>
  </si>
  <si>
    <t>SEMINUEVOS</t>
  </si>
  <si>
    <t>SEMINUEVO CONTI</t>
  </si>
  <si>
    <t>ALFA ROMEO GIULIETTA</t>
  </si>
  <si>
    <t>JEEP RENEGADE SPORT 4X2</t>
  </si>
  <si>
    <t>JEEP RENEGADE LATITUDE 4X2</t>
  </si>
  <si>
    <t>2017</t>
  </si>
  <si>
    <t>20/06/2017</t>
  </si>
  <si>
    <t>BBVA CONTINENTAL</t>
  </si>
  <si>
    <t>BANCOMER</t>
  </si>
  <si>
    <t>Total BANCOMER</t>
  </si>
  <si>
    <t>BBVA</t>
  </si>
  <si>
    <t>LINEA BANCOMER</t>
  </si>
  <si>
    <t>CTA PAGA BBVA</t>
  </si>
  <si>
    <t>DIFERENCIA</t>
  </si>
  <si>
    <t>05/07/2017</t>
  </si>
  <si>
    <t>ML3AB56JXHH023331</t>
  </si>
  <si>
    <t>FCA Financial Services</t>
  </si>
  <si>
    <t>FCA FIAT</t>
  </si>
  <si>
    <t>FCA CONTI</t>
  </si>
  <si>
    <t>Total FCA CONTI</t>
  </si>
  <si>
    <t>Total FCA FIAT</t>
  </si>
  <si>
    <t>INTERCAMBIO MITSU</t>
  </si>
  <si>
    <t>ALFA ROMEO MITO VELOCE MANUAL</t>
  </si>
  <si>
    <t>ZARCABC43H7464025</t>
  </si>
  <si>
    <t>AUTOPOLANCO SA DE CV</t>
  </si>
  <si>
    <t>ARTEAGA RAMIREZ MIGUEL ANGEL</t>
  </si>
  <si>
    <t>ECATEPEC AUTOMOTRIZ, S.A. DE C.V.</t>
  </si>
  <si>
    <t>JEEP COMPASS LIMITED PREMIUM 4X2 ATX6 2.4L</t>
  </si>
  <si>
    <t xml:space="preserve"> FCA SEMINUEVOS</t>
  </si>
  <si>
    <t>Total  FCA SEMINUEVOS</t>
  </si>
  <si>
    <t>JEEP COMPASS LIMITED 4X2 ATX6 2.4L</t>
  </si>
  <si>
    <t>ROMAN MOJICA JAVIER</t>
  </si>
  <si>
    <t>RIVAS TOVAR MARGARITO</t>
  </si>
  <si>
    <t>FINANCIADO FC</t>
  </si>
  <si>
    <t>CTA PAGA FC</t>
  </si>
  <si>
    <t>TOTAL FC</t>
  </si>
  <si>
    <t>FC FINANCIAL ALFA</t>
  </si>
  <si>
    <t>JEEP GRAND CHEROKEE LIMITED LUJO 3.6L V6 4X2</t>
  </si>
  <si>
    <t>MARTINEZ TORRES MIGUEL ANGEL</t>
  </si>
  <si>
    <t>FC FINANCIAL CONTI</t>
  </si>
  <si>
    <t>CACALOMACAN 09/09/2017</t>
  </si>
  <si>
    <t>FC FINANCIAL FIAT</t>
  </si>
  <si>
    <t>SEMINUEVOS FC FINANCIAL</t>
  </si>
  <si>
    <t>FIVE BANAMEX</t>
  </si>
  <si>
    <t>SEMINUEVOS FC</t>
  </si>
  <si>
    <t>SANCHEZ PEREZ GABRIELA</t>
  </si>
  <si>
    <t>MONTOYA JAIMES RAUL</t>
  </si>
  <si>
    <t>LOPEZ GARDUÑO ANA DELIA</t>
  </si>
  <si>
    <t>RAM 2500 PROMASTER - 11.5 M3 - AMBULANCIA</t>
  </si>
  <si>
    <t>RAM 4000 CHASIS PLANO CORTO "P" (143.5") / V8 5MT 4X2</t>
  </si>
  <si>
    <t>DODGE DURANGO R/T</t>
  </si>
  <si>
    <t>HERNANDEZ SALAZAR GABRIEL</t>
  </si>
  <si>
    <t>TORRES MARIA ALEJANDRA FLORIN</t>
  </si>
  <si>
    <t>MORALES LOPEZ EMMANUEL</t>
  </si>
  <si>
    <t>AUTOMOTORES DE MÉXICO, S.A. DE C.V.</t>
  </si>
  <si>
    <t>PAGO DE UNIDAD</t>
  </si>
  <si>
    <t>FCA ALFA</t>
  </si>
  <si>
    <t>Total FCA ALFA</t>
  </si>
  <si>
    <t>15/12/2017</t>
  </si>
  <si>
    <t>9BD578454JY202718</t>
  </si>
  <si>
    <t>FLOTILLA ESPECIAL</t>
  </si>
  <si>
    <t>PAGO DE ENGANCHE</t>
  </si>
  <si>
    <t>MIRAGE GLS MT</t>
  </si>
  <si>
    <t>DODGE JOURNEY GT (3.6L)</t>
  </si>
  <si>
    <t>MIRAGE GLX MT</t>
  </si>
  <si>
    <t>MIRAGE GLS CVT</t>
  </si>
  <si>
    <t>DODGE GRAND CARAVAN SXT +</t>
  </si>
  <si>
    <t>JEEP WRANGLER UNLIMITED SAHARA</t>
  </si>
  <si>
    <t>ACTIVO FIJO IVONNE LOPEZ</t>
  </si>
  <si>
    <t>DODGE GRAND CARAVAN SXT</t>
  </si>
  <si>
    <t>RECALENDARIZADA</t>
  </si>
  <si>
    <t>DODGE JOURNEY SE BLACKTOP</t>
  </si>
  <si>
    <t>CA SOLUCIONES FINANCIERAS S.A DE C.V.</t>
  </si>
  <si>
    <t>TOWN &amp; COUNTRY LX</t>
  </si>
  <si>
    <t>GERARDO CRUZ COLIN</t>
  </si>
  <si>
    <t>FIVE</t>
  </si>
  <si>
    <t>TOTAL TODAS LAS LINEAS DE FINANCIAMIENTO</t>
  </si>
  <si>
    <t>LINEA TOTAL</t>
  </si>
  <si>
    <t>FC-BBVA</t>
  </si>
  <si>
    <t>FC-FIVE</t>
  </si>
  <si>
    <t>PIEDRA REMIGIO JUAN CARLOS</t>
  </si>
  <si>
    <t>FC-FIVE-BBVA</t>
  </si>
  <si>
    <t>CHRYSLER PACIFICA LIMITED PLATINUM</t>
  </si>
  <si>
    <t>TOTAL ALFA</t>
  </si>
  <si>
    <t>GUTIERREZ NAVA RAFAEL OMAR</t>
  </si>
  <si>
    <t>RAM 2500 REGULAR CAB R/T / V8 8AT</t>
  </si>
  <si>
    <t>CARLOS MARTIN RAMIREZ MORALES</t>
  </si>
  <si>
    <t>2011</t>
  </si>
  <si>
    <t>CAMACHO GUADARRAMA CARLOS</t>
  </si>
  <si>
    <t>AUTOPOLANCO</t>
  </si>
  <si>
    <t>FRANCISCO GALICIA BECERRA</t>
  </si>
  <si>
    <t>AUTOMOTORES SONI SA DE CV</t>
  </si>
  <si>
    <t>FIAT 500L TREKKING AUTOMATICO</t>
  </si>
  <si>
    <t>JEEP CHEROKEE OVERLAND</t>
  </si>
  <si>
    <t>INTERLOMAS MUNDO AUTOMOTRIZ SA DE CV</t>
  </si>
  <si>
    <t>2016</t>
  </si>
  <si>
    <t>AUTOS ELEGANTES DE PACHUCA, S.A. DE C.V.</t>
  </si>
  <si>
    <t>REPORTE DE INVENTARIO</t>
  </si>
  <si>
    <t>ZFBCFADH9JZ041504</t>
  </si>
  <si>
    <t xml:space="preserve">AUTOMOTRIZ SAMURAI UNIVERSIDAD SA DE CV </t>
  </si>
  <si>
    <t>CARRANZA ALONSO ALEJANDRO</t>
  </si>
  <si>
    <t>FECHA DE VENCIMIENTO (FLOTILLAS)</t>
  </si>
  <si>
    <t>DODGE GRAND CARAVAN SE</t>
  </si>
  <si>
    <t>GE128950</t>
  </si>
  <si>
    <t>JZ041504</t>
  </si>
  <si>
    <t>JY202718</t>
  </si>
  <si>
    <t>DODGE JOURNEY SPORT+ 7 PAS. (2.4L)</t>
  </si>
  <si>
    <t>TODAS LAS UNIDADES PROPIAS EN PISO INTERCAMBIO</t>
  </si>
  <si>
    <t>TODAS LAS UNIDADES PROPIAS EN PISO</t>
  </si>
  <si>
    <t>PROPIA CONTI</t>
  </si>
  <si>
    <t>PROPIA FIAT</t>
  </si>
  <si>
    <t>TODAS LAS UNIDADES SEMINUEVAS EN PISO</t>
  </si>
  <si>
    <t>Inventario de Unidades Nuevas propio</t>
  </si>
  <si>
    <t>Inventario de Unidades Usadas propio</t>
  </si>
  <si>
    <t>9BD373575K5104021</t>
  </si>
  <si>
    <t>FIAT PALIO ADVENTURE MAN</t>
  </si>
  <si>
    <t>JEEP WRANGLER UNLIMITED RUBICON</t>
  </si>
  <si>
    <t>DODGE JOURNEY SPORT PLUS+7PAS.</t>
  </si>
  <si>
    <t xml:space="preserve">VACH </t>
  </si>
  <si>
    <t>. . CASA</t>
  </si>
  <si>
    <t>JAVIER ROMAN MOJICA</t>
  </si>
  <si>
    <t>OBAMA AUTOMOTRIZ SA DE CV</t>
  </si>
  <si>
    <t>05/09/2018</t>
  </si>
  <si>
    <t>ML3AB56J0JH017737</t>
  </si>
  <si>
    <t>RAM 2500 CREW CAB SLT TRABAJO V8 6ATX 4X2</t>
  </si>
  <si>
    <t>MARCO ANTONIO HERNANDEZ SANCHEZ</t>
  </si>
  <si>
    <t>RAM 1500 LIMITED V8 8AT 4X4</t>
  </si>
  <si>
    <t>RAM 700 CC ADVENTURE - RADIO APPLE CAR PLAY® ANDROID AUDIO</t>
  </si>
  <si>
    <t>2018</t>
  </si>
  <si>
    <t>21/09/2018</t>
  </si>
  <si>
    <t>1C4PJLJX9KD206020</t>
  </si>
  <si>
    <t>CAMARENA AUTOMOTRIZ DE OCCIDENTE, S.A. DE C.V.</t>
  </si>
  <si>
    <t>25/09/2018</t>
  </si>
  <si>
    <t>3C4PDCFG7JT511119</t>
  </si>
  <si>
    <t>Total SEMINUEVOS</t>
  </si>
  <si>
    <t>Total general</t>
  </si>
  <si>
    <t>NO FINANCIAR</t>
  </si>
  <si>
    <t>JT511119</t>
  </si>
  <si>
    <t>RAM 1500 CREW CAB SLT V6 8ATX 4X2</t>
  </si>
  <si>
    <t>ZASPAKAN3K7C33146</t>
  </si>
  <si>
    <t>ALFA ROMEO STELVIO AUTOMATICO 2LTS 4CIL SPORT</t>
  </si>
  <si>
    <t>08/11/2018</t>
  </si>
  <si>
    <t>ML3AA28J6JH004442</t>
  </si>
  <si>
    <t>PANIAGUA REYNA GERARDO</t>
  </si>
  <si>
    <t>21/11/2018</t>
  </si>
  <si>
    <t>RAM 1500 LONGHORN V8 8AT 4X4</t>
  </si>
  <si>
    <t>RAM 700 CC ADVENTURE - RIN 16"</t>
  </si>
  <si>
    <t>9BD265556K9118947</t>
  </si>
  <si>
    <t>9BD265556K9121864</t>
  </si>
  <si>
    <t>22/11/2018</t>
  </si>
  <si>
    <t>JEEP GRAND CHEROKEE LIMITED LUJO ADVANCED 5.7L V8 4X4</t>
  </si>
  <si>
    <t>1C4RJFBT9KC602122</t>
  </si>
  <si>
    <t>27/11/2018</t>
  </si>
  <si>
    <t>988611566KK214152</t>
  </si>
  <si>
    <t>28/11/2018</t>
  </si>
  <si>
    <t>9BD578459KY292644</t>
  </si>
  <si>
    <t>29/11/2018</t>
  </si>
  <si>
    <t>EDGAR MARTIN ROSALES PEDROZA</t>
  </si>
  <si>
    <t>RAM 1500 LARAMIE SPORT V8 8AT 4X4</t>
  </si>
  <si>
    <t>3C6TRVCG4JE150461</t>
  </si>
  <si>
    <t>COMPASS LIMITED FWD AUT</t>
  </si>
  <si>
    <t>1C4NJCCB2ED799605</t>
  </si>
  <si>
    <t>06/12/2018</t>
  </si>
  <si>
    <t>1C4PJLJX3KD348072</t>
  </si>
  <si>
    <t>10/12/2018</t>
  </si>
  <si>
    <t>12/12/2018</t>
  </si>
  <si>
    <t>DODGE CHALLENGER SCAT PACK 6.4L V8 / 8AT</t>
  </si>
  <si>
    <t>2C3CDZFJ0KH549352</t>
  </si>
  <si>
    <t>CHERVROLET CRUZE</t>
  </si>
  <si>
    <t>3G1B85DM6JS583141</t>
  </si>
  <si>
    <t>ML3AA28J2JH004597</t>
  </si>
  <si>
    <t>ML3AA28J0JH007000</t>
  </si>
  <si>
    <t>ML3AA28J1JH005806</t>
  </si>
  <si>
    <t>9BD195A81K0853178</t>
  </si>
  <si>
    <t>22/12/2018</t>
  </si>
  <si>
    <t>28/12/2018</t>
  </si>
  <si>
    <t>1C4RJEBG4KC602901</t>
  </si>
  <si>
    <t>FUSION</t>
  </si>
  <si>
    <t>3FA6P0H95HR242907</t>
  </si>
  <si>
    <t>04/01/2019</t>
  </si>
  <si>
    <t>ENERO 2019</t>
  </si>
  <si>
    <t>RAM 1500 CREW CAB SLT V6 8ATX 4X4</t>
  </si>
  <si>
    <t>3C6SRBDG7JG258893</t>
  </si>
  <si>
    <t>AUTO DISTRIBUIDORES DEL CENTRO, S.A. DE C.V.</t>
  </si>
  <si>
    <t>K5104021</t>
  </si>
  <si>
    <t>KH549352</t>
  </si>
  <si>
    <t>KD348072</t>
  </si>
  <si>
    <t>RAM 2500 CREW CAB HEMI SPORT V8 6AT 4X4</t>
  </si>
  <si>
    <t>27/01/2019</t>
  </si>
  <si>
    <t>988611561KK222255</t>
  </si>
  <si>
    <t>988611568KK222267</t>
  </si>
  <si>
    <t>988611560KK224871</t>
  </si>
  <si>
    <t>28/01/2019</t>
  </si>
  <si>
    <t>JEEP WRANGLER RUBICON PAQ. DELUXE</t>
  </si>
  <si>
    <t>1C4RJEBG2KC684224</t>
  </si>
  <si>
    <t>30/01/2019</t>
  </si>
  <si>
    <t>31/01/2019</t>
  </si>
  <si>
    <t>ERICK GERARDO RODRIGUEZ VILLANUEVA</t>
  </si>
  <si>
    <t>2C4RC1GG0KR627300</t>
  </si>
  <si>
    <t>1C4RJEBG0KC657605</t>
  </si>
  <si>
    <t>2C4RDGBG3KR623345</t>
  </si>
  <si>
    <t>FÓRMULA ANGELOPOLIS, S.A. DE C.V.</t>
  </si>
  <si>
    <t>04-10 ENE</t>
  </si>
  <si>
    <t>06/02/2019</t>
  </si>
  <si>
    <t>05/02/2019</t>
  </si>
  <si>
    <t>1C4RJEBG1KC643910</t>
  </si>
  <si>
    <t>12/02/2019</t>
  </si>
  <si>
    <t>3C4NJCCB7KT667087</t>
  </si>
  <si>
    <t>13/02/2019</t>
  </si>
  <si>
    <t>ZARCACCH0KX080901</t>
  </si>
  <si>
    <t>1C4RJEBG9KC673642</t>
  </si>
  <si>
    <t>FC-BBVA-PROPIA</t>
  </si>
  <si>
    <t>ML3AB26J1KH002518</t>
  </si>
  <si>
    <t>1C4RJEBG6KC673646</t>
  </si>
  <si>
    <t>1C4RJEBG8KC673647</t>
  </si>
  <si>
    <t>28/02/2019</t>
  </si>
  <si>
    <t>1C6SRFJT9KN761780</t>
  </si>
  <si>
    <t>3C4NJCCB4KT730534</t>
  </si>
  <si>
    <t>02/03/2019</t>
  </si>
  <si>
    <t>3C4NJCCB6KT730535</t>
  </si>
  <si>
    <t>FC - FIVE</t>
  </si>
  <si>
    <t>JEEP RENEGADE LIMITED 1.8L 6AT</t>
  </si>
  <si>
    <t>11/03/2019</t>
  </si>
  <si>
    <t>1C4SDHCT5KC691397</t>
  </si>
  <si>
    <t>13/03/2019</t>
  </si>
  <si>
    <t>ML3AB26J7KH003382</t>
  </si>
  <si>
    <t>ML3AB26J4KH003906</t>
  </si>
  <si>
    <t>19/03/2019</t>
  </si>
  <si>
    <t>3C6SRADGXKG528730</t>
  </si>
  <si>
    <t>3C6SRADG9KG528735</t>
  </si>
  <si>
    <t>3C6SRADG8KG528855</t>
  </si>
  <si>
    <t>3C6SRADG8KG528905</t>
  </si>
  <si>
    <t>3C6SRADG8KG528936</t>
  </si>
  <si>
    <t>3C6SRADG8KG528970</t>
  </si>
  <si>
    <t>26/03/2019</t>
  </si>
  <si>
    <t>3C6JRBCTXKG541736</t>
  </si>
  <si>
    <t>28/03/2019</t>
  </si>
  <si>
    <t>30/03/2019</t>
  </si>
  <si>
    <t>1C6SRFHT6KN772418</t>
  </si>
  <si>
    <t>31/03/2019</t>
  </si>
  <si>
    <t>3C4PDCGB8JT533553</t>
  </si>
  <si>
    <t>ML3AB56J4KH003549</t>
  </si>
  <si>
    <t>AUTOS MONCLOVA S.A. DE C.V.</t>
  </si>
  <si>
    <t>JOURNEY SE ATX +7</t>
  </si>
  <si>
    <t>JOURNEY SE ATX</t>
  </si>
  <si>
    <t>GOL CL AIRE PM</t>
  </si>
  <si>
    <t>JETTA MKVI TRENDLINE STD</t>
  </si>
  <si>
    <t>9BWAB05U4FP200105</t>
  </si>
  <si>
    <t>3VW1W1AJ9FM279550</t>
  </si>
  <si>
    <t>MAA000030697</t>
  </si>
  <si>
    <t>DIANA LAURA JIMENEZ VILLANUEVA</t>
  </si>
  <si>
    <t>FP200105</t>
  </si>
  <si>
    <t>KH002518</t>
  </si>
  <si>
    <t>05/04/2019</t>
  </si>
  <si>
    <t>3C4NJCCB8KT762712</t>
  </si>
  <si>
    <t>ML3AB26J1KH004379</t>
  </si>
  <si>
    <t>ML3AB26J6KH005320</t>
  </si>
  <si>
    <t>ML3AB26J8KH005478</t>
  </si>
  <si>
    <t>08/04/2019</t>
  </si>
  <si>
    <t>3C4NJCCB4KT762559</t>
  </si>
  <si>
    <t>09/04/2019</t>
  </si>
  <si>
    <t>10/04/2019</t>
  </si>
  <si>
    <t>DODGE JOURNEY SPORT PLUS +7 PAS. (2.4L)</t>
  </si>
  <si>
    <t>3C4NJCCB0KT762719</t>
  </si>
  <si>
    <t>12/04/2019</t>
  </si>
  <si>
    <t>1C6SRFKT4KN820359</t>
  </si>
  <si>
    <t>JEEP GRAND CHEROKEE LIMITED LUJO 3.6L  V6 4X2</t>
  </si>
  <si>
    <t>16/04/2019</t>
  </si>
  <si>
    <t>JOURNEY 7 PAS LUJO</t>
  </si>
  <si>
    <t>3C4PDCCB7JT328554</t>
  </si>
  <si>
    <t>3C4BDCABXHT551906</t>
  </si>
  <si>
    <t>FC - FIVE - PROPIA</t>
  </si>
  <si>
    <t>27/04/2019</t>
  </si>
  <si>
    <t>988611564KK240586</t>
  </si>
  <si>
    <t>988611562KK241302</t>
  </si>
  <si>
    <t>988611566KK242159</t>
  </si>
  <si>
    <t>988611566KK242193</t>
  </si>
  <si>
    <t>988611560KK244604</t>
  </si>
  <si>
    <t>1C4HJXEG1KW615042</t>
  </si>
  <si>
    <t>JS583141</t>
  </si>
  <si>
    <t>29/04/2019</t>
  </si>
  <si>
    <t>LIBERTY</t>
  </si>
  <si>
    <t>GRAND CHEROKEE SRT8 4X4 8 CIL</t>
  </si>
  <si>
    <t>1J4GK48K92W310566</t>
  </si>
  <si>
    <t>1C4RJFDJ6GC452523</t>
  </si>
  <si>
    <t>2002</t>
  </si>
  <si>
    <t>05/05/2016</t>
  </si>
  <si>
    <t>9BD578679KY324622</t>
  </si>
  <si>
    <t>ALFA ROMEO STELVIO QV</t>
  </si>
  <si>
    <t>MAA000030862</t>
  </si>
  <si>
    <t>GERARDO GONZALEZ DAVILA</t>
  </si>
  <si>
    <t>START BANREGIO, S.A. DE C.V. SOFOM E.R., BANREGIO GRUPO FINANCIERO</t>
  </si>
  <si>
    <t>HT551906</t>
  </si>
  <si>
    <t>03/05/2019</t>
  </si>
  <si>
    <t>3C4PDCGB8KT764020</t>
  </si>
  <si>
    <t>3C4PDCGBXKT764021</t>
  </si>
  <si>
    <t>06/05/2019</t>
  </si>
  <si>
    <t>07/05/2019</t>
  </si>
  <si>
    <t>3C4PDCGB7KT778779</t>
  </si>
  <si>
    <t>3C4PDCGB3KT778780</t>
  </si>
  <si>
    <t>3KPC34A53JE001920</t>
  </si>
  <si>
    <t>ACCENT 4 PUERTAS GLS TA 1.6L 4CIL</t>
  </si>
  <si>
    <t>08/05/2019</t>
  </si>
  <si>
    <t>3C4PDCGB7KT778782</t>
  </si>
  <si>
    <t>09/05/2019</t>
  </si>
  <si>
    <t>11/05/2019</t>
  </si>
  <si>
    <t>ALBITER ARCE PEDRO</t>
  </si>
  <si>
    <t>3C7WRAKT7KG557700</t>
  </si>
  <si>
    <t>3C7WRAKT7KG568874</t>
  </si>
  <si>
    <t>3C7WRAKT2KG557703</t>
  </si>
  <si>
    <t>13/05/2019</t>
  </si>
  <si>
    <t>PUEBLA AUTOMOTRIZ, S.A. DE C.V.</t>
  </si>
  <si>
    <t>14/05/2019</t>
  </si>
  <si>
    <t>3C7WRAKT9KG557701</t>
  </si>
  <si>
    <t>3C7WRAKT0KG557702</t>
  </si>
  <si>
    <t>21/05/2019</t>
  </si>
  <si>
    <t>ML3AB56J7KH006848</t>
  </si>
  <si>
    <t>22/05/2019</t>
  </si>
  <si>
    <t>988611564KK248042</t>
  </si>
  <si>
    <t>988611569KK249171</t>
  </si>
  <si>
    <t>988611560KK249172</t>
  </si>
  <si>
    <t>988611564KK249367</t>
  </si>
  <si>
    <t>1C6SRFHT4KN772417</t>
  </si>
  <si>
    <t>24/05/2019</t>
  </si>
  <si>
    <t>JEEP WRANGLER UNLIMITED SPORT</t>
  </si>
  <si>
    <t>1C4HJXDG1KW648074</t>
  </si>
  <si>
    <t>28/05/2019</t>
  </si>
  <si>
    <t>988611554KK246427</t>
  </si>
  <si>
    <t>2C4RDGDG3KR634178</t>
  </si>
  <si>
    <t>29/05/2019</t>
  </si>
  <si>
    <t>REPORTADO NVDR</t>
  </si>
  <si>
    <t>MAA000030976</t>
  </si>
  <si>
    <t>PADILLA CHACON JOSE ANTONIO</t>
  </si>
  <si>
    <t>30/05/2019</t>
  </si>
  <si>
    <t>CANCELADA LA COMPRA</t>
  </si>
  <si>
    <t>3C7WRAKT5KG561566</t>
  </si>
  <si>
    <t>ML3AB26J1KH007489</t>
  </si>
  <si>
    <t>KR634178</t>
  </si>
  <si>
    <t>JH004442</t>
  </si>
  <si>
    <t>JH004597</t>
  </si>
  <si>
    <t>JH007000</t>
  </si>
  <si>
    <t>JH005806</t>
  </si>
  <si>
    <t>2C4RC1GG1KR704918</t>
  </si>
  <si>
    <t>9BD195A83K0863193</t>
  </si>
  <si>
    <t>31/05/2019</t>
  </si>
  <si>
    <t>JG258893</t>
  </si>
  <si>
    <t>3C7WRAKT3KG585901</t>
  </si>
  <si>
    <t>RAM 4000 CREW CAB CHASSIS CABINA / V8 6.4L 8AT 4X4</t>
  </si>
  <si>
    <t>JEEP COMPASS LIMITED 4X2</t>
  </si>
  <si>
    <t>3C4NJCCB5JT151938</t>
  </si>
  <si>
    <t>MITO PROGRESSION LUXURY</t>
  </si>
  <si>
    <t>ZARBACCA1GX047881</t>
  </si>
  <si>
    <t>FRONTIER PRO-4X 4X2 T/A</t>
  </si>
  <si>
    <t>1N6AD0ER3GN760112</t>
  </si>
  <si>
    <t>CANCELADA LA FACTURA</t>
  </si>
  <si>
    <t>05/06/2019</t>
  </si>
  <si>
    <t>06/06/2019</t>
  </si>
  <si>
    <t>3C4PDCGBXKT804758</t>
  </si>
  <si>
    <t>MAA000031047</t>
  </si>
  <si>
    <t>MARICELA ESTRADA CAMACHO</t>
  </si>
  <si>
    <t>LA000003023</t>
  </si>
  <si>
    <t>EQUIPOS MCA, S.A. DE C.V.</t>
  </si>
  <si>
    <t>FC-PROPIA-BBVA</t>
  </si>
  <si>
    <t>3C4PDCGB8KT804760</t>
  </si>
  <si>
    <t>PAPAMOVIL</t>
  </si>
  <si>
    <t>08/06/2019</t>
  </si>
  <si>
    <t>3C4PDCGB1KT804759</t>
  </si>
  <si>
    <t>10/06/2019</t>
  </si>
  <si>
    <t>12/06/2019</t>
  </si>
  <si>
    <t>13/06/2019</t>
  </si>
  <si>
    <t>3C6SRADG3KG572486</t>
  </si>
  <si>
    <t>3C6SRADG0KG572493</t>
  </si>
  <si>
    <t>3C6SRADG9KG572511</t>
  </si>
  <si>
    <t>3C6SRADG2KG572513</t>
  </si>
  <si>
    <t>3C6SRADG4KG575428</t>
  </si>
  <si>
    <t>3C6SRADG2KG575458</t>
  </si>
  <si>
    <t>3C6SRADG9KG575487</t>
  </si>
  <si>
    <t>3C6SRADG2KG575511</t>
  </si>
  <si>
    <t>3C6SRADG8KG575514</t>
  </si>
  <si>
    <t>3C6SRADGXKG575515</t>
  </si>
  <si>
    <t>3C6SRADG1KG575533</t>
  </si>
  <si>
    <t>3C6SRADG2KG575556</t>
  </si>
  <si>
    <t>3C6SRADG3KG575632</t>
  </si>
  <si>
    <t>3C6SRADG2KG575637</t>
  </si>
  <si>
    <t>3C6SRADG6KG575639</t>
  </si>
  <si>
    <t>3C6SRADG8KG575643</t>
  </si>
  <si>
    <t>3C6SRADG9KG575649</t>
  </si>
  <si>
    <t>3C6SRADG9KG575666</t>
  </si>
  <si>
    <t>3C6SRADG0KG575667</t>
  </si>
  <si>
    <t>3C6SRADG0KG575670</t>
  </si>
  <si>
    <t>3C6SRADG2KG575671</t>
  </si>
  <si>
    <t>3C6SRADG0KG575684</t>
  </si>
  <si>
    <t>3C6SRADG6KG575690</t>
  </si>
  <si>
    <t>3C6SRADG3KG575694</t>
  </si>
  <si>
    <t>3C6SRADG7KG575696</t>
  </si>
  <si>
    <t>3C6SRADG7KG575701</t>
  </si>
  <si>
    <t>3C6SRADG9KG575702</t>
  </si>
  <si>
    <t>3C6SRADG6KG575706</t>
  </si>
  <si>
    <t>3C6SRADG8KG575707</t>
  </si>
  <si>
    <t>3C6SRADGXKG575708</t>
  </si>
  <si>
    <t>3C6SRADGXKG575711</t>
  </si>
  <si>
    <t>3C6SRADG3KG575713</t>
  </si>
  <si>
    <t>3C6SRADG2KG575718</t>
  </si>
  <si>
    <t>3C6SRADG0KG575720</t>
  </si>
  <si>
    <t>3C6SRADG2KG575721</t>
  </si>
  <si>
    <t>3C6SRADG4KG575722</t>
  </si>
  <si>
    <t>3C6SRADG6KG575723</t>
  </si>
  <si>
    <t>3C6SRADG8KG575724</t>
  </si>
  <si>
    <t>3C6SRADGXKG575725</t>
  </si>
  <si>
    <t>3C6SRADG1KG575726</t>
  </si>
  <si>
    <t>3C6SRADG3KG575727</t>
  </si>
  <si>
    <t>3C6SRADG5KG575731</t>
  </si>
  <si>
    <t>3C6SRADG4KG575736</t>
  </si>
  <si>
    <t>FC-BBVA-ACTIVO FIJO</t>
  </si>
  <si>
    <t>ACTIVO FIJO REFACCIONES</t>
  </si>
  <si>
    <t>AVEO D LT</t>
  </si>
  <si>
    <t>LSGHD52H5JD126442</t>
  </si>
  <si>
    <t>JOURNEY SXT  5 PAS. (2.4L)</t>
  </si>
  <si>
    <t>3C4PDCCB2DT611612</t>
  </si>
  <si>
    <t>GRAND CHEROKEE LTD</t>
  </si>
  <si>
    <t>1C4RJEBG0FC816080</t>
  </si>
  <si>
    <t>9BD195563F0698471</t>
  </si>
  <si>
    <t>SPYDER RT-S 991</t>
  </si>
  <si>
    <t>2BXJBLC19BV000969</t>
  </si>
  <si>
    <t>17/06/2019</t>
  </si>
  <si>
    <t>16/06/2019</t>
  </si>
  <si>
    <t>3C4PDCGBXKT763838</t>
  </si>
  <si>
    <t>18/06/2019</t>
  </si>
  <si>
    <t>ZASPAKEV4K7C56784</t>
  </si>
  <si>
    <t>19/06/2019</t>
  </si>
  <si>
    <t>3C7WRBLJ5KG603124</t>
  </si>
  <si>
    <t>3C7WRBLJ7KG603125</t>
  </si>
  <si>
    <t>21/06/2019</t>
  </si>
  <si>
    <t>1C4HJXFG8KW586492</t>
  </si>
  <si>
    <t>Q5 ELITE QUATTRO</t>
  </si>
  <si>
    <t>3U5AFDFY5J2000639</t>
  </si>
  <si>
    <t>2C4JC1AG8DR623777</t>
  </si>
  <si>
    <t>MAA000031087</t>
  </si>
  <si>
    <t>BERNAL MARTINEZ HITZEL SELENE</t>
  </si>
  <si>
    <t>FRCM000006452,FRCM000006284</t>
  </si>
  <si>
    <t>KW586492</t>
  </si>
  <si>
    <t>LUIS ERNESTO GUTIERREZ HUERTA</t>
  </si>
  <si>
    <t>25/06/2019</t>
  </si>
  <si>
    <t>FRCM000006468,FRCM000006467</t>
  </si>
  <si>
    <t>BV000969</t>
  </si>
  <si>
    <t>ML3AB56J7KH008017</t>
  </si>
  <si>
    <t>ML3AB56J0KH009039</t>
  </si>
  <si>
    <t>1C4RJEBG7KC681268</t>
  </si>
  <si>
    <t>27/06/2019</t>
  </si>
  <si>
    <t>MAA000031108</t>
  </si>
  <si>
    <t>MAA000031113</t>
  </si>
  <si>
    <t>JOSE ALBERTO GONZALEZ AVENDAÑO</t>
  </si>
  <si>
    <t>MAA000031109</t>
  </si>
  <si>
    <t>EDGAR GERARDO GUADARRAMA GARCIA</t>
  </si>
  <si>
    <t>DT611612</t>
  </si>
  <si>
    <t>J2000639</t>
  </si>
  <si>
    <t>MAA000031111</t>
  </si>
  <si>
    <t>BARROSO REYES OTILIO</t>
  </si>
  <si>
    <t>MAA000031107</t>
  </si>
  <si>
    <t>FLORES FERNANDEZ LUIS ENRIQUE</t>
  </si>
  <si>
    <t>28/06/2019</t>
  </si>
  <si>
    <t>FRCM000006477,FRCM000006504</t>
  </si>
  <si>
    <t>3C7WRAKT2KG580186</t>
  </si>
  <si>
    <t>9BD195A86K0862605</t>
  </si>
  <si>
    <t>9BD341A64KY619052</t>
  </si>
  <si>
    <t>9BD373593K5107324</t>
  </si>
  <si>
    <t>98861155XKK251907</t>
  </si>
  <si>
    <t>988611551KK253576</t>
  </si>
  <si>
    <t>988611569KK251552</t>
  </si>
  <si>
    <t>988611565KK251628</t>
  </si>
  <si>
    <t>988611566KK251637</t>
  </si>
  <si>
    <t>988611566KK251654</t>
  </si>
  <si>
    <t>988611563KK251739</t>
  </si>
  <si>
    <t>988611569KK251812</t>
  </si>
  <si>
    <t>988611560KK251939</t>
  </si>
  <si>
    <t>988611569KK251955</t>
  </si>
  <si>
    <t>988611568KK251994</t>
  </si>
  <si>
    <t>988611565KK251998</t>
  </si>
  <si>
    <t>988611560KK252007</t>
  </si>
  <si>
    <t>988611565KK252018</t>
  </si>
  <si>
    <t>988611565KK252178</t>
  </si>
  <si>
    <t>988611561KK252226</t>
  </si>
  <si>
    <t>988611564KK255735</t>
  </si>
  <si>
    <t>9BD265557K9132937</t>
  </si>
  <si>
    <t>RENEGADE AUTOMATICA</t>
  </si>
  <si>
    <t>988611565HK116139</t>
  </si>
  <si>
    <t>GRAND I10 4 PUERTAS GLS AUTOMATICO 4</t>
  </si>
  <si>
    <t>MALA84BC8JM289549</t>
  </si>
  <si>
    <t>POLO-HIGHLINE DSG</t>
  </si>
  <si>
    <t>WVWDN46R6EY188872</t>
  </si>
  <si>
    <t>QUADRIFOGLIO V HATCHBACK</t>
  </si>
  <si>
    <t>ZARBACCA8GX047828</t>
  </si>
  <si>
    <t>29/06/2019</t>
  </si>
  <si>
    <t>3C7WRAHT7KG600195</t>
  </si>
  <si>
    <t>TA000001280</t>
  </si>
  <si>
    <t>RENE ARROYO GONZALEZ</t>
  </si>
  <si>
    <t>MAA000031144</t>
  </si>
  <si>
    <t>ALICIA ESTHELA NUÑEZ CUADROS</t>
  </si>
  <si>
    <t>EMMANUEL MORALES LOPEZ</t>
  </si>
  <si>
    <t>MAA000031114</t>
  </si>
  <si>
    <t>GLORIA MACEDO JAIMES</t>
  </si>
  <si>
    <t>FC-PROPIA-BBVA-PROPIA</t>
  </si>
  <si>
    <t>MAA000031145</t>
  </si>
  <si>
    <t>REYES BOJORGES CINTHYA LADY</t>
  </si>
  <si>
    <t>FRCM000006553</t>
  </si>
  <si>
    <t>FRCM000006480,FRCM000006499,FRCM000006498,FRCM000006497,$175,000.00</t>
  </si>
  <si>
    <t>F0698471</t>
  </si>
  <si>
    <t>HK116139</t>
  </si>
  <si>
    <t>EY188872</t>
  </si>
  <si>
    <t>KT763838</t>
  </si>
  <si>
    <t>KK246427</t>
  </si>
  <si>
    <t>JULIO 2019</t>
  </si>
  <si>
    <t>01/07/2019</t>
  </si>
  <si>
    <t>COMPASS LIMITED FWD AUT 4 CIL</t>
  </si>
  <si>
    <t>1C4NJCCB7GD681780</t>
  </si>
  <si>
    <t>08/07/2019</t>
  </si>
  <si>
    <t>3C7WRAKT3KG575790</t>
  </si>
  <si>
    <t>3C4BDCAB8KT835333</t>
  </si>
  <si>
    <t>ACTIVO FIJO UNIDAD MOBIL</t>
  </si>
  <si>
    <t>10/07/2019</t>
  </si>
  <si>
    <t>3C6SRADG9KG528752</t>
  </si>
  <si>
    <t>KG528752</t>
  </si>
  <si>
    <t>3C6SRADG0KG532592</t>
  </si>
  <si>
    <t>KG532592</t>
  </si>
  <si>
    <t>2C4RDGBG3KR737426</t>
  </si>
  <si>
    <t>KY292644</t>
  </si>
  <si>
    <t>KK214152</t>
  </si>
  <si>
    <t>12/07/2019</t>
  </si>
  <si>
    <t>3C6RRBDT3KG600305</t>
  </si>
  <si>
    <t>15/07/2019</t>
  </si>
  <si>
    <t>MENA VILCHIS ESTEBAN</t>
  </si>
  <si>
    <t>ML3AB56J6KH009854</t>
  </si>
  <si>
    <t>ML3AB56J3KH009861</t>
  </si>
  <si>
    <t>ML3AB56J1KH009972</t>
  </si>
  <si>
    <t>FIAT MOBI HATCHBACK MANUAL</t>
  </si>
  <si>
    <t>9BD341A51LY628798</t>
  </si>
  <si>
    <t>16/07/2019</t>
  </si>
  <si>
    <t>GAS IMPERIAL, S.A. DE C.V.</t>
  </si>
  <si>
    <t>17/07/2019</t>
  </si>
  <si>
    <t>3C7WRAKT7KG575792</t>
  </si>
  <si>
    <t>ML3AB56J0KH009784</t>
  </si>
  <si>
    <t>ML3AB56J6KH009885</t>
  </si>
  <si>
    <t>9BD341A58LY629611</t>
  </si>
  <si>
    <t>ACTIVO FIJO REFACCIONES(REPORTE DE ROBO)</t>
  </si>
  <si>
    <t>ACTIVO FIJO ASTROCAMIONES</t>
  </si>
  <si>
    <t>ACTIVO FIJO ESTEBAN MENA</t>
  </si>
  <si>
    <t>9BD341A6XKY624644</t>
  </si>
  <si>
    <t>KH007489</t>
  </si>
  <si>
    <t>18/07/2019</t>
  </si>
  <si>
    <t>GRAND CHEROKEE SUMMIT 4X4</t>
  </si>
  <si>
    <t>1C4RJFJT1FC807585</t>
  </si>
  <si>
    <t>JOURNEY AUTOMATICA 6 CIL.</t>
  </si>
  <si>
    <t>3C4PDCFG6HT551489</t>
  </si>
  <si>
    <t>CHARGER R/T</t>
  </si>
  <si>
    <t>2C3CDXCT7HH543387</t>
  </si>
  <si>
    <t>JC378013</t>
  </si>
  <si>
    <t>1C4RJFBT2JC378013</t>
  </si>
  <si>
    <t>KR737426</t>
  </si>
  <si>
    <t>DODGE NEON GT AT</t>
  </si>
  <si>
    <t>26/07/2019</t>
  </si>
  <si>
    <t>MAA000031239</t>
  </si>
  <si>
    <t>MAA000031240</t>
  </si>
  <si>
    <t>MAA000031241</t>
  </si>
  <si>
    <t>MAA000031242</t>
  </si>
  <si>
    <t>MAA000031243</t>
  </si>
  <si>
    <t>MAA000031244</t>
  </si>
  <si>
    <t>MAA000031245</t>
  </si>
  <si>
    <t>MAA000031246</t>
  </si>
  <si>
    <t>MAA000031247</t>
  </si>
  <si>
    <t>MAA000031248</t>
  </si>
  <si>
    <t>MAA000031249</t>
  </si>
  <si>
    <t>MAA000031250</t>
  </si>
  <si>
    <t>MAA000031251</t>
  </si>
  <si>
    <t>MAA000031252</t>
  </si>
  <si>
    <t>MAA000031253</t>
  </si>
  <si>
    <t>MAA000031254</t>
  </si>
  <si>
    <t>MAA000031255</t>
  </si>
  <si>
    <t>MAA000031256</t>
  </si>
  <si>
    <t>MAA000031257</t>
  </si>
  <si>
    <t>MAA000031258</t>
  </si>
  <si>
    <t>MAA000031259</t>
  </si>
  <si>
    <t>MAA000031260</t>
  </si>
  <si>
    <t>MAA000031261</t>
  </si>
  <si>
    <t>MAA000031262</t>
  </si>
  <si>
    <t>MAA000031263</t>
  </si>
  <si>
    <t>MAA000031264</t>
  </si>
  <si>
    <t>MAA000031265</t>
  </si>
  <si>
    <t>MAA000031266</t>
  </si>
  <si>
    <t>MAA000031267</t>
  </si>
  <si>
    <t>MAA000031268</t>
  </si>
  <si>
    <t>MAA000031269</t>
  </si>
  <si>
    <t>MAA000031270</t>
  </si>
  <si>
    <t>MAA000031271</t>
  </si>
  <si>
    <t>MAA000031272</t>
  </si>
  <si>
    <t>MAA000031273</t>
  </si>
  <si>
    <t>MAA000031274</t>
  </si>
  <si>
    <t>MAA000031275</t>
  </si>
  <si>
    <t>MAA000031276</t>
  </si>
  <si>
    <t>MAA000031277</t>
  </si>
  <si>
    <t>MAA000031278</t>
  </si>
  <si>
    <t>MAA000031279</t>
  </si>
  <si>
    <t>MAA000031280</t>
  </si>
  <si>
    <t>MAA000031281</t>
  </si>
  <si>
    <t>DODGE NEON SE AT</t>
  </si>
  <si>
    <t>ZFAADAAP6L6N85539</t>
  </si>
  <si>
    <t>ZFAADAAP8L6N85722</t>
  </si>
  <si>
    <t>9BD578452KY301880</t>
  </si>
  <si>
    <t>9BD578459KY311953</t>
  </si>
  <si>
    <t>9BD578456KY331738</t>
  </si>
  <si>
    <t>TA000001291</t>
  </si>
  <si>
    <t>TA000001293</t>
  </si>
  <si>
    <t>30/07/2019</t>
  </si>
  <si>
    <t>CIAMALI FLOWERS S.A DE C.V.</t>
  </si>
  <si>
    <t>LA000003061</t>
  </si>
  <si>
    <t>SALGADO SILVA NORMA CECILIA</t>
  </si>
  <si>
    <t>FRCL000000986</t>
  </si>
  <si>
    <t>KY301880</t>
  </si>
  <si>
    <t>KY311953</t>
  </si>
  <si>
    <t>KY331738</t>
  </si>
  <si>
    <t>9BD195A85K0865513</t>
  </si>
  <si>
    <t>TOWN &amp; COUNTRY TOURING PIEL</t>
  </si>
  <si>
    <t>2C4RC1BG6GR307817</t>
  </si>
  <si>
    <t>31/07/2019</t>
  </si>
  <si>
    <t>JEEP WRANGLER RUBICON</t>
  </si>
  <si>
    <t>3C4BDCAB4KT856390</t>
  </si>
  <si>
    <t>1C4HJXFG9KW626997</t>
  </si>
  <si>
    <t>1C4HJXFG3KW674026</t>
  </si>
  <si>
    <t>9BD341A53LY628009</t>
  </si>
  <si>
    <t>9BD341A5XLY629755</t>
  </si>
  <si>
    <t>9BD341A53LY629807</t>
  </si>
  <si>
    <t>1C4RJFBT5KC774843</t>
  </si>
  <si>
    <t>RAM 2500 LIMITED HD 6.4L 8A/T</t>
  </si>
  <si>
    <t>3C6UR5SJ6KG582654</t>
  </si>
  <si>
    <t>MAA000031299</t>
  </si>
  <si>
    <t>LETICIA ECHENIQUE VAZQUEZ</t>
  </si>
  <si>
    <t>MAA000031297</t>
  </si>
  <si>
    <t>ELIZABETH LEON MARES</t>
  </si>
  <si>
    <t>GONZALEZ MIRANDA GENOVEVA PATRICIA</t>
  </si>
  <si>
    <t>AA000002068</t>
  </si>
  <si>
    <t>CRUZ APOLINAR JOSE JESUS</t>
  </si>
  <si>
    <t>MAA000031313</t>
  </si>
  <si>
    <t>MAA000031323</t>
  </si>
  <si>
    <t>MAA000031316</t>
  </si>
  <si>
    <t>MAA000031317</t>
  </si>
  <si>
    <t>MAA000031324</t>
  </si>
  <si>
    <t>MAA000031320</t>
  </si>
  <si>
    <t>MAA000031321</t>
  </si>
  <si>
    <t>MAA000031314</t>
  </si>
  <si>
    <t>ROMERO HUERTA JOSE ZACARIAS</t>
  </si>
  <si>
    <t>FRCM000007015</t>
  </si>
  <si>
    <t>KG582654</t>
  </si>
  <si>
    <t>JM289549</t>
  </si>
  <si>
    <t>AGOSTO 2019</t>
  </si>
  <si>
    <t>02/08/2019</t>
  </si>
  <si>
    <t>3C4BDCAB6KT856391</t>
  </si>
  <si>
    <t>EMPRESA AUTOMOTRIZ TOLUCA S.A. DE C.V.</t>
  </si>
  <si>
    <t>03/08/2019</t>
  </si>
  <si>
    <t>3C7WRAKT5KG575791</t>
  </si>
  <si>
    <t>3C4BDCAB6KT856388</t>
  </si>
  <si>
    <t>05/08/2019</t>
  </si>
  <si>
    <t>06/08/2019</t>
  </si>
  <si>
    <t>1C4HJXCG4KW674024</t>
  </si>
  <si>
    <t>OUT OF STOCK/CONTADO</t>
  </si>
  <si>
    <t>07/08/2019</t>
  </si>
  <si>
    <t>3C7WRAKT5KG575788</t>
  </si>
  <si>
    <t>3C7WRAKT2KG575795</t>
  </si>
  <si>
    <t>3C7WRAKT4KG575796</t>
  </si>
  <si>
    <t>3C7WRAKT5KG585902</t>
  </si>
  <si>
    <t>9BD578453KY332779</t>
  </si>
  <si>
    <t>9BD578456KY332792</t>
  </si>
  <si>
    <t>9BD578456KY332825</t>
  </si>
  <si>
    <t>9BD578453KY333141</t>
  </si>
  <si>
    <t>ML3AB26JXKH004901</t>
  </si>
  <si>
    <t>LA000003063</t>
  </si>
  <si>
    <t>GARCIA RABANALES SILVIO</t>
  </si>
  <si>
    <t>08/08/2019</t>
  </si>
  <si>
    <t>3C6SRADG9KG575697</t>
  </si>
  <si>
    <t>3C6SRADG0KG575698</t>
  </si>
  <si>
    <t>3C6SRADG2KG575704</t>
  </si>
  <si>
    <t>VISION MTX</t>
  </si>
  <si>
    <t>9BD197575H3328337</t>
  </si>
  <si>
    <t>2500 CREW CAB LARAMIE V8 8AT 4X4</t>
  </si>
  <si>
    <t>3C6SRBET1GG246503</t>
  </si>
  <si>
    <t>UNO SPORTING MANUAL</t>
  </si>
  <si>
    <t>9BD195A81G0770325</t>
  </si>
  <si>
    <t>RENEGADE LATITUDE 4X2</t>
  </si>
  <si>
    <t>988611566JK147373</t>
  </si>
  <si>
    <t>SOUL PE 2.0 EX T/A</t>
  </si>
  <si>
    <t>KNDJP3A49J7508740</t>
  </si>
  <si>
    <t>ML3AA28J6HH006296</t>
  </si>
  <si>
    <t>DODGE JOURNEY SXT + 7 LUJO</t>
  </si>
  <si>
    <t>3C4PDCCB1HT527870</t>
  </si>
  <si>
    <t>super importante</t>
  </si>
  <si>
    <t>FC - FIVE-BBVA</t>
  </si>
  <si>
    <t>MAA000031354</t>
  </si>
  <si>
    <t>MAA000031357</t>
  </si>
  <si>
    <t>VARGAS HINOJOSA DOLORES</t>
  </si>
  <si>
    <t>EMPLEADO CHRYSLER</t>
  </si>
  <si>
    <t>12/08/2019</t>
  </si>
  <si>
    <t>ML3AB26J4KH008507</t>
  </si>
  <si>
    <t>ML3AB26J0KH009668</t>
  </si>
  <si>
    <t>ML3AB26J3KH009969</t>
  </si>
  <si>
    <t>ML3AB56JXKH009646</t>
  </si>
  <si>
    <t>ZARCACCH0KX080977</t>
  </si>
  <si>
    <t>10/08/2019</t>
  </si>
  <si>
    <t>Total FIVE FIAT</t>
  </si>
  <si>
    <t>MAA000031360</t>
  </si>
  <si>
    <t>13/08/2019</t>
  </si>
  <si>
    <t>MAA000031361</t>
  </si>
  <si>
    <t>MAA000031358</t>
  </si>
  <si>
    <t>PICHARDO GARCIA NICOLAS</t>
  </si>
  <si>
    <t>MAA000031359</t>
  </si>
  <si>
    <t>14/08/2019</t>
  </si>
  <si>
    <t>UNO WAY MANUAL</t>
  </si>
  <si>
    <t>9BD195564F0695319</t>
  </si>
  <si>
    <t>CRUZE C AUTOMATICO C/CD</t>
  </si>
  <si>
    <t>KL1PJ5C57CK733260</t>
  </si>
  <si>
    <t>MAA000031345</t>
  </si>
  <si>
    <t>CARLOS EDUARDO AGUILAR GUADARRAMA</t>
  </si>
  <si>
    <t>PATRIOT SPORT L4 2.4 ATX</t>
  </si>
  <si>
    <t>1C4AJPAB4ED607240</t>
  </si>
  <si>
    <t>AA000002069</t>
  </si>
  <si>
    <t>OLGA FABIOLA RAMIREZ GONZALEZ</t>
  </si>
  <si>
    <t>DODGE NEON MANUAL</t>
  </si>
  <si>
    <t>ZFAADAAP6L6N85542</t>
  </si>
  <si>
    <t>ZFAADAAP2L6N87918</t>
  </si>
  <si>
    <t>ZFAADAARXL6N88445</t>
  </si>
  <si>
    <t>ZFAADAAR9L6N89358</t>
  </si>
  <si>
    <t>ZFAADAAR2L6N93168</t>
  </si>
  <si>
    <t>FRCM000006765,FPCM000004852, FPCM000004916</t>
  </si>
  <si>
    <t>31/07/2019,06/08/2019, 15/08/2019</t>
  </si>
  <si>
    <t>15/08/2019</t>
  </si>
  <si>
    <t>9BD341A64LY628349</t>
  </si>
  <si>
    <t>9BD341A65LY630630</t>
  </si>
  <si>
    <t>9BD265559L9137283</t>
  </si>
  <si>
    <t>9BD265558L9137498</t>
  </si>
  <si>
    <t>9BD578672KY291561</t>
  </si>
  <si>
    <t>1C4HJXEG9KW625656</t>
  </si>
  <si>
    <t>CUERNAVACA AUTOMOTRIZ, SA DE CV</t>
  </si>
  <si>
    <t>TA000001296</t>
  </si>
  <si>
    <t>20/08/2019</t>
  </si>
  <si>
    <t>9BD578673LY346066</t>
  </si>
  <si>
    <t>9BD57867XLY346145</t>
  </si>
  <si>
    <t>9BD578678LY346242</t>
  </si>
  <si>
    <t>9BD578673LY346245</t>
  </si>
  <si>
    <t>21/08/2019</t>
  </si>
  <si>
    <t>3C7WRBLJ2KG644343</t>
  </si>
  <si>
    <t>22/08/2019</t>
  </si>
  <si>
    <t>MAA000031394</t>
  </si>
  <si>
    <t>MA DOLORES PACHECO SAUCEDO</t>
  </si>
  <si>
    <t>FPCL000000616,FPCL000000702</t>
  </si>
  <si>
    <t>17/06/2019,22/08/2019</t>
  </si>
  <si>
    <t>ML3AB26J2KH008392</t>
  </si>
  <si>
    <t>TALLER</t>
  </si>
  <si>
    <t>MAA000031401</t>
  </si>
  <si>
    <t>HERNANDEZ VENCES GABRIEL</t>
  </si>
  <si>
    <t>MUÑOZ RIVERA GUILLERMO</t>
  </si>
  <si>
    <t>RODRIGUEZ VILLANUEVA ERICK GERARDO</t>
  </si>
  <si>
    <t>26/08/2019</t>
  </si>
  <si>
    <t>700 CLUB CAB</t>
  </si>
  <si>
    <t>ATTITUDE SE AT</t>
  </si>
  <si>
    <t>3C4BDCAB7GT128635</t>
  </si>
  <si>
    <t>ML3AB26J2GH000591</t>
  </si>
  <si>
    <t>DF</t>
  </si>
  <si>
    <t>9BD195A88K0865148</t>
  </si>
  <si>
    <t>9BD195A81K0865329</t>
  </si>
  <si>
    <t>9BD195A81K0865749</t>
  </si>
  <si>
    <t>CRUZ CRUZ MIGUEL ANGEL</t>
  </si>
  <si>
    <t>27/08/2019</t>
  </si>
  <si>
    <t>FRCA000001661</t>
  </si>
  <si>
    <t>3C7WRAKT1KG594340</t>
  </si>
  <si>
    <t>MAA000031412</t>
  </si>
  <si>
    <t>60 DN ENTREGA</t>
  </si>
  <si>
    <t>AA000002078</t>
  </si>
  <si>
    <t>28/08/2019</t>
  </si>
  <si>
    <t>9BD578675LY358302</t>
  </si>
  <si>
    <t>FC</t>
  </si>
  <si>
    <t>30 DN ENTREGA</t>
  </si>
  <si>
    <t>29/08/2019</t>
  </si>
  <si>
    <t>3C7WRAKT3KG595957</t>
  </si>
  <si>
    <t>ML3AB26J7KH008713</t>
  </si>
  <si>
    <t>ML3AB26J4KH008717</t>
  </si>
  <si>
    <t>ML3AB26J8KH008719</t>
  </si>
  <si>
    <t>ML3AB26J4KH008720</t>
  </si>
  <si>
    <t>ML3AB26J6KH008721</t>
  </si>
  <si>
    <t>ML3AB26J1KH008724</t>
  </si>
  <si>
    <t>ML3AB26J2KH009462</t>
  </si>
  <si>
    <t>988611535LK268176</t>
  </si>
  <si>
    <t>988611538LK268222</t>
  </si>
  <si>
    <t>988611538LK268236</t>
  </si>
  <si>
    <t>3C4NJCCB1LT110449</t>
  </si>
  <si>
    <t>9BD195567L0868214</t>
  </si>
  <si>
    <t>9BD195566L0868429</t>
  </si>
  <si>
    <t>ML3AB56J1LH000335</t>
  </si>
  <si>
    <t>ML3AB56J3LH000451</t>
  </si>
  <si>
    <t>ML3AB56J8LH000476</t>
  </si>
  <si>
    <t>ML3AB56J2LH000568</t>
  </si>
  <si>
    <t>ML3AB56J1LH000853</t>
  </si>
  <si>
    <t>9BD341A55LY633325</t>
  </si>
  <si>
    <t>9BD341A63LY629248</t>
  </si>
  <si>
    <t>9BD341A6XLY629702</t>
  </si>
  <si>
    <t>9BD265556L9136723</t>
  </si>
  <si>
    <t>9BD578672LY348410</t>
  </si>
  <si>
    <t>9BD578672LY348505</t>
  </si>
  <si>
    <t>9BD578672LY354210</t>
  </si>
  <si>
    <t>9BD578673LY354331</t>
  </si>
  <si>
    <t>9BD578674LY354998</t>
  </si>
  <si>
    <t>9BD578671LY355042</t>
  </si>
  <si>
    <t>9BD578678LY355099</t>
  </si>
  <si>
    <t>9BD578678LY355331</t>
  </si>
  <si>
    <t>9BD578674LY355357</t>
  </si>
  <si>
    <t>9BD578674LY357495</t>
  </si>
  <si>
    <t>9BD578679LY358402</t>
  </si>
  <si>
    <t>30/08/2019</t>
  </si>
  <si>
    <t>988611533LK268189</t>
  </si>
  <si>
    <t>988611533LK268337</t>
  </si>
  <si>
    <t>3C4NJCCBXLT110448</t>
  </si>
  <si>
    <t>ZFAADAAR0L6P01688</t>
  </si>
  <si>
    <t>9BD57867XLY358277</t>
  </si>
  <si>
    <t>31/08/2019</t>
  </si>
  <si>
    <t>CHEROKEE LIMITED FWD</t>
  </si>
  <si>
    <t>ASX SE +</t>
  </si>
  <si>
    <t>ACADIA D</t>
  </si>
  <si>
    <t>1C4PJLDB3HW610542</t>
  </si>
  <si>
    <t>2C4JC1AG9DR737190</t>
  </si>
  <si>
    <t>4A4LM61U4FE057053</t>
  </si>
  <si>
    <t>1GKKV9KD2FJ130321</t>
  </si>
  <si>
    <t>MAA000031435</t>
  </si>
  <si>
    <t>JOAQUIN MARTINEZ DURAN</t>
  </si>
  <si>
    <t>LA000003078</t>
  </si>
  <si>
    <t>PERALTA LOPEZ MARIA ANGELICA</t>
  </si>
  <si>
    <t>FRANCO RUIZ ROSA ALEJANDRA</t>
  </si>
  <si>
    <t>MAA000031440</t>
  </si>
  <si>
    <t>HINOJOSA VELASCO ALEJANDRO GERMAN</t>
  </si>
  <si>
    <t>MAA000031444</t>
  </si>
  <si>
    <t>GIL GARCIA JOSE FERNANDO</t>
  </si>
  <si>
    <t>OUT OF STOCK/ VACH</t>
  </si>
  <si>
    <t>FRCM000007423</t>
  </si>
  <si>
    <t>SEPTIEMBRE 2019</t>
  </si>
  <si>
    <t>MAA000031448</t>
  </si>
  <si>
    <t>CONTRERAS MENDEZ JUAN CARLOS</t>
  </si>
  <si>
    <t>MAA000031450</t>
  </si>
  <si>
    <t>CAMACHO ESTRELLA HARLEY GABRIEL</t>
  </si>
  <si>
    <t>MAA000031451</t>
  </si>
  <si>
    <t>MENDOZA NUÑEZ MIGUEL</t>
  </si>
  <si>
    <t>MAA000031452</t>
  </si>
  <si>
    <t>LA000003080</t>
  </si>
  <si>
    <t>AA000002091</t>
  </si>
  <si>
    <t>BERNAL GARDUÑO SANTA</t>
  </si>
  <si>
    <t>AA000002093</t>
  </si>
  <si>
    <t>GUARDIA GARDUÑO ISMAEL</t>
  </si>
  <si>
    <t>AA000002094</t>
  </si>
  <si>
    <t>GONZALEZ RAMIREZ MA CONCEPCION</t>
  </si>
  <si>
    <t>FRCL000000997</t>
  </si>
  <si>
    <t>SUPER IMPORTANTE</t>
  </si>
  <si>
    <t>04/09/2019</t>
  </si>
  <si>
    <t>FRCM000007470, FPCM000005112</t>
  </si>
  <si>
    <t>2C4RDGBG9KR748589</t>
  </si>
  <si>
    <t>ML3AB26J7KH009831</t>
  </si>
  <si>
    <t>ML3AB26J9KH009832</t>
  </si>
  <si>
    <t>REFINANCIADA</t>
  </si>
  <si>
    <t>05/09/2019</t>
  </si>
  <si>
    <t>3C4NJCCB6LT110446</t>
  </si>
  <si>
    <t>3C4NJCCB8LT110447</t>
  </si>
  <si>
    <t>PAGO A LA FINANCIERA</t>
  </si>
  <si>
    <t>REDUCCION</t>
  </si>
  <si>
    <t>AUTOANGAR S.A. DE C.V.</t>
  </si>
  <si>
    <t>11/09/2019</t>
  </si>
  <si>
    <t>09/09/2019</t>
  </si>
  <si>
    <t>ML3AB56J7LH001571</t>
  </si>
  <si>
    <t>ML3AB56J9LH002057</t>
  </si>
  <si>
    <t>FRCM000007434, FPCM000005170</t>
  </si>
  <si>
    <t>31/08/2019, 11/09/2019</t>
  </si>
  <si>
    <t>SAN RAFAEL</t>
  </si>
  <si>
    <t>3C7WRAHT3KG651791</t>
  </si>
  <si>
    <t>3C7WRAHT5KG651792</t>
  </si>
  <si>
    <t>3C7WRAHT9KG657952</t>
  </si>
  <si>
    <t>3C7WRAHT0KG657953</t>
  </si>
  <si>
    <t>3C7WRAHT2KG657954</t>
  </si>
  <si>
    <t>1C4HJXFG0LW117981</t>
  </si>
  <si>
    <t>1C4HJXCG7KW587234</t>
  </si>
  <si>
    <t>AUTOMOTRIZ LAGUNERA, S.A. DE C.V.</t>
  </si>
  <si>
    <t>CHAVEZ PEDRAZA JAVIER</t>
  </si>
  <si>
    <t>FC - PROPIA-BBVA</t>
  </si>
  <si>
    <t>MAA000031476</t>
  </si>
  <si>
    <t>SERVICIO Y TECNOLOGIA ESPECIALIZADA S.A. DE C.V.</t>
  </si>
  <si>
    <t>MAA000031477</t>
  </si>
  <si>
    <t>JCDECAUX OUT OF HOME MEXICO</t>
  </si>
  <si>
    <t>TORRES CISNEROS SERGIO MIGUEL</t>
  </si>
  <si>
    <t>MAA000031486</t>
  </si>
  <si>
    <t>ZARATE SILVA VICTOR HUGO</t>
  </si>
  <si>
    <t>FLORIN TORRES MARIA ALEJANDRA</t>
  </si>
  <si>
    <t>MAA000031487</t>
  </si>
  <si>
    <t>MAA000031488</t>
  </si>
  <si>
    <t>MAA000031489</t>
  </si>
  <si>
    <t>MAA000031490</t>
  </si>
  <si>
    <t>MAA000031491</t>
  </si>
  <si>
    <t>LA000003083</t>
  </si>
  <si>
    <t>LOPEZ RIVERA YADIRA</t>
  </si>
  <si>
    <t>12/09/2019</t>
  </si>
  <si>
    <t>13/09/2019</t>
  </si>
  <si>
    <t>9BD265555K9119071</t>
  </si>
  <si>
    <t>9BD265558K9121378</t>
  </si>
  <si>
    <t>9BD265557K9121131</t>
  </si>
  <si>
    <t>9BD265550K9121245</t>
  </si>
  <si>
    <t>DISTRIBUIDORA DE ACAPULCO, S.A. DE C.V.</t>
  </si>
  <si>
    <t>MAA000031478</t>
  </si>
  <si>
    <t>MAA000031479</t>
  </si>
  <si>
    <t>MAA000031480</t>
  </si>
  <si>
    <t>MAA000031481</t>
  </si>
  <si>
    <t>MAA000031498</t>
  </si>
  <si>
    <t>03/09/2019</t>
  </si>
  <si>
    <t>GRAND CHEROKEE LIMITED 4X4 8 CIL BLINDADA</t>
  </si>
  <si>
    <t>JOURNEY SXT  + 5</t>
  </si>
  <si>
    <t>DURANGO</t>
  </si>
  <si>
    <t>2500 REG CAB HEMI SPORT V8 6ATX 4X2</t>
  </si>
  <si>
    <t>SONIC F LTZ</t>
  </si>
  <si>
    <t>200C ADVANCE</t>
  </si>
  <si>
    <t>GRAND I10 4 PUERTAS GL MID AUTOMATICO 4</t>
  </si>
  <si>
    <t>HIGHLANDER LE</t>
  </si>
  <si>
    <t>GIULIETTA 1.8L TURBO</t>
  </si>
  <si>
    <t>CHALLENGER SEDAN AUTOMATICO</t>
  </si>
  <si>
    <t>JEEP RENEGADE AUTOMATICA, 1.8L, 4 CIL</t>
  </si>
  <si>
    <t>1C4RJFBT0HC618217</t>
  </si>
  <si>
    <t>3C4PDCCB2DT726968</t>
  </si>
  <si>
    <t>1C4NJCCB6GD622915</t>
  </si>
  <si>
    <t>1C4SDHCT8GC441949</t>
  </si>
  <si>
    <t>3C6JRAAT8HG544916</t>
  </si>
  <si>
    <t>3G1J85DCXGS588984</t>
  </si>
  <si>
    <t>1C3CCCCG6FN550270</t>
  </si>
  <si>
    <t>MALA74BC2HM189248</t>
  </si>
  <si>
    <t>5TDZKRFH8GS176692</t>
  </si>
  <si>
    <t>ZARCABC47H7451648</t>
  </si>
  <si>
    <t>ZARBACCA5GX047740</t>
  </si>
  <si>
    <t>2C3CDZAG6HH650366</t>
  </si>
  <si>
    <t>98861156XJK150549</t>
  </si>
  <si>
    <t>9BD578671GB090812</t>
  </si>
  <si>
    <t>17/09/2019</t>
  </si>
  <si>
    <t>JEEP GRAND CHEROKEE LIMITED 3.6L V6 4X2</t>
  </si>
  <si>
    <t>1C4RJFBT6LC105790</t>
  </si>
  <si>
    <t>1C4RJEBG9LC113704</t>
  </si>
  <si>
    <t>ZFACDACP8L6P09915</t>
  </si>
  <si>
    <t>INTERCAMBIO-FIVE</t>
  </si>
  <si>
    <t>FRCL000001010, FPCL000000735</t>
  </si>
  <si>
    <t>14/08/2019, 18/09/2019</t>
  </si>
  <si>
    <t>FPCL000000734</t>
  </si>
  <si>
    <t>FPCM000005218</t>
  </si>
  <si>
    <t>18/09/2019</t>
  </si>
  <si>
    <t>2C4RDGBG5KR758133</t>
  </si>
  <si>
    <t>988611532LK274923</t>
  </si>
  <si>
    <t>1C4HJXCGXLW130080</t>
  </si>
  <si>
    <t>MAA000031506</t>
  </si>
  <si>
    <t>LAZCANO PEREZ LUIS ALBERTO</t>
  </si>
  <si>
    <t>FRCM000007410, FPCM000005267</t>
  </si>
  <si>
    <t>31/08/2019,21/09/2019</t>
  </si>
  <si>
    <t>FRCM000007645, FRCM000007646, FRCM000007647</t>
  </si>
  <si>
    <t>20/09/2019</t>
  </si>
  <si>
    <t>1C4HJXFG3LW117988</t>
  </si>
  <si>
    <t>19/09/2019</t>
  </si>
  <si>
    <t>CIVIC LX L4 MT</t>
  </si>
  <si>
    <t>X-TRAIL 5 PUERTAS EXCLUSIVE 2 ROW</t>
  </si>
  <si>
    <t>COMPASS LIMITED 4X2 PREMIUM</t>
  </si>
  <si>
    <t>500 TRENDY AUTOMATICO</t>
  </si>
  <si>
    <t>A6 3.0 TFSI 310 HP S TRONIC QUATTRO</t>
  </si>
  <si>
    <t>19XFB2552FE602127</t>
  </si>
  <si>
    <t>JN8BT27T0FW010596</t>
  </si>
  <si>
    <t>3C4NJCCB1JT165920</t>
  </si>
  <si>
    <t>3C3AFFARXFT528695</t>
  </si>
  <si>
    <t>WAUBGC4G7DN015386</t>
  </si>
  <si>
    <t>Brayan Estrada Quevedo</t>
  </si>
  <si>
    <t>MAA000031510</t>
  </si>
  <si>
    <t>FUENTES VAZQUEZ JOEL CESAR</t>
  </si>
  <si>
    <t>21/09/2019</t>
  </si>
  <si>
    <t>ML3AB26J2KH007792</t>
  </si>
  <si>
    <t>AA000002098</t>
  </si>
  <si>
    <t>MONTIEL LOPEZ LORENA</t>
  </si>
  <si>
    <t>MAA000031513</t>
  </si>
  <si>
    <t>AHUATZIN HUERTA MARIA GUADALUPE</t>
  </si>
  <si>
    <t>VARGAS MATILDE NESTOR JULIAN</t>
  </si>
  <si>
    <t>LA000003090</t>
  </si>
  <si>
    <t>LOPEZ GRANADOS MARIA DEL CARMEN</t>
  </si>
  <si>
    <t>LA000003091</t>
  </si>
  <si>
    <t>RODRIGUEZ CANALES CLOTILDE</t>
  </si>
  <si>
    <t>23/09/2019</t>
  </si>
  <si>
    <t>GASOLINERIA GALAHI SA DE CV</t>
  </si>
  <si>
    <t>FRCA000001749</t>
  </si>
  <si>
    <t>FRCL000001083, FRCL000001087</t>
  </si>
  <si>
    <t>21,23/09/2019</t>
  </si>
  <si>
    <t>FRCL000001084, FRCL000001086</t>
  </si>
  <si>
    <t>FRCM000006971, FPCM000005274</t>
  </si>
  <si>
    <t>31/07/2019, 23/09/2019</t>
  </si>
  <si>
    <t>PROP-FC</t>
  </si>
  <si>
    <t>MAA000031520</t>
  </si>
  <si>
    <t>JOSE LUIS VEGA DUARTE</t>
  </si>
  <si>
    <t>ALEJANDRO CARRANZA ALONSO</t>
  </si>
  <si>
    <t>MAA000031523</t>
  </si>
  <si>
    <t>MOHAMMAD FAROOQ MAHIUDDIN DIN</t>
  </si>
  <si>
    <t>MAA000031525</t>
  </si>
  <si>
    <t>FRANCO MENDIETA ALEJANDRO</t>
  </si>
  <si>
    <t>LA000003093</t>
  </si>
  <si>
    <t>GUTIERREZ NUÑEZ JENNIFER</t>
  </si>
  <si>
    <t>FRCM000007573, FRCM000007730</t>
  </si>
  <si>
    <t>24/09/2019</t>
  </si>
  <si>
    <t>JEEP WRANGLER MILD-HYBRID 2L 4C NIGHT EAGLE</t>
  </si>
  <si>
    <t>1C4RJEBGXLC145190</t>
  </si>
  <si>
    <t>1C4HJXEN1LW125250</t>
  </si>
  <si>
    <t>3C6SRADT2KG523132</t>
  </si>
  <si>
    <t>MAA000031526</t>
  </si>
  <si>
    <t>MORENO FLORES GUADALUPE</t>
  </si>
  <si>
    <t>MAA000031530</t>
  </si>
  <si>
    <t>PEÑA MARTINEZ HUGO</t>
  </si>
  <si>
    <t>MAA000031531</t>
  </si>
  <si>
    <t>RICHARDSON RODRIGUEZ RICARDO GUILLERMO</t>
  </si>
  <si>
    <t>LA000003095</t>
  </si>
  <si>
    <t>25/09/2019</t>
  </si>
  <si>
    <t>3C7WRAKT6KG575797</t>
  </si>
  <si>
    <t>3C4NJCCB6KT819926</t>
  </si>
  <si>
    <t>988611565KK256148</t>
  </si>
  <si>
    <t>MAA000031527</t>
  </si>
  <si>
    <t>PEREZ SILVERIO CATARINO</t>
  </si>
  <si>
    <t>FRCM000007707, FPCM000005287</t>
  </si>
  <si>
    <t>24,25/09/2019</t>
  </si>
  <si>
    <t>FRCM000007729</t>
  </si>
  <si>
    <t>ENTREGADA/correo 26/09/2019</t>
  </si>
  <si>
    <t>CARSO</t>
  </si>
  <si>
    <t>INTERCAMBIO-BBVA</t>
  </si>
  <si>
    <t>MAA000031532</t>
  </si>
  <si>
    <t>26/09/2019</t>
  </si>
  <si>
    <t>MAA000031534</t>
  </si>
  <si>
    <t>JULIO ALEJANDRO GUZMAN MEDINA</t>
  </si>
  <si>
    <t>MAA000031536</t>
  </si>
  <si>
    <t>FLORES CARDOSO CESAR HUMBERTO</t>
  </si>
  <si>
    <t>FRCM000007756</t>
  </si>
  <si>
    <t>FRCM000007728</t>
  </si>
  <si>
    <t>RAM 1500MIL-HYBRID LTD BLACK PACKAGE CREW CAB 4X4</t>
  </si>
  <si>
    <t>ML3AB26J3KH008546</t>
  </si>
  <si>
    <t>ML3AB26J5KH008547</t>
  </si>
  <si>
    <t>ML3AB26J7KH008548</t>
  </si>
  <si>
    <t>ML3AB26J9KH008549</t>
  </si>
  <si>
    <t>ML3AB26J5KH008550</t>
  </si>
  <si>
    <t>ML3AB26J6KH009075</t>
  </si>
  <si>
    <t>ML3AB26J8KH009076</t>
  </si>
  <si>
    <t>ML3AB26JXKH009077</t>
  </si>
  <si>
    <t>ML3AB26J1KH009078</t>
  </si>
  <si>
    <t>ML3AB26J3KH009079</t>
  </si>
  <si>
    <t>ML3AB26J4KH009401</t>
  </si>
  <si>
    <t>ML3AB26J6KH009402</t>
  </si>
  <si>
    <t>ML3AB26J8KH009403</t>
  </si>
  <si>
    <t>ML3AB26JXKH009404</t>
  </si>
  <si>
    <t>ML3AB26J1KH009405</t>
  </si>
  <si>
    <t>1C6SRFHT8LN139761</t>
  </si>
  <si>
    <t>MAA000031537</t>
  </si>
  <si>
    <t>REA ORDOÑEZ LUIS</t>
  </si>
  <si>
    <t>MAA000031538</t>
  </si>
  <si>
    <t>27/09/2019</t>
  </si>
  <si>
    <t>MAA000031539</t>
  </si>
  <si>
    <t>ARRENDADORA INTEGRAL SUMMA SA DE CV</t>
  </si>
  <si>
    <t>VELASQUEZ JARDON FELIPE</t>
  </si>
  <si>
    <t>OUT OF STOCK/VACH</t>
  </si>
  <si>
    <t>OTROS DISTRIBUIDORES INTERCAMBIOS ALFA</t>
  </si>
  <si>
    <t>UNIDADES PROPIAS EN PISO PARA NO REFINANCIAR</t>
  </si>
  <si>
    <t>UNIDADES PROPIAS EN PISO PARA REFINANCIAR</t>
  </si>
  <si>
    <t>JEEP WRANGLER UNLIMITED SAHARA ETORQUE MILD-HYBRID I4 4X4</t>
  </si>
  <si>
    <t>FIAT PALIO ADVENTURE MANUAL</t>
  </si>
  <si>
    <t>1C4HJXEN5LW124442</t>
  </si>
  <si>
    <t>9BD341A57LY633097</t>
  </si>
  <si>
    <t>9BD341A56LY633205</t>
  </si>
  <si>
    <t>9BD37357XL5107918</t>
  </si>
  <si>
    <t>1C6SRFKT9KN856869</t>
  </si>
  <si>
    <t>AUTOS DEL NORTE SA DE CV</t>
  </si>
  <si>
    <t>28/09/2019</t>
  </si>
  <si>
    <t>1C6SRFHTXKN866186</t>
  </si>
  <si>
    <t>3C4PDCGB1KT718061</t>
  </si>
  <si>
    <t>MAA000031542</t>
  </si>
  <si>
    <t>MAA000031543</t>
  </si>
  <si>
    <t>MAA000031544</t>
  </si>
  <si>
    <t>EDGAR MUCIÑO BERNAL</t>
  </si>
  <si>
    <t>MAA000031546</t>
  </si>
  <si>
    <t>NUÑEZ ROMERO POMPEYA</t>
  </si>
  <si>
    <t>RIVERA ESQUIVEL MARCO ANTONIO</t>
  </si>
  <si>
    <t>26/09/219</t>
  </si>
  <si>
    <t>LA000003098</t>
  </si>
  <si>
    <t>PAGO DE ENCANCHE</t>
  </si>
  <si>
    <t>FRCL000001098</t>
  </si>
  <si>
    <t>FPCL000000752, LCR000002423, FRCL000001080</t>
  </si>
  <si>
    <t>FRCM000007332, FRCM000007679, FPCM000005288, FPCM000005304</t>
  </si>
  <si>
    <t>23,25,26/09/2019</t>
  </si>
  <si>
    <t>FRCM000007460</t>
  </si>
  <si>
    <t>FRCM000007787</t>
  </si>
  <si>
    <t>FRCM000007803</t>
  </si>
  <si>
    <t>FRCM000007802</t>
  </si>
  <si>
    <t>FRCM000007656, FPCM000005302, FPCM000005326</t>
  </si>
  <si>
    <t>21,26,27/09/2019</t>
  </si>
  <si>
    <t>29/09/2019</t>
  </si>
  <si>
    <t>3C7WRAKT9KG575793</t>
  </si>
  <si>
    <t>2C4RDGDG3KR757415</t>
  </si>
  <si>
    <t>1C4RJEBG3LC145189</t>
  </si>
  <si>
    <t>1C4RJEBG1LC145191</t>
  </si>
  <si>
    <t>MAA000031547</t>
  </si>
  <si>
    <t>IGLESIAS IGLESIAS HERIBERTO</t>
  </si>
  <si>
    <t>30/09/2019</t>
  </si>
  <si>
    <t>FIAT UNO LIKE MANUAL</t>
  </si>
  <si>
    <t>MONTERO LIMITED AUT</t>
  </si>
  <si>
    <t>3C4NJCCB8KT832340</t>
  </si>
  <si>
    <t>3C4NJCCBXKT832341</t>
  </si>
  <si>
    <t>ML3AB26J4KH008054</t>
  </si>
  <si>
    <t>ML3AB26J7KH008274</t>
  </si>
  <si>
    <t>ML3AB26J4KH008569</t>
  </si>
  <si>
    <t>ML3AB26J0KH008570</t>
  </si>
  <si>
    <t>ML3AB26J2KH008571</t>
  </si>
  <si>
    <t>ML3AB26J4KH008572</t>
  </si>
  <si>
    <t>ML3AB26J6KH008573</t>
  </si>
  <si>
    <t>ML3AB26J8KH008574</t>
  </si>
  <si>
    <t>ML3AB26J4KH009088</t>
  </si>
  <si>
    <t>ML3AB26J6KH009089</t>
  </si>
  <si>
    <t>ML3AB26J2KH009090</t>
  </si>
  <si>
    <t>ML3AB26J6KH009447</t>
  </si>
  <si>
    <t>ML3AB26J4KH009527</t>
  </si>
  <si>
    <t>ML3AB26J6KH009528</t>
  </si>
  <si>
    <t>ML3AB26J8KH009529</t>
  </si>
  <si>
    <t>ML3AB26J4KH009530</t>
  </si>
  <si>
    <t>ML3AB26J6KH009531</t>
  </si>
  <si>
    <t>ML3AB26J8KH009532</t>
  </si>
  <si>
    <t>1C4RJEBG3LC145192</t>
  </si>
  <si>
    <t>9BD195A88L0868441</t>
  </si>
  <si>
    <t>9BD195A88L0870481</t>
  </si>
  <si>
    <t>9BD195A88L0870495</t>
  </si>
  <si>
    <t>9BD195A83L0870761</t>
  </si>
  <si>
    <t>9BD195A8XL0871616</t>
  </si>
  <si>
    <t>9BD195529L0871158</t>
  </si>
  <si>
    <t>9BD19552XL0874571</t>
  </si>
  <si>
    <t>9BD19552XL0874621</t>
  </si>
  <si>
    <t>9BD195561L0868578</t>
  </si>
  <si>
    <t>9BD195567L0868617</t>
  </si>
  <si>
    <t>9BD195560L0870757</t>
  </si>
  <si>
    <t>ML3AB26J9LH000307</t>
  </si>
  <si>
    <t>ML3AB26J3LH000870</t>
  </si>
  <si>
    <t>ML3AB26J4LH000912</t>
  </si>
  <si>
    <t>ML3AB26J0LH000938</t>
  </si>
  <si>
    <t>ML3AB26JXLH001711</t>
  </si>
  <si>
    <t>ML3AB56J1LH000299</t>
  </si>
  <si>
    <t>ML3AB56JXLH001676</t>
  </si>
  <si>
    <t>ML3AB56J3LH001826</t>
  </si>
  <si>
    <t>9BD265557L9139887</t>
  </si>
  <si>
    <t>9BD265552L9140008</t>
  </si>
  <si>
    <t>9BD265556L9140092</t>
  </si>
  <si>
    <t>9BD578457LY354480</t>
  </si>
  <si>
    <t>9BD578451LY354507</t>
  </si>
  <si>
    <t>9BD578455LY354560</t>
  </si>
  <si>
    <t>9BD578459LY356974</t>
  </si>
  <si>
    <t>9BD578453LY357280</t>
  </si>
  <si>
    <t>9BD578454LY357319</t>
  </si>
  <si>
    <t>9BD578451LY361456</t>
  </si>
  <si>
    <t>9BD578454LY361726</t>
  </si>
  <si>
    <t>9BD578458LY361731</t>
  </si>
  <si>
    <t>9BD578453LY362219</t>
  </si>
  <si>
    <t>9BD578455LY362223</t>
  </si>
  <si>
    <t>9BD578459LY362547</t>
  </si>
  <si>
    <t>9BD578459LY363150</t>
  </si>
  <si>
    <t>9BD578455LY363307</t>
  </si>
  <si>
    <t>9BD578453LY363354</t>
  </si>
  <si>
    <t>JE4NE51T8KJ000764</t>
  </si>
  <si>
    <t>JE4NE51T9KJ000773</t>
  </si>
  <si>
    <t>JE4NE51T0KJ000791</t>
  </si>
  <si>
    <t>MAA000031549</t>
  </si>
  <si>
    <t>MUNICIPIO DE TEMOAYA</t>
  </si>
  <si>
    <t>MAA000031551</t>
  </si>
  <si>
    <t>MAA000031552</t>
  </si>
  <si>
    <t>LARA MENDOZA EMMANUEL</t>
  </si>
  <si>
    <t>MAA000031553</t>
  </si>
  <si>
    <t>DEL VALLE ROJAS NANCY OFELIA</t>
  </si>
  <si>
    <t>MAA000031554</t>
  </si>
  <si>
    <t>FEDERACION MEXICANA DE FUTBOL ASOCIACION A.C.</t>
  </si>
  <si>
    <t>MAA000031555</t>
  </si>
  <si>
    <t>FLORES SALGUERO SOFIA</t>
  </si>
  <si>
    <t>MAA000031556</t>
  </si>
  <si>
    <t>BECERRIL VALDES LINO ISMAEL</t>
  </si>
  <si>
    <t>MAA000031557</t>
  </si>
  <si>
    <t>MAA000031559</t>
  </si>
  <si>
    <t>CA SOLUCIONES FINANCIERAS S.A DE C.V</t>
  </si>
  <si>
    <t>MAA000031560</t>
  </si>
  <si>
    <t>MAA000031561</t>
  </si>
  <si>
    <t>ROMERO NAVA FRANCISCO JAVIER</t>
  </si>
  <si>
    <t>MAA000031562</t>
  </si>
  <si>
    <t>VILCHIS NAVA CARLOS EDUARDO</t>
  </si>
  <si>
    <t>MAA000031563</t>
  </si>
  <si>
    <t>CANTERO TORRES TERESA</t>
  </si>
  <si>
    <t>MAA000031564</t>
  </si>
  <si>
    <t>MAA000031565</t>
  </si>
  <si>
    <t>SOSA BUSTAMANTE RAUL GERARDO</t>
  </si>
  <si>
    <t>MAA000031566</t>
  </si>
  <si>
    <t>JOSE TRINIDAD BEDOYA SANTOS</t>
  </si>
  <si>
    <t>MAA000031567</t>
  </si>
  <si>
    <t>PROMOTORA DEL DESARROLLO DE AMERICA LATINA SA DE CV</t>
  </si>
  <si>
    <t>MAA000031568</t>
  </si>
  <si>
    <t>MAA000031569</t>
  </si>
  <si>
    <t>MAA000031570</t>
  </si>
  <si>
    <t>MAA000031571</t>
  </si>
  <si>
    <t>MAA000031572</t>
  </si>
  <si>
    <t>MAA000031573</t>
  </si>
  <si>
    <t xml:space="preserve">FLOTILLA ESPECIAL </t>
  </si>
  <si>
    <t>LA000003099</t>
  </si>
  <si>
    <t>ROJAS GONZALEZ MARTHA</t>
  </si>
  <si>
    <t>LA000003100</t>
  </si>
  <si>
    <t>SANDOVAL MARTINEZ PAOLA</t>
  </si>
  <si>
    <t>LA000003101</t>
  </si>
  <si>
    <t>PAHUAMBA XINGU JOSE LUIS</t>
  </si>
  <si>
    <t>LA000003102</t>
  </si>
  <si>
    <t>HUGO SANCHEZ RUBIO</t>
  </si>
  <si>
    <t>LCR000002427, FRCL000001105, FRCL000001104</t>
  </si>
  <si>
    <t>FRCL000001096, FRCL000001100, FRCL000001101</t>
  </si>
  <si>
    <t>26,27/09/2019</t>
  </si>
  <si>
    <t>FPCM000005400</t>
  </si>
  <si>
    <t>FRCM000007834, FRCM000007833</t>
  </si>
  <si>
    <t>FRCM000007709, FRCM000007710, FPCM000005343</t>
  </si>
  <si>
    <t>24, 30/09/2019</t>
  </si>
  <si>
    <t>FRCM000007669</t>
  </si>
  <si>
    <t>FRCM000007721</t>
  </si>
  <si>
    <t>NORIEGA BOJACA LUIS ANTONIO</t>
  </si>
  <si>
    <t>EMPLEADO CHRYSLER/VACH</t>
  </si>
  <si>
    <t>FRCM000007821, FRCM000007823</t>
  </si>
  <si>
    <t>FRCM000007745</t>
  </si>
  <si>
    <t>FRCM000007687, FRCM000007732</t>
  </si>
  <si>
    <t>FRCM000007701, FRCM000007702, FRCM000007703, FRCM000007704, FRCM000007855, FRCM000007856</t>
  </si>
  <si>
    <t>FRCM000007644, FRCM000007659, FRCM000007722, FPCM000005333</t>
  </si>
  <si>
    <t>25,30/09/2019</t>
  </si>
  <si>
    <t>OK</t>
  </si>
  <si>
    <t>bbva</t>
  </si>
  <si>
    <t>CX9 IGT AWD</t>
  </si>
  <si>
    <t>JM3TCBDY8H0132068</t>
  </si>
  <si>
    <t>NEON SXT PLUS</t>
  </si>
  <si>
    <t>ZFACDACP8H6F09594</t>
  </si>
  <si>
    <t>MAZDA6 G I4 GRAND TOURING PLUS SKYACTIV 6AT</t>
  </si>
  <si>
    <t>JM1GJ1W32G1437439</t>
  </si>
  <si>
    <t>CRV EX CVT</t>
  </si>
  <si>
    <t>1HGRW5830HL900118</t>
  </si>
  <si>
    <t>PROMASTER RAPID</t>
  </si>
  <si>
    <t>9BD265558J9099574</t>
  </si>
  <si>
    <t>X2CA 1 X-TRAIL</t>
  </si>
  <si>
    <t>JN8BT27T4GW512772</t>
  </si>
  <si>
    <t>MAZDA 5 SPORT 5 PUERTAS T/A</t>
  </si>
  <si>
    <t>JM1CW2BL7C0121871</t>
  </si>
  <si>
    <t>Q5 SQ5 TFSI QUATTRO</t>
  </si>
  <si>
    <t>3U5AGDFY1K2081489</t>
  </si>
  <si>
    <t>TIGUAN-HIGHLINE DSG</t>
  </si>
  <si>
    <t>3VVJA65N4JM046794</t>
  </si>
  <si>
    <t>IBIZA STYLE FULL LINK</t>
  </si>
  <si>
    <t>VSSBB26J9GR106501</t>
  </si>
  <si>
    <t>NEON SXT AT</t>
  </si>
  <si>
    <t>ZFAADABP7H6C90054</t>
  </si>
  <si>
    <t>MAA000031512</t>
  </si>
  <si>
    <t>OMAR SAUL CRUZ GARCIA</t>
  </si>
  <si>
    <t>MAA000031540</t>
  </si>
  <si>
    <t>JORGE CASILLAS ROMERO</t>
  </si>
  <si>
    <t>MAA000031545</t>
  </si>
  <si>
    <t>MONICA JUAREZ CEBALLOS</t>
  </si>
  <si>
    <t>MAA000031550</t>
  </si>
  <si>
    <t>MARCO ANTONIO GONZALEZ VEGA</t>
  </si>
  <si>
    <t>MAA000031558</t>
  </si>
  <si>
    <t>GRUPO EMPRESARIAL INDESIMME S.A. DE C.V.</t>
  </si>
  <si>
    <t>OCTUBRE 2019</t>
  </si>
  <si>
    <t>MAA000031575</t>
  </si>
  <si>
    <t>ECOLAB HOLDINGS MEXICO S DE RL DE CV</t>
  </si>
  <si>
    <t>MAA000031576</t>
  </si>
  <si>
    <t>MAA000031577</t>
  </si>
  <si>
    <t>CARDEÑA RODRIGUEZ JESUS BENJAMIN</t>
  </si>
  <si>
    <t>MAA000031579</t>
  </si>
  <si>
    <t>LA000003103</t>
  </si>
  <si>
    <t>ZALDIVAR GONZALEZ MARTHA EUGENIA</t>
  </si>
  <si>
    <t xml:space="preserve">OUT OF STOCK </t>
  </si>
  <si>
    <t>PEÑA MENDEZ VERONICA YAZMIN</t>
  </si>
  <si>
    <t>FRCM000007868</t>
  </si>
  <si>
    <t>FRCM000007556, FRCM000007568, FPCM000005403</t>
  </si>
  <si>
    <t>13/09/2019, 01/10/2019</t>
  </si>
  <si>
    <t>3C4PDCGB1KT757832</t>
  </si>
  <si>
    <t>ML3AB26J0KH006771</t>
  </si>
  <si>
    <t>ML3AB26J8KH005741</t>
  </si>
  <si>
    <t>1C4RJEBG1KC805440</t>
  </si>
  <si>
    <t>9BD26555XL9136854</t>
  </si>
  <si>
    <t>1C4HJXEG4KW647290</t>
  </si>
  <si>
    <t>FC - FIVE- BBVA</t>
  </si>
  <si>
    <t>MAA000031580</t>
  </si>
  <si>
    <t>JOSE JAUDIEL SOLORZANO SANCHEZ</t>
  </si>
  <si>
    <t>MAA000031581</t>
  </si>
  <si>
    <t>02/10/2019</t>
  </si>
  <si>
    <t>MAA000031582</t>
  </si>
  <si>
    <t>CONTRERAS DE LA CRUZ ROSA</t>
  </si>
  <si>
    <t>AA000002099</t>
  </si>
  <si>
    <t>OMAR DESIDERIO CRUZ</t>
  </si>
  <si>
    <t>LOPEZ CRUZ JESUS ALFREDO</t>
  </si>
  <si>
    <t>FRCL000001103, FPCL000000758</t>
  </si>
  <si>
    <t>28/09/2019, 02/10/2019</t>
  </si>
  <si>
    <t>FRCM000007882</t>
  </si>
  <si>
    <t>FRCM000007627, FRCM000007658, FRCM000007662, FRCM000007809, FPCM000005406, FPCM000005407, FPCM000005408, FPCM000005414, FPCM000005415</t>
  </si>
  <si>
    <t>30/09/2019, 02/10/2019</t>
  </si>
  <si>
    <t>FRCM000007859</t>
  </si>
  <si>
    <t>KW674024</t>
  </si>
  <si>
    <t>KH003906</t>
  </si>
  <si>
    <t>L9137283</t>
  </si>
  <si>
    <t>L6N87918</t>
  </si>
  <si>
    <t>KH009668</t>
  </si>
  <si>
    <t>KH009861</t>
  </si>
  <si>
    <t>L9137498</t>
  </si>
  <si>
    <t>LH000335</t>
  </si>
  <si>
    <t>LY346066</t>
  </si>
  <si>
    <t>KH008720</t>
  </si>
  <si>
    <t>KH008717</t>
  </si>
  <si>
    <t>L6N93168</t>
  </si>
  <si>
    <t>KH009784</t>
  </si>
  <si>
    <t>KT835333</t>
  </si>
  <si>
    <t>KH003382</t>
  </si>
  <si>
    <t>KY332792</t>
  </si>
  <si>
    <t>KC673646</t>
  </si>
  <si>
    <t>L0868429</t>
  </si>
  <si>
    <t>LY629248</t>
  </si>
  <si>
    <t>K5107324</t>
  </si>
  <si>
    <t>LY633325</t>
  </si>
  <si>
    <t>KY619052</t>
  </si>
  <si>
    <t>PAGO</t>
  </si>
  <si>
    <t>MAA000031584</t>
  </si>
  <si>
    <t>GUILLERMO PRIETO Y COMPAÑÍA., S.A. DE C.V.</t>
  </si>
  <si>
    <t>03/10/2019</t>
  </si>
  <si>
    <t>MAA000031585</t>
  </si>
  <si>
    <t>MAA000031586</t>
  </si>
  <si>
    <t>MAA000031588</t>
  </si>
  <si>
    <t>GONZALEZ TAPIA RAUL</t>
  </si>
  <si>
    <t>MAA000031590</t>
  </si>
  <si>
    <t>GRUPO INDUSTRIAL DE MANTENIMIENTO Y MAQUINADOS ORTIZ S.A. DE C.V.</t>
  </si>
  <si>
    <t>FRCA000001693, FPCA000000591, FPCA000000594, FPCA000000595</t>
  </si>
  <si>
    <t>03,25,27/09/2019, 03/10/2019</t>
  </si>
  <si>
    <t>FRCM000007890</t>
  </si>
  <si>
    <t>FRCM000007884, FRCM000007885</t>
  </si>
  <si>
    <t>FRCM000007892</t>
  </si>
  <si>
    <t>FRCM000007661, FRCM000007757, FPCM000005421</t>
  </si>
  <si>
    <t>26/09/2019, 03/10/2019</t>
  </si>
  <si>
    <t>FRCM000007854, FPCM000005420</t>
  </si>
  <si>
    <t>30/09/2019, 03/10/2019</t>
  </si>
  <si>
    <t>FRCM000007891</t>
  </si>
  <si>
    <t>FRCM000007893</t>
  </si>
  <si>
    <t>FRCM000007797, FPCM000005422, FPCM000005424</t>
  </si>
  <si>
    <t>LN139761</t>
  </si>
  <si>
    <t>LW125250</t>
  </si>
  <si>
    <t>KH008713</t>
  </si>
  <si>
    <t>G0770325</t>
  </si>
  <si>
    <t>GD681780</t>
  </si>
  <si>
    <t>KX080901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</si>
</sst>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$-80A]#,##0.00"/>
    <numFmt numFmtId="168" formatCode="_-* #,##0.00\ &quot;€&quot;_-;\-* #,##0.00\ &quot;€&quot;_-;_-* &quot;-&quot;??\ &quot;€&quot;_-;_-@_-"/>
    <numFmt numFmtId="169" formatCode="#,##0&quot; $&quot;;[Red]\-#,##0&quot; $&quot;"/>
    <numFmt numFmtId="170" formatCode="&quot;$&quot;#,##0\ ;\(&quot;$&quot;#,##0\)"/>
  </numFmts>
  <fonts count="1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4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4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7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Calibri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</font>
    <font>
      <b/>
      <sz val="14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i/>
      <sz val="8"/>
      <name val="Arial"/>
      <family val="2"/>
    </font>
    <font>
      <sz val="10"/>
      <color indexed="24"/>
      <name val="Courier New"/>
      <family val="3"/>
    </font>
    <font>
      <sz val="8"/>
      <name val="Arial"/>
      <family val="2"/>
    </font>
    <font>
      <b/>
      <sz val="16"/>
      <name val="Times New Roman"/>
      <family val="1"/>
    </font>
    <font>
      <b/>
      <sz val="10"/>
      <name val="Helvetica-Narrow"/>
    </font>
    <font>
      <sz val="10"/>
      <color indexed="24"/>
      <name val="Times New Roman"/>
      <family val="1"/>
    </font>
    <font>
      <sz val="9"/>
      <name val="Helvetica-Narrow"/>
    </font>
    <font>
      <sz val="10"/>
      <name val="Courier"/>
      <family val="3"/>
    </font>
    <font>
      <b/>
      <sz val="10"/>
      <name val="Helv"/>
    </font>
    <font>
      <sz val="9"/>
      <name val="Calibri"/>
      <family val="2"/>
    </font>
    <font>
      <sz val="1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</font>
    <font>
      <b/>
      <sz val="10"/>
      <name val="Arial"/>
    </font>
    <font>
      <b/>
      <sz val="8"/>
      <color theme="1"/>
      <name val="Arial"/>
    </font>
    <font>
      <b/>
      <sz val="6"/>
      <color theme="1"/>
      <name val="Arial"/>
    </font>
    <font>
      <b/>
      <sz val="10"/>
      <color theme="0"/>
      <name val="Arial"/>
      <family val="2"/>
    </font>
  </fonts>
  <fills count="7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rgb="FF000000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rgb="FF000000"/>
      </top>
      <bottom style="medium">
        <color indexed="64"/>
      </bottom>
      <diagonal/>
    </border>
    <border>
      <left/>
      <right/>
      <top style="double">
        <color rgb="FF000000"/>
      </top>
      <bottom style="medium">
        <color indexed="64"/>
      </bottom>
      <diagonal/>
    </border>
    <border>
      <left/>
      <right style="double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thin">
        <color theme="4"/>
      </right>
      <top/>
      <bottom/>
      <diagonal/>
    </border>
    <border>
      <left style="thin">
        <color theme="4"/>
      </left>
      <right style="medium">
        <color theme="3"/>
      </right>
      <top/>
      <bottom/>
      <diagonal/>
    </border>
    <border>
      <left style="medium">
        <color theme="3"/>
      </left>
      <right style="thin">
        <color theme="4"/>
      </right>
      <top/>
      <bottom style="medium">
        <color theme="3"/>
      </bottom>
      <diagonal/>
    </border>
    <border>
      <left style="thin">
        <color theme="4"/>
      </left>
      <right style="thin">
        <color theme="4"/>
      </right>
      <top/>
      <bottom style="medium">
        <color theme="3"/>
      </bottom>
      <diagonal/>
    </border>
    <border>
      <left style="thin">
        <color theme="4"/>
      </left>
      <right style="medium">
        <color theme="3"/>
      </right>
      <top/>
      <bottom style="medium">
        <color theme="3"/>
      </bottom>
      <diagonal/>
    </border>
    <border>
      <left style="medium">
        <color theme="5"/>
      </left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theme="4"/>
      </left>
      <right style="thin">
        <color theme="4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4"/>
      </right>
      <top style="medium">
        <color theme="3"/>
      </top>
      <bottom style="medium">
        <color theme="3"/>
      </bottom>
      <diagonal/>
    </border>
    <border>
      <left style="thin">
        <color theme="4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5"/>
      </left>
      <right style="thin">
        <color indexed="64"/>
      </right>
      <top style="medium">
        <color theme="5"/>
      </top>
      <bottom/>
      <diagonal/>
    </border>
    <border>
      <left style="thin">
        <color indexed="64"/>
      </left>
      <right style="thin">
        <color indexed="64"/>
      </right>
      <top style="medium">
        <color theme="5"/>
      </top>
      <bottom/>
      <diagonal/>
    </border>
    <border>
      <left style="thin">
        <color indexed="64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thin">
        <color theme="4"/>
      </right>
      <top/>
      <bottom/>
      <diagonal/>
    </border>
    <border>
      <left style="thin">
        <color theme="4"/>
      </left>
      <right style="medium">
        <color theme="5"/>
      </right>
      <top/>
      <bottom/>
      <diagonal/>
    </border>
    <border>
      <left style="medium">
        <color theme="5"/>
      </left>
      <right style="thin">
        <color theme="4"/>
      </right>
      <top/>
      <bottom style="medium">
        <color theme="5"/>
      </bottom>
      <diagonal/>
    </border>
    <border>
      <left style="thin">
        <color theme="4"/>
      </left>
      <right style="thin">
        <color theme="4"/>
      </right>
      <top/>
      <bottom style="medium">
        <color theme="5"/>
      </bottom>
      <diagonal/>
    </border>
    <border>
      <left style="thin">
        <color theme="4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thin">
        <color theme="4"/>
      </right>
      <top style="medium">
        <color theme="5"/>
      </top>
      <bottom style="medium">
        <color theme="5"/>
      </bottom>
      <diagonal/>
    </border>
    <border>
      <left style="thin">
        <color theme="4"/>
      </left>
      <right style="thin">
        <color theme="4"/>
      </right>
      <top style="medium">
        <color theme="5"/>
      </top>
      <bottom style="medium">
        <color theme="5"/>
      </bottom>
      <diagonal/>
    </border>
    <border>
      <left style="thin">
        <color theme="4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rgb="FF7030A0"/>
      </left>
      <right style="thin">
        <color theme="4"/>
      </right>
      <top/>
      <bottom/>
      <diagonal/>
    </border>
    <border>
      <left style="thin">
        <color theme="4"/>
      </left>
      <right style="medium">
        <color rgb="FF7030A0"/>
      </right>
      <top/>
      <bottom/>
      <diagonal/>
    </border>
    <border>
      <left style="medium">
        <color rgb="FF7030A0"/>
      </left>
      <right style="thin">
        <color indexed="64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 style="thin">
        <color theme="4"/>
      </left>
      <right style="thin">
        <color theme="4"/>
      </right>
      <top style="medium">
        <color theme="3"/>
      </top>
      <bottom/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/>
      </right>
      <top/>
      <bottom/>
      <diagonal/>
    </border>
    <border>
      <left style="thin">
        <color theme="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4"/>
      </right>
      <top style="medium">
        <color theme="3"/>
      </top>
      <bottom style="medium">
        <color indexed="64"/>
      </bottom>
      <diagonal/>
    </border>
    <border>
      <left style="thin">
        <color theme="4"/>
      </left>
      <right style="medium">
        <color theme="3"/>
      </right>
      <top style="medium">
        <color theme="3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theme="3"/>
      </top>
      <bottom style="medium">
        <color indexed="64"/>
      </bottom>
      <diagonal/>
    </border>
  </borders>
  <cellStyleXfs count="4107">
    <xf numFmtId="0" fontId="0" fillId="0" borderId="0"/>
    <xf numFmtId="165" fontId="83" fillId="0" borderId="0" applyFont="0" applyFill="0" applyBorder="0" applyAlignment="0" applyProtection="0"/>
    <xf numFmtId="0" fontId="80" fillId="0" borderId="0"/>
    <xf numFmtId="0" fontId="82" fillId="0" borderId="0"/>
    <xf numFmtId="168" fontId="82" fillId="0" borderId="0" applyFont="0" applyFill="0" applyBorder="0" applyAlignment="0" applyProtection="0"/>
    <xf numFmtId="0" fontId="82" fillId="0" borderId="0"/>
    <xf numFmtId="167" fontId="82" fillId="0" borderId="0" applyFont="0" applyFill="0" applyBorder="0" applyAlignment="0" applyProtection="0"/>
    <xf numFmtId="167" fontId="82" fillId="0" borderId="0" applyFont="0" applyFill="0" applyBorder="0" applyAlignment="0" applyProtection="0"/>
    <xf numFmtId="0" fontId="80" fillId="0" borderId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167" fontId="82" fillId="0" borderId="0" applyFont="0" applyFill="0" applyBorder="0" applyAlignment="0" applyProtection="0"/>
    <xf numFmtId="0" fontId="82" fillId="0" borderId="0"/>
    <xf numFmtId="167" fontId="82" fillId="0" borderId="0" applyFont="0" applyFill="0" applyBorder="0" applyAlignment="0" applyProtection="0"/>
    <xf numFmtId="166" fontId="80" fillId="0" borderId="0" applyFont="0" applyFill="0" applyBorder="0" applyAlignment="0" applyProtection="0"/>
    <xf numFmtId="0" fontId="82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70" fillId="0" borderId="0"/>
    <xf numFmtId="166" fontId="70" fillId="0" borderId="0" applyFont="0" applyFill="0" applyBorder="0" applyAlignment="0" applyProtection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9" fillId="0" borderId="0"/>
    <xf numFmtId="166" fontId="59" fillId="0" borderId="0" applyFont="0" applyFill="0" applyBorder="0" applyAlignment="0" applyProtection="0"/>
    <xf numFmtId="0" fontId="58" fillId="0" borderId="0"/>
    <xf numFmtId="0" fontId="82" fillId="0" borderId="0"/>
    <xf numFmtId="0" fontId="58" fillId="0" borderId="0"/>
    <xf numFmtId="0" fontId="58" fillId="0" borderId="0"/>
    <xf numFmtId="166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6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6" fontId="58" fillId="0" borderId="0" applyFont="0" applyFill="0" applyBorder="0" applyAlignment="0" applyProtection="0"/>
    <xf numFmtId="0" fontId="57" fillId="0" borderId="0"/>
    <xf numFmtId="0" fontId="57" fillId="0" borderId="0"/>
    <xf numFmtId="166" fontId="57" fillId="0" borderId="0" applyFont="0" applyFill="0" applyBorder="0" applyAlignment="0" applyProtection="0"/>
    <xf numFmtId="0" fontId="56" fillId="0" borderId="0"/>
    <xf numFmtId="0" fontId="56" fillId="0" borderId="0"/>
    <xf numFmtId="166" fontId="56" fillId="0" borderId="0" applyFont="0" applyFill="0" applyBorder="0" applyAlignment="0" applyProtection="0"/>
    <xf numFmtId="0" fontId="55" fillId="0" borderId="0"/>
    <xf numFmtId="0" fontId="55" fillId="0" borderId="0"/>
    <xf numFmtId="166" fontId="55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82" fillId="0" borderId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4" fillId="0" borderId="0"/>
    <xf numFmtId="0" fontId="54" fillId="0" borderId="0"/>
    <xf numFmtId="166" fontId="54" fillId="0" borderId="0" applyFont="0" applyFill="0" applyBorder="0" applyAlignment="0" applyProtection="0"/>
    <xf numFmtId="0" fontId="53" fillId="0" borderId="0"/>
    <xf numFmtId="0" fontId="53" fillId="0" borderId="0"/>
    <xf numFmtId="166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6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6" fontId="53" fillId="0" borderId="0" applyFont="0" applyFill="0" applyBorder="0" applyAlignment="0" applyProtection="0"/>
    <xf numFmtId="0" fontId="52" fillId="0" borderId="0"/>
    <xf numFmtId="0" fontId="52" fillId="0" borderId="0"/>
    <xf numFmtId="166" fontId="52" fillId="0" borderId="0" applyFont="0" applyFill="0" applyBorder="0" applyAlignment="0" applyProtection="0"/>
    <xf numFmtId="0" fontId="51" fillId="0" borderId="0"/>
    <xf numFmtId="0" fontId="51" fillId="0" borderId="0"/>
    <xf numFmtId="166" fontId="51" fillId="0" borderId="0" applyFont="0" applyFill="0" applyBorder="0" applyAlignment="0" applyProtection="0"/>
    <xf numFmtId="0" fontId="50" fillId="0" borderId="0"/>
    <xf numFmtId="0" fontId="49" fillId="0" borderId="0"/>
    <xf numFmtId="0" fontId="48" fillId="0" borderId="0"/>
    <xf numFmtId="0" fontId="48" fillId="0" borderId="0"/>
    <xf numFmtId="166" fontId="48" fillId="0" borderId="0" applyFont="0" applyFill="0" applyBorder="0" applyAlignment="0" applyProtection="0"/>
    <xf numFmtId="0" fontId="47" fillId="0" borderId="0"/>
    <xf numFmtId="0" fontId="47" fillId="0" borderId="0"/>
    <xf numFmtId="166" fontId="47" fillId="0" borderId="0" applyFont="0" applyFill="0" applyBorder="0" applyAlignment="0" applyProtection="0"/>
    <xf numFmtId="0" fontId="46" fillId="0" borderId="0"/>
    <xf numFmtId="0" fontId="45" fillId="0" borderId="0"/>
    <xf numFmtId="0" fontId="44" fillId="0" borderId="0"/>
    <xf numFmtId="0" fontId="43" fillId="0" borderId="0"/>
    <xf numFmtId="0" fontId="43" fillId="0" borderId="0"/>
    <xf numFmtId="166" fontId="43" fillId="0" borderId="0" applyFont="0" applyFill="0" applyBorder="0" applyAlignment="0" applyProtection="0"/>
    <xf numFmtId="0" fontId="42" fillId="0" borderId="0"/>
    <xf numFmtId="0" fontId="42" fillId="0" borderId="0"/>
    <xf numFmtId="166" fontId="42" fillId="0" borderId="0" applyFont="0" applyFill="0" applyBorder="0" applyAlignment="0" applyProtection="0"/>
    <xf numFmtId="0" fontId="41" fillId="0" borderId="0"/>
    <xf numFmtId="0" fontId="40" fillId="0" borderId="0"/>
    <xf numFmtId="0" fontId="40" fillId="0" borderId="0"/>
    <xf numFmtId="166" fontId="40" fillId="0" borderId="0" applyFont="0" applyFill="0" applyBorder="0" applyAlignment="0" applyProtection="0"/>
    <xf numFmtId="0" fontId="39" fillId="0" borderId="0"/>
    <xf numFmtId="0" fontId="38" fillId="0" borderId="0"/>
    <xf numFmtId="0" fontId="38" fillId="0" borderId="0"/>
    <xf numFmtId="166" fontId="38" fillId="0" borderId="0" applyFont="0" applyFill="0" applyBorder="0" applyAlignment="0" applyProtection="0"/>
    <xf numFmtId="0" fontId="37" fillId="0" borderId="0"/>
    <xf numFmtId="0" fontId="37" fillId="0" borderId="0"/>
    <xf numFmtId="166" fontId="37" fillId="0" borderId="0" applyFont="0" applyFill="0" applyBorder="0" applyAlignment="0" applyProtection="0"/>
    <xf numFmtId="0" fontId="36" fillId="0" borderId="0"/>
    <xf numFmtId="0" fontId="36" fillId="0" borderId="0"/>
    <xf numFmtId="166" fontId="36" fillId="0" borderId="0" applyFont="0" applyFill="0" applyBorder="0" applyAlignment="0" applyProtection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166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2" fillId="0" borderId="0"/>
    <xf numFmtId="166" fontId="22" fillId="0" borderId="0" applyFont="0" applyFill="0" applyBorder="0" applyAlignment="0" applyProtection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0" fillId="0" borderId="0"/>
    <xf numFmtId="0" fontId="20" fillId="0" borderId="0"/>
    <xf numFmtId="166" fontId="20" fillId="0" borderId="0" applyFont="0" applyFill="0" applyBorder="0" applyAlignment="0" applyProtection="0"/>
    <xf numFmtId="0" fontId="19" fillId="0" borderId="0"/>
    <xf numFmtId="0" fontId="19" fillId="0" borderId="0"/>
    <xf numFmtId="166" fontId="19" fillId="0" borderId="0" applyFont="0" applyFill="0" applyBorder="0" applyAlignment="0" applyProtection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82" fillId="0" borderId="0"/>
    <xf numFmtId="165" fontId="18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0" fontId="16" fillId="0" borderId="0"/>
    <xf numFmtId="0" fontId="16" fillId="0" borderId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82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82" fillId="0" borderId="0" applyFont="0" applyFill="0" applyBorder="0" applyAlignment="0" applyProtection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8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6" fillId="0" borderId="0">
      <alignment vertical="top"/>
    </xf>
    <xf numFmtId="0" fontId="12" fillId="0" borderId="0"/>
    <xf numFmtId="0" fontId="12" fillId="0" borderId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4" fillId="0" borderId="0">
      <alignment vertical="top"/>
    </xf>
    <xf numFmtId="0" fontId="95" fillId="0" borderId="0">
      <alignment vertical="top"/>
    </xf>
    <xf numFmtId="0" fontId="11" fillId="0" borderId="0"/>
    <xf numFmtId="166" fontId="11" fillId="0" borderId="0" applyFont="0" applyFill="0" applyBorder="0" applyAlignment="0" applyProtection="0"/>
    <xf numFmtId="0" fontId="11" fillId="0" borderId="0"/>
    <xf numFmtId="0" fontId="10" fillId="0" borderId="0"/>
    <xf numFmtId="166" fontId="103" fillId="0" borderId="0" applyFont="0" applyFill="0" applyBorder="0" applyAlignment="0" applyProtection="0"/>
    <xf numFmtId="0" fontId="105" fillId="0" borderId="0">
      <alignment vertical="top"/>
    </xf>
    <xf numFmtId="0" fontId="106" fillId="0" borderId="0">
      <alignment vertical="top"/>
    </xf>
    <xf numFmtId="0" fontId="9" fillId="0" borderId="0"/>
    <xf numFmtId="0" fontId="107" fillId="0" borderId="0">
      <alignment vertical="top"/>
    </xf>
    <xf numFmtId="0" fontId="116" fillId="0" borderId="0" applyNumberFormat="0" applyFill="0" applyBorder="0" applyAlignment="0" applyProtection="0"/>
    <xf numFmtId="0" fontId="117" fillId="0" borderId="65" applyNumberFormat="0" applyFill="0" applyAlignment="0" applyProtection="0"/>
    <xf numFmtId="0" fontId="118" fillId="0" borderId="66" applyNumberFormat="0" applyFill="0" applyAlignment="0" applyProtection="0"/>
    <xf numFmtId="0" fontId="119" fillId="0" borderId="67" applyNumberFormat="0" applyFill="0" applyAlignment="0" applyProtection="0"/>
    <xf numFmtId="0" fontId="119" fillId="0" borderId="0" applyNumberFormat="0" applyFill="0" applyBorder="0" applyAlignment="0" applyProtection="0"/>
    <xf numFmtId="0" fontId="120" fillId="33" borderId="0" applyNumberFormat="0" applyBorder="0" applyAlignment="0" applyProtection="0"/>
    <xf numFmtId="0" fontId="121" fillId="34" borderId="0" applyNumberFormat="0" applyBorder="0" applyAlignment="0" applyProtection="0"/>
    <xf numFmtId="0" fontId="122" fillId="35" borderId="0" applyNumberFormat="0" applyBorder="0" applyAlignment="0" applyProtection="0"/>
    <xf numFmtId="0" fontId="123" fillId="36" borderId="68" applyNumberFormat="0" applyAlignment="0" applyProtection="0"/>
    <xf numFmtId="0" fontId="124" fillId="37" borderId="69" applyNumberFormat="0" applyAlignment="0" applyProtection="0"/>
    <xf numFmtId="0" fontId="125" fillId="37" borderId="68" applyNumberFormat="0" applyAlignment="0" applyProtection="0"/>
    <xf numFmtId="0" fontId="126" fillId="0" borderId="70" applyNumberFormat="0" applyFill="0" applyAlignment="0" applyProtection="0"/>
    <xf numFmtId="0" fontId="127" fillId="38" borderId="71" applyNumberFormat="0" applyAlignment="0" applyProtection="0"/>
    <xf numFmtId="0" fontId="128" fillId="0" borderId="0" applyNumberFormat="0" applyFill="0" applyBorder="0" applyAlignment="0" applyProtection="0"/>
    <xf numFmtId="0" fontId="115" fillId="39" borderId="72" applyNumberFormat="0" applyFont="0" applyAlignment="0" applyProtection="0"/>
    <xf numFmtId="0" fontId="129" fillId="0" borderId="0" applyNumberFormat="0" applyFill="0" applyBorder="0" applyAlignment="0" applyProtection="0"/>
    <xf numFmtId="0" fontId="130" fillId="0" borderId="73" applyNumberFormat="0" applyFill="0" applyAlignment="0" applyProtection="0"/>
    <xf numFmtId="0" fontId="131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131" fillId="43" borderId="0" applyNumberFormat="0" applyBorder="0" applyAlignment="0" applyProtection="0"/>
    <xf numFmtId="0" fontId="131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131" fillId="47" borderId="0" applyNumberFormat="0" applyBorder="0" applyAlignment="0" applyProtection="0"/>
    <xf numFmtId="0" fontId="131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131" fillId="51" borderId="0" applyNumberFormat="0" applyBorder="0" applyAlignment="0" applyProtection="0"/>
    <xf numFmtId="0" fontId="131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4" borderId="0" applyNumberFormat="0" applyBorder="0" applyAlignment="0" applyProtection="0"/>
    <xf numFmtId="0" fontId="131" fillId="55" borderId="0" applyNumberFormat="0" applyBorder="0" applyAlignment="0" applyProtection="0"/>
    <xf numFmtId="0" fontId="131" fillId="56" borderId="0" applyNumberFormat="0" applyBorder="0" applyAlignment="0" applyProtection="0"/>
    <xf numFmtId="0" fontId="8" fillId="57" borderId="0" applyNumberFormat="0" applyBorder="0" applyAlignment="0" applyProtection="0"/>
    <xf numFmtId="0" fontId="8" fillId="58" borderId="0" applyNumberFormat="0" applyBorder="0" applyAlignment="0" applyProtection="0"/>
    <xf numFmtId="0" fontId="131" fillId="59" borderId="0" applyNumberFormat="0" applyBorder="0" applyAlignment="0" applyProtection="0"/>
    <xf numFmtId="0" fontId="131" fillId="60" borderId="0" applyNumberFormat="0" applyBorder="0" applyAlignment="0" applyProtection="0"/>
    <xf numFmtId="0" fontId="8" fillId="61" borderId="0" applyNumberFormat="0" applyBorder="0" applyAlignment="0" applyProtection="0"/>
    <xf numFmtId="0" fontId="8" fillId="62" borderId="0" applyNumberFormat="0" applyBorder="0" applyAlignment="0" applyProtection="0"/>
    <xf numFmtId="0" fontId="131" fillId="63" borderId="0" applyNumberFormat="0" applyBorder="0" applyAlignment="0" applyProtection="0"/>
    <xf numFmtId="0" fontId="132" fillId="0" borderId="0">
      <alignment vertical="top"/>
    </xf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134" fillId="0" borderId="0">
      <alignment vertical="top"/>
    </xf>
    <xf numFmtId="0" fontId="146" fillId="0" borderId="0">
      <alignment vertical="top"/>
    </xf>
    <xf numFmtId="43" fontId="4" fillId="0" borderId="0" applyFont="0" applyFill="0" applyBorder="0" applyAlignment="0" applyProtection="0"/>
    <xf numFmtId="0" fontId="148" fillId="0" borderId="0">
      <alignment vertical="top"/>
    </xf>
    <xf numFmtId="0" fontId="3" fillId="0" borderId="0"/>
    <xf numFmtId="43" fontId="84" fillId="0" borderId="0" applyFont="0" applyFill="0" applyBorder="0" applyAlignment="0" applyProtection="0">
      <alignment vertical="top"/>
    </xf>
    <xf numFmtId="0" fontId="84" fillId="0" borderId="0">
      <alignment vertical="top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4" fillId="0" borderId="0">
      <alignment vertical="top"/>
    </xf>
    <xf numFmtId="0" fontId="82" fillId="0" borderId="0"/>
    <xf numFmtId="43" fontId="82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169" fontId="82" fillId="0" borderId="0"/>
    <xf numFmtId="169" fontId="82" fillId="0" borderId="0"/>
    <xf numFmtId="169" fontId="82" fillId="0" borderId="0"/>
    <xf numFmtId="169" fontId="82" fillId="0" borderId="0"/>
    <xf numFmtId="169" fontId="82" fillId="0" borderId="0"/>
    <xf numFmtId="169" fontId="82" fillId="0" borderId="0"/>
    <xf numFmtId="169" fontId="82" fillId="0" borderId="0"/>
    <xf numFmtId="169" fontId="82" fillId="0" borderId="0"/>
    <xf numFmtId="3" fontId="151" fillId="0" borderId="0" applyFont="0" applyFill="0" applyBorder="0" applyAlignment="0" applyProtection="0"/>
    <xf numFmtId="17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2" fontId="151" fillId="0" borderId="0" applyFont="0" applyFill="0" applyBorder="0" applyAlignment="0" applyProtection="0"/>
    <xf numFmtId="0" fontId="82" fillId="0" borderId="0" applyNumberFormat="0" applyFill="0" applyBorder="0" applyAlignment="0" applyProtection="0"/>
    <xf numFmtId="38" fontId="152" fillId="72" borderId="0" applyNumberFormat="0" applyBorder="0" applyAlignment="0" applyProtection="0"/>
    <xf numFmtId="0" fontId="153" fillId="0" borderId="0"/>
    <xf numFmtId="0" fontId="102" fillId="0" borderId="80" applyNumberFormat="0" applyAlignment="0" applyProtection="0">
      <alignment horizontal="left" vertical="center"/>
    </xf>
    <xf numFmtId="0" fontId="102" fillId="0" borderId="81">
      <alignment horizontal="left" vertical="center"/>
    </xf>
    <xf numFmtId="0" fontId="154" fillId="0" borderId="82" applyNumberFormat="0" applyAlignment="0">
      <alignment horizontal="left" vertical="top" wrapText="1"/>
    </xf>
    <xf numFmtId="0" fontId="155" fillId="0" borderId="0" applyNumberFormat="0" applyFill="0" applyBorder="0" applyAlignment="0" applyProtection="0"/>
    <xf numFmtId="0" fontId="156" fillId="0" borderId="83" applyNumberFormat="0" applyBorder="0" applyAlignment="0">
      <alignment horizontal="left" vertical="top" wrapText="1"/>
    </xf>
    <xf numFmtId="0" fontId="82" fillId="0" borderId="0" applyNumberFormat="0" applyFill="0" applyBorder="0" applyAlignment="0" applyProtection="0"/>
    <xf numFmtId="10" fontId="152" fillId="73" borderId="77" applyNumberFormat="0" applyBorder="0" applyAlignment="0" applyProtection="0"/>
    <xf numFmtId="17" fontId="82" fillId="0" borderId="0" applyFont="0" applyFill="0" applyBorder="0" applyAlignment="0" applyProtection="0"/>
    <xf numFmtId="0" fontId="157" fillId="0" borderId="0"/>
    <xf numFmtId="43" fontId="82" fillId="0" borderId="0"/>
    <xf numFmtId="10" fontId="82" fillId="0" borderId="0" applyFont="0" applyFill="0" applyBorder="0" applyAlignment="0" applyProtection="0"/>
    <xf numFmtId="0" fontId="158" fillId="0" borderId="0">
      <alignment vertical="top" wrapText="1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49" fillId="0" borderId="0">
      <alignment vertical="top"/>
    </xf>
    <xf numFmtId="0" fontId="149" fillId="0" borderId="0">
      <alignment vertical="top"/>
    </xf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2" fillId="0" borderId="0"/>
    <xf numFmtId="0" fontId="1" fillId="0" borderId="0"/>
    <xf numFmtId="0" fontId="1" fillId="0" borderId="0"/>
    <xf numFmtId="0" fontId="149" fillId="0" borderId="0">
      <alignment vertical="top"/>
    </xf>
  </cellStyleXfs>
  <cellXfs count="664">
    <xf numFmtId="0" fontId="0" fillId="0" borderId="0" xfId="0"/>
    <xf numFmtId="0" fontId="88" fillId="0" borderId="0" xfId="0" applyFont="1" applyAlignment="1">
      <alignment horizontal="left"/>
    </xf>
    <xf numFmtId="0" fontId="88" fillId="0" borderId="0" xfId="0" applyFont="1" applyFill="1" applyAlignment="1">
      <alignment horizontal="left"/>
    </xf>
    <xf numFmtId="0" fontId="88" fillId="6" borderId="0" xfId="0" applyFont="1" applyFill="1" applyBorder="1" applyAlignment="1">
      <alignment horizontal="left"/>
    </xf>
    <xf numFmtId="14" fontId="88" fillId="6" borderId="0" xfId="0" applyNumberFormat="1" applyFont="1" applyFill="1" applyBorder="1" applyAlignment="1">
      <alignment horizontal="left"/>
    </xf>
    <xf numFmtId="14" fontId="88" fillId="9" borderId="0" xfId="0" applyNumberFormat="1" applyFont="1" applyFill="1" applyAlignment="1">
      <alignment horizontal="left"/>
    </xf>
    <xf numFmtId="0" fontId="88" fillId="6" borderId="0" xfId="0" applyNumberFormat="1" applyFont="1" applyFill="1" applyBorder="1" applyAlignment="1">
      <alignment horizontal="left"/>
    </xf>
    <xf numFmtId="14" fontId="88" fillId="0" borderId="0" xfId="0" applyNumberFormat="1" applyFont="1" applyAlignment="1">
      <alignment horizontal="left"/>
    </xf>
    <xf numFmtId="165" fontId="88" fillId="0" borderId="0" xfId="0" applyNumberFormat="1" applyFont="1" applyAlignment="1">
      <alignment horizontal="left"/>
    </xf>
    <xf numFmtId="10" fontId="88" fillId="0" borderId="0" xfId="0" applyNumberFormat="1" applyFont="1" applyAlignment="1">
      <alignment horizontal="left"/>
    </xf>
    <xf numFmtId="0" fontId="88" fillId="0" borderId="0" xfId="0" applyNumberFormat="1" applyFont="1" applyAlignment="1">
      <alignment horizontal="left"/>
    </xf>
    <xf numFmtId="0" fontId="92" fillId="0" borderId="0" xfId="0" applyFont="1" applyAlignment="1">
      <alignment horizontal="left"/>
    </xf>
    <xf numFmtId="165" fontId="88" fillId="0" borderId="0" xfId="1954" applyFont="1" applyFill="1" applyBorder="1" applyAlignment="1">
      <alignment horizontal="left"/>
    </xf>
    <xf numFmtId="165" fontId="88" fillId="0" borderId="0" xfId="1954" applyFont="1" applyAlignment="1">
      <alignment horizontal="left"/>
    </xf>
    <xf numFmtId="0" fontId="92" fillId="6" borderId="0" xfId="0" applyFont="1" applyFill="1" applyBorder="1" applyAlignment="1">
      <alignment horizontal="left"/>
    </xf>
    <xf numFmtId="0" fontId="88" fillId="6" borderId="0" xfId="0" applyFont="1" applyFill="1" applyBorder="1" applyAlignment="1"/>
    <xf numFmtId="0" fontId="92" fillId="0" borderId="0" xfId="0" applyFont="1" applyFill="1" applyAlignment="1">
      <alignment horizontal="left"/>
    </xf>
    <xf numFmtId="2" fontId="88" fillId="6" borderId="0" xfId="0" applyNumberFormat="1" applyFont="1" applyFill="1" applyBorder="1" applyAlignment="1">
      <alignment horizontal="left"/>
    </xf>
    <xf numFmtId="10" fontId="88" fillId="6" borderId="0" xfId="0" applyNumberFormat="1" applyFont="1" applyFill="1" applyBorder="1" applyAlignment="1">
      <alignment horizontal="left"/>
    </xf>
    <xf numFmtId="14" fontId="90" fillId="3" borderId="0" xfId="0" applyNumberFormat="1" applyFont="1" applyFill="1" applyAlignment="1">
      <alignment horizontal="left" vertical="center" wrapText="1"/>
    </xf>
    <xf numFmtId="0" fontId="90" fillId="3" borderId="0" xfId="0" applyFont="1" applyFill="1" applyAlignment="1">
      <alignment horizontal="left" vertical="center" wrapText="1"/>
    </xf>
    <xf numFmtId="0" fontId="90" fillId="2" borderId="0" xfId="0" applyFont="1" applyFill="1" applyAlignment="1">
      <alignment horizontal="left" vertical="center" wrapText="1"/>
    </xf>
    <xf numFmtId="14" fontId="90" fillId="2" borderId="0" xfId="0" applyNumberFormat="1" applyFont="1" applyFill="1" applyAlignment="1">
      <alignment horizontal="left" vertical="center" wrapText="1"/>
    </xf>
    <xf numFmtId="0" fontId="90" fillId="2" borderId="0" xfId="0" applyNumberFormat="1" applyFont="1" applyFill="1" applyAlignment="1">
      <alignment horizontal="left" vertical="center" wrapText="1"/>
    </xf>
    <xf numFmtId="10" fontId="90" fillId="2" borderId="0" xfId="0" applyNumberFormat="1" applyFont="1" applyFill="1" applyAlignment="1">
      <alignment horizontal="left" vertical="center" wrapText="1"/>
    </xf>
    <xf numFmtId="165" fontId="90" fillId="2" borderId="0" xfId="0" applyNumberFormat="1" applyFont="1" applyFill="1" applyAlignment="1">
      <alignment horizontal="left" vertical="center" wrapText="1"/>
    </xf>
    <xf numFmtId="0" fontId="90" fillId="10" borderId="0" xfId="0" applyFont="1" applyFill="1" applyAlignment="1">
      <alignment horizontal="left" vertical="center" wrapText="1"/>
    </xf>
    <xf numFmtId="2" fontId="90" fillId="10" borderId="0" xfId="0" applyNumberFormat="1" applyFont="1" applyFill="1" applyAlignment="1">
      <alignment horizontal="left" vertical="center" wrapText="1"/>
    </xf>
    <xf numFmtId="0" fontId="91" fillId="10" borderId="0" xfId="0" applyFont="1" applyFill="1" applyAlignment="1">
      <alignment horizontal="left" vertical="center" wrapText="1"/>
    </xf>
    <xf numFmtId="14" fontId="90" fillId="10" borderId="0" xfId="0" applyNumberFormat="1" applyFont="1" applyFill="1" applyAlignment="1">
      <alignment horizontal="left" vertical="center" wrapText="1"/>
    </xf>
    <xf numFmtId="0" fontId="90" fillId="10" borderId="0" xfId="0" applyNumberFormat="1" applyFont="1" applyFill="1" applyAlignment="1">
      <alignment horizontal="left" vertical="center" wrapText="1"/>
    </xf>
    <xf numFmtId="0" fontId="90" fillId="0" borderId="0" xfId="0" applyFont="1" applyAlignment="1">
      <alignment horizontal="left" vertical="center" wrapText="1"/>
    </xf>
    <xf numFmtId="2" fontId="88" fillId="0" borderId="0" xfId="0" applyNumberFormat="1" applyFont="1" applyAlignment="1">
      <alignment horizontal="left"/>
    </xf>
    <xf numFmtId="14" fontId="90" fillId="9" borderId="0" xfId="0" applyNumberFormat="1" applyFont="1" applyFill="1" applyAlignment="1">
      <alignment horizontal="left" vertical="center" wrapText="1"/>
    </xf>
    <xf numFmtId="14" fontId="88" fillId="9" borderId="0" xfId="0" applyNumberFormat="1" applyFont="1" applyFill="1" applyBorder="1" applyAlignment="1">
      <alignment horizontal="left"/>
    </xf>
    <xf numFmtId="0" fontId="88" fillId="9" borderId="0" xfId="0" applyFont="1" applyFill="1" applyBorder="1" applyAlignment="1">
      <alignment horizontal="left"/>
    </xf>
    <xf numFmtId="0" fontId="90" fillId="9" borderId="0" xfId="0" applyFont="1" applyFill="1" applyAlignment="1">
      <alignment horizontal="left" vertical="center" wrapText="1"/>
    </xf>
    <xf numFmtId="0" fontId="88" fillId="9" borderId="0" xfId="0" applyFont="1" applyFill="1" applyAlignment="1">
      <alignment horizontal="left"/>
    </xf>
    <xf numFmtId="14" fontId="88" fillId="16" borderId="0" xfId="0" applyNumberFormat="1" applyFont="1" applyFill="1" applyBorder="1" applyAlignment="1">
      <alignment horizontal="right"/>
    </xf>
    <xf numFmtId="14" fontId="90" fillId="16" borderId="0" xfId="0" applyNumberFormat="1" applyFont="1" applyFill="1" applyAlignment="1">
      <alignment horizontal="right" vertical="center" wrapText="1"/>
    </xf>
    <xf numFmtId="14" fontId="88" fillId="16" borderId="0" xfId="0" applyNumberFormat="1" applyFont="1" applyFill="1" applyAlignment="1">
      <alignment horizontal="right"/>
    </xf>
    <xf numFmtId="14" fontId="90" fillId="16" borderId="0" xfId="0" applyNumberFormat="1" applyFont="1" applyFill="1" applyAlignment="1">
      <alignment horizontal="left" vertical="center" wrapText="1"/>
    </xf>
    <xf numFmtId="14" fontId="88" fillId="16" borderId="0" xfId="0" applyNumberFormat="1" applyFont="1" applyFill="1" applyBorder="1" applyAlignment="1">
      <alignment horizontal="left"/>
    </xf>
    <xf numFmtId="14" fontId="88" fillId="16" borderId="0" xfId="0" applyNumberFormat="1" applyFont="1" applyFill="1" applyAlignment="1">
      <alignment horizontal="left"/>
    </xf>
    <xf numFmtId="0" fontId="92" fillId="9" borderId="0" xfId="0" applyFont="1" applyFill="1" applyAlignment="1">
      <alignment horizontal="left"/>
    </xf>
    <xf numFmtId="14" fontId="96" fillId="4" borderId="0" xfId="0" applyNumberFormat="1" applyFont="1" applyFill="1" applyAlignment="1">
      <alignment horizontal="left"/>
    </xf>
    <xf numFmtId="14" fontId="93" fillId="4" borderId="0" xfId="0" applyNumberFormat="1" applyFont="1" applyFill="1" applyAlignment="1">
      <alignment horizontal="left" vertical="center"/>
    </xf>
    <xf numFmtId="14" fontId="93" fillId="19" borderId="0" xfId="0" applyNumberFormat="1" applyFont="1" applyFill="1" applyAlignment="1">
      <alignment horizontal="left" vertical="center"/>
    </xf>
    <xf numFmtId="165" fontId="100" fillId="6" borderId="0" xfId="1954" applyFont="1" applyFill="1"/>
    <xf numFmtId="165" fontId="99" fillId="0" borderId="0" xfId="1954" applyFont="1" applyFill="1" applyBorder="1"/>
    <xf numFmtId="165" fontId="99" fillId="0" borderId="27" xfId="1954" applyFont="1" applyBorder="1"/>
    <xf numFmtId="165" fontId="99" fillId="0" borderId="27" xfId="1954" applyFont="1" applyFill="1" applyBorder="1"/>
    <xf numFmtId="165" fontId="99" fillId="0" borderId="33" xfId="1954" applyFont="1" applyFill="1" applyBorder="1"/>
    <xf numFmtId="165" fontId="99" fillId="0" borderId="36" xfId="1954" applyFont="1" applyBorder="1"/>
    <xf numFmtId="14" fontId="96" fillId="25" borderId="0" xfId="0" applyNumberFormat="1" applyFont="1" applyFill="1" applyAlignment="1">
      <alignment horizontal="left"/>
    </xf>
    <xf numFmtId="14" fontId="93" fillId="25" borderId="0" xfId="0" applyNumberFormat="1" applyFont="1" applyFill="1" applyAlignment="1">
      <alignment horizontal="left" vertical="center"/>
    </xf>
    <xf numFmtId="165" fontId="99" fillId="0" borderId="41" xfId="1954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24" borderId="0" xfId="0" applyFill="1" applyBorder="1" applyAlignment="1">
      <alignment horizontal="left"/>
    </xf>
    <xf numFmtId="0" fontId="0" fillId="24" borderId="0" xfId="0" applyFill="1" applyBorder="1"/>
    <xf numFmtId="165" fontId="0" fillId="24" borderId="0" xfId="0" applyNumberFormat="1" applyFill="1" applyBorder="1"/>
    <xf numFmtId="165" fontId="0" fillId="20" borderId="0" xfId="0" applyNumberFormat="1" applyFill="1" applyBorder="1"/>
    <xf numFmtId="0" fontId="0" fillId="20" borderId="0" xfId="0" applyFill="1" applyBorder="1"/>
    <xf numFmtId="0" fontId="0" fillId="6" borderId="0" xfId="0" applyFill="1" applyBorder="1" applyAlignment="1">
      <alignment horizontal="left"/>
    </xf>
    <xf numFmtId="0" fontId="0" fillId="26" borderId="0" xfId="0" applyFill="1" applyBorder="1" applyAlignment="1">
      <alignment horizontal="left"/>
    </xf>
    <xf numFmtId="0" fontId="0" fillId="26" borderId="0" xfId="0" applyFill="1" applyBorder="1"/>
    <xf numFmtId="165" fontId="0" fillId="26" borderId="0" xfId="0" applyNumberFormat="1" applyFill="1" applyBorder="1"/>
    <xf numFmtId="0" fontId="0" fillId="27" borderId="0" xfId="0" applyFill="1" applyBorder="1"/>
    <xf numFmtId="165" fontId="0" fillId="27" borderId="0" xfId="0" applyNumberFormat="1" applyFill="1" applyBorder="1"/>
    <xf numFmtId="0" fontId="0" fillId="23" borderId="0" xfId="0" applyFill="1" applyBorder="1" applyAlignment="1">
      <alignment horizontal="left"/>
    </xf>
    <xf numFmtId="0" fontId="0" fillId="23" borderId="0" xfId="0" applyFill="1" applyBorder="1"/>
    <xf numFmtId="165" fontId="0" fillId="23" borderId="0" xfId="0" applyNumberFormat="1" applyFill="1" applyBorder="1"/>
    <xf numFmtId="0" fontId="0" fillId="22" borderId="0" xfId="0" applyFill="1" applyBorder="1"/>
    <xf numFmtId="165" fontId="0" fillId="22" borderId="0" xfId="0" applyNumberFormat="1" applyFill="1" applyBorder="1"/>
    <xf numFmtId="0" fontId="0" fillId="25" borderId="0" xfId="0" applyFill="1" applyBorder="1"/>
    <xf numFmtId="165" fontId="0" fillId="25" borderId="0" xfId="0" applyNumberFormat="1" applyFill="1" applyBorder="1"/>
    <xf numFmtId="0" fontId="0" fillId="0" borderId="0" xfId="0" pivotButton="1" applyBorder="1" applyAlignment="1">
      <alignment vertical="center"/>
    </xf>
    <xf numFmtId="0" fontId="0" fillId="0" borderId="0" xfId="0" pivotButton="1" applyBorder="1" applyAlignment="1">
      <alignment vertical="center" wrapText="1"/>
    </xf>
    <xf numFmtId="0" fontId="0" fillId="27" borderId="0" xfId="0" applyFill="1" applyBorder="1" applyAlignment="1">
      <alignment horizontal="left"/>
    </xf>
    <xf numFmtId="0" fontId="0" fillId="22" borderId="0" xfId="0" applyFill="1" applyBorder="1" applyAlignment="1">
      <alignment horizontal="left"/>
    </xf>
    <xf numFmtId="0" fontId="0" fillId="28" borderId="0" xfId="0" applyFill="1" applyBorder="1" applyAlignment="1">
      <alignment horizontal="left"/>
    </xf>
    <xf numFmtId="0" fontId="0" fillId="28" borderId="0" xfId="0" applyFill="1" applyBorder="1"/>
    <xf numFmtId="0" fontId="0" fillId="25" borderId="0" xfId="0" applyFill="1" applyBorder="1" applyAlignment="1">
      <alignment horizontal="left"/>
    </xf>
    <xf numFmtId="0" fontId="0" fillId="0" borderId="0" xfId="0" applyNumberFormat="1" applyBorder="1"/>
    <xf numFmtId="0" fontId="0" fillId="24" borderId="0" xfId="0" applyNumberFormat="1" applyFill="1" applyBorder="1"/>
    <xf numFmtId="0" fontId="0" fillId="20" borderId="0" xfId="0" applyNumberFormat="1" applyFill="1" applyBorder="1"/>
    <xf numFmtId="0" fontId="0" fillId="23" borderId="0" xfId="0" applyNumberFormat="1" applyFill="1" applyBorder="1"/>
    <xf numFmtId="0" fontId="0" fillId="26" borderId="0" xfId="0" applyNumberFormat="1" applyFill="1" applyBorder="1"/>
    <xf numFmtId="0" fontId="0" fillId="27" borderId="0" xfId="0" applyNumberFormat="1" applyFill="1" applyBorder="1"/>
    <xf numFmtId="0" fontId="0" fillId="22" borderId="0" xfId="0" applyNumberFormat="1" applyFill="1" applyBorder="1"/>
    <xf numFmtId="0" fontId="0" fillId="25" borderId="0" xfId="0" applyNumberFormat="1" applyFill="1" applyBorder="1"/>
    <xf numFmtId="165" fontId="99" fillId="0" borderId="60" xfId="1954" applyFont="1" applyFill="1" applyBorder="1"/>
    <xf numFmtId="0" fontId="0" fillId="20" borderId="61" xfId="0" applyFill="1" applyBorder="1" applyAlignment="1">
      <alignment horizontal="left"/>
    </xf>
    <xf numFmtId="0" fontId="0" fillId="28" borderId="0" xfId="0" applyNumberFormat="1" applyFill="1" applyBorder="1"/>
    <xf numFmtId="165" fontId="0" fillId="28" borderId="0" xfId="0" applyNumberFormat="1" applyFill="1" applyBorder="1"/>
    <xf numFmtId="165" fontId="88" fillId="0" borderId="0" xfId="0" applyNumberFormat="1" applyFont="1" applyAlignment="1">
      <alignment horizontal="left"/>
    </xf>
    <xf numFmtId="0" fontId="0" fillId="24" borderId="61" xfId="0" applyFill="1" applyBorder="1" applyAlignment="1">
      <alignment horizontal="left"/>
    </xf>
    <xf numFmtId="0" fontId="0" fillId="32" borderId="0" xfId="0" applyFill="1" applyBorder="1"/>
    <xf numFmtId="0" fontId="0" fillId="32" borderId="0" xfId="0" applyNumberFormat="1" applyFill="1" applyBorder="1"/>
    <xf numFmtId="165" fontId="0" fillId="32" borderId="0" xfId="0" applyNumberFormat="1" applyFill="1" applyBorder="1"/>
    <xf numFmtId="0" fontId="0" fillId="32" borderId="61" xfId="0" applyFill="1" applyBorder="1" applyAlignment="1">
      <alignment horizontal="left"/>
    </xf>
    <xf numFmtId="0" fontId="82" fillId="6" borderId="0" xfId="27" applyFill="1" applyAlignment="1"/>
    <xf numFmtId="0" fontId="82" fillId="6" borderId="0" xfId="27" applyFill="1" applyAlignment="1">
      <alignment wrapText="1"/>
    </xf>
    <xf numFmtId="0" fontId="82" fillId="6" borderId="0" xfId="27" applyFill="1"/>
    <xf numFmtId="14" fontId="99" fillId="6" borderId="0" xfId="27" applyNumberFormat="1" applyFont="1" applyFill="1"/>
    <xf numFmtId="0" fontId="98" fillId="6" borderId="0" xfId="27" applyFont="1" applyFill="1"/>
    <xf numFmtId="164" fontId="99" fillId="6" borderId="0" xfId="27" applyNumberFormat="1" applyFont="1" applyFill="1"/>
    <xf numFmtId="165" fontId="98" fillId="6" borderId="0" xfId="1954" applyFont="1" applyFill="1"/>
    <xf numFmtId="0" fontId="100" fillId="6" borderId="0" xfId="27" applyFont="1" applyFill="1" applyBorder="1" applyAlignment="1">
      <alignment horizontal="center"/>
    </xf>
    <xf numFmtId="165" fontId="0" fillId="6" borderId="0" xfId="1954" applyFont="1" applyFill="1"/>
    <xf numFmtId="165" fontId="97" fillId="6" borderId="0" xfId="1954" applyFont="1" applyFill="1" applyAlignment="1">
      <alignment vertical="center"/>
    </xf>
    <xf numFmtId="0" fontId="99" fillId="6" borderId="0" xfId="27" applyFont="1" applyFill="1"/>
    <xf numFmtId="0" fontId="100" fillId="6" borderId="0" xfId="27" applyFont="1" applyFill="1" applyBorder="1" applyAlignment="1">
      <alignment vertical="center"/>
    </xf>
    <xf numFmtId="0" fontId="100" fillId="6" borderId="0" xfId="27" applyFont="1" applyFill="1" applyBorder="1" applyAlignment="1"/>
    <xf numFmtId="0" fontId="99" fillId="6" borderId="0" xfId="27" applyFont="1" applyFill="1" applyBorder="1"/>
    <xf numFmtId="165" fontId="99" fillId="6" borderId="0" xfId="27" applyNumberFormat="1" applyFont="1" applyFill="1" applyBorder="1"/>
    <xf numFmtId="0" fontId="100" fillId="0" borderId="0" xfId="27" applyFont="1" applyFill="1" applyBorder="1" applyAlignment="1"/>
    <xf numFmtId="0" fontId="99" fillId="0" borderId="26" xfId="27" applyFont="1" applyBorder="1"/>
    <xf numFmtId="0" fontId="99" fillId="0" borderId="20" xfId="27" applyFont="1" applyBorder="1"/>
    <xf numFmtId="0" fontId="82" fillId="0" borderId="0" xfId="27" applyBorder="1"/>
    <xf numFmtId="0" fontId="99" fillId="0" borderId="35" xfId="27" applyFont="1" applyBorder="1"/>
    <xf numFmtId="0" fontId="99" fillId="0" borderId="0" xfId="27" applyFont="1" applyFill="1" applyBorder="1"/>
    <xf numFmtId="0" fontId="99" fillId="0" borderId="21" xfId="27" applyFont="1" applyFill="1" applyBorder="1"/>
    <xf numFmtId="0" fontId="99" fillId="0" borderId="26" xfId="27" applyFont="1" applyFill="1" applyBorder="1"/>
    <xf numFmtId="0" fontId="99" fillId="0" borderId="20" xfId="27" applyFont="1" applyFill="1" applyBorder="1"/>
    <xf numFmtId="0" fontId="99" fillId="0" borderId="28" xfId="27" applyFont="1" applyFill="1" applyBorder="1"/>
    <xf numFmtId="0" fontId="99" fillId="0" borderId="29" xfId="27" applyFont="1" applyFill="1" applyBorder="1"/>
    <xf numFmtId="165" fontId="99" fillId="0" borderId="30" xfId="27" applyNumberFormat="1" applyFont="1" applyFill="1" applyBorder="1"/>
    <xf numFmtId="0" fontId="98" fillId="0" borderId="20" xfId="27" applyFont="1" applyFill="1" applyBorder="1"/>
    <xf numFmtId="0" fontId="99" fillId="0" borderId="62" xfId="27" applyFont="1" applyFill="1" applyBorder="1"/>
    <xf numFmtId="0" fontId="99" fillId="0" borderId="63" xfId="27" applyNumberFormat="1" applyFont="1" applyFill="1" applyBorder="1"/>
    <xf numFmtId="0" fontId="99" fillId="0" borderId="48" xfId="27" applyFont="1" applyFill="1" applyBorder="1"/>
    <xf numFmtId="165" fontId="99" fillId="0" borderId="49" xfId="1954" applyFont="1" applyFill="1" applyBorder="1"/>
    <xf numFmtId="0" fontId="99" fillId="0" borderId="58" xfId="27" applyFont="1" applyFill="1" applyBorder="1"/>
    <xf numFmtId="0" fontId="98" fillId="0" borderId="59" xfId="27" applyFont="1" applyFill="1" applyBorder="1"/>
    <xf numFmtId="0" fontId="99" fillId="0" borderId="55" xfId="27" applyFont="1" applyFill="1" applyBorder="1"/>
    <xf numFmtId="0" fontId="99" fillId="0" borderId="56" xfId="27" applyFont="1" applyFill="1" applyBorder="1"/>
    <xf numFmtId="0" fontId="99" fillId="0" borderId="59" xfId="27" applyFont="1" applyFill="1" applyBorder="1"/>
    <xf numFmtId="165" fontId="99" fillId="0" borderId="60" xfId="27" applyNumberFormat="1" applyFont="1" applyFill="1" applyBorder="1"/>
    <xf numFmtId="0" fontId="99" fillId="0" borderId="45" xfId="27" applyFont="1" applyFill="1" applyBorder="1"/>
    <xf numFmtId="0" fontId="99" fillId="0" borderId="46" xfId="27" applyFont="1" applyFill="1" applyBorder="1"/>
    <xf numFmtId="165" fontId="99" fillId="0" borderId="47" xfId="1954" applyFont="1" applyFill="1" applyBorder="1"/>
    <xf numFmtId="0" fontId="99" fillId="0" borderId="31" xfId="27" applyFont="1" applyFill="1" applyBorder="1"/>
    <xf numFmtId="0" fontId="99" fillId="0" borderId="32" xfId="27" applyFont="1" applyFill="1" applyBorder="1"/>
    <xf numFmtId="0" fontId="82" fillId="0" borderId="0" xfId="27"/>
    <xf numFmtId="0" fontId="99" fillId="0" borderId="40" xfId="27" applyFont="1" applyFill="1" applyBorder="1"/>
    <xf numFmtId="0" fontId="99" fillId="0" borderId="42" xfId="27" applyFont="1" applyFill="1" applyBorder="1"/>
    <xf numFmtId="0" fontId="99" fillId="0" borderId="43" xfId="27" applyFont="1" applyFill="1" applyBorder="1"/>
    <xf numFmtId="165" fontId="99" fillId="0" borderId="44" xfId="27" applyNumberFormat="1" applyFont="1" applyFill="1" applyBorder="1"/>
    <xf numFmtId="165" fontId="98" fillId="6" borderId="0" xfId="27" applyNumberFormat="1" applyFont="1" applyFill="1"/>
    <xf numFmtId="0" fontId="82" fillId="0" borderId="0" xfId="27" applyAlignment="1"/>
    <xf numFmtId="0" fontId="82" fillId="0" borderId="0" xfId="27" applyAlignment="1">
      <alignment wrapText="1"/>
    </xf>
    <xf numFmtId="0" fontId="98" fillId="0" borderId="0" xfId="27" applyFont="1"/>
    <xf numFmtId="0" fontId="99" fillId="0" borderId="20" xfId="0" applyFont="1" applyBorder="1"/>
    <xf numFmtId="165" fontId="108" fillId="0" borderId="27" xfId="27" applyNumberFormat="1" applyFont="1" applyFill="1" applyBorder="1"/>
    <xf numFmtId="165" fontId="108" fillId="0" borderId="57" xfId="1954" applyFont="1" applyFill="1" applyBorder="1"/>
    <xf numFmtId="0" fontId="87" fillId="0" borderId="0" xfId="0" applyFont="1" applyFill="1" applyAlignment="1">
      <alignment horizontal="left"/>
    </xf>
    <xf numFmtId="0" fontId="87" fillId="0" borderId="0" xfId="0" applyFont="1" applyAlignment="1">
      <alignment horizontal="left"/>
    </xf>
    <xf numFmtId="14" fontId="87" fillId="0" borderId="0" xfId="0" applyNumberFormat="1" applyFont="1" applyAlignment="1">
      <alignment horizontal="left"/>
    </xf>
    <xf numFmtId="10" fontId="87" fillId="0" borderId="0" xfId="0" applyNumberFormat="1" applyFont="1" applyFill="1" applyAlignment="1">
      <alignment horizontal="left"/>
    </xf>
    <xf numFmtId="14" fontId="87" fillId="9" borderId="0" xfId="0" applyNumberFormat="1" applyFont="1" applyFill="1" applyBorder="1" applyAlignment="1">
      <alignment horizontal="left"/>
    </xf>
    <xf numFmtId="14" fontId="87" fillId="16" borderId="0" xfId="0" applyNumberFormat="1" applyFont="1" applyFill="1" applyBorder="1" applyAlignment="1">
      <alignment horizontal="right"/>
    </xf>
    <xf numFmtId="165" fontId="87" fillId="0" borderId="0" xfId="1954" applyFont="1" applyFill="1" applyBorder="1" applyAlignment="1">
      <alignment horizontal="left"/>
    </xf>
    <xf numFmtId="0" fontId="87" fillId="6" borderId="0" xfId="0" applyFont="1" applyFill="1" applyBorder="1" applyAlignment="1">
      <alignment horizontal="left"/>
    </xf>
    <xf numFmtId="0" fontId="87" fillId="9" borderId="0" xfId="0" applyFont="1" applyFill="1" applyAlignment="1">
      <alignment horizontal="left"/>
    </xf>
    <xf numFmtId="165" fontId="90" fillId="3" borderId="0" xfId="1954" applyFont="1" applyFill="1" applyAlignment="1">
      <alignment horizontal="left" vertical="center" wrapText="1"/>
    </xf>
    <xf numFmtId="165" fontId="90" fillId="10" borderId="0" xfId="1954" applyFont="1" applyFill="1" applyAlignment="1">
      <alignment horizontal="right" vertical="center" wrapText="1"/>
    </xf>
    <xf numFmtId="165" fontId="90" fillId="10" borderId="0" xfId="1954" applyFont="1" applyFill="1" applyAlignment="1">
      <alignment horizontal="left" vertical="center" wrapText="1"/>
    </xf>
    <xf numFmtId="0" fontId="87" fillId="0" borderId="0" xfId="0" applyFont="1" applyFill="1" applyBorder="1" applyAlignment="1">
      <alignment horizontal="left"/>
    </xf>
    <xf numFmtId="14" fontId="87" fillId="6" borderId="0" xfId="0" applyNumberFormat="1" applyFont="1" applyFill="1" applyAlignment="1">
      <alignment horizontal="left"/>
    </xf>
    <xf numFmtId="0" fontId="87" fillId="6" borderId="0" xfId="0" applyFont="1" applyFill="1" applyAlignment="1">
      <alignment horizontal="left"/>
    </xf>
    <xf numFmtId="165" fontId="87" fillId="6" borderId="0" xfId="1954" applyFont="1" applyFill="1" applyAlignment="1">
      <alignment horizontal="left"/>
    </xf>
    <xf numFmtId="14" fontId="87" fillId="9" borderId="0" xfId="0" applyNumberFormat="1" applyFont="1" applyFill="1" applyAlignment="1">
      <alignment horizontal="right"/>
    </xf>
    <xf numFmtId="0" fontId="87" fillId="16" borderId="0" xfId="0" applyFont="1" applyFill="1" applyAlignment="1">
      <alignment horizontal="left"/>
    </xf>
    <xf numFmtId="14" fontId="109" fillId="14" borderId="0" xfId="0" applyNumberFormat="1" applyFont="1" applyFill="1" applyAlignment="1">
      <alignment horizontal="left" vertical="center" wrapText="1"/>
    </xf>
    <xf numFmtId="0" fontId="109" fillId="14" borderId="0" xfId="0" applyFont="1" applyFill="1" applyAlignment="1">
      <alignment horizontal="left" vertical="center" wrapText="1"/>
    </xf>
    <xf numFmtId="0" fontId="109" fillId="8" borderId="0" xfId="0" applyFont="1" applyFill="1" applyAlignment="1">
      <alignment horizontal="left" vertical="center" wrapText="1"/>
    </xf>
    <xf numFmtId="14" fontId="109" fillId="8" borderId="0" xfId="0" applyNumberFormat="1" applyFont="1" applyFill="1" applyAlignment="1">
      <alignment horizontal="left" vertical="center" wrapText="1"/>
    </xf>
    <xf numFmtId="165" fontId="109" fillId="8" borderId="0" xfId="0" applyNumberFormat="1" applyFont="1" applyFill="1" applyAlignment="1">
      <alignment horizontal="left" vertical="center" wrapText="1"/>
    </xf>
    <xf numFmtId="0" fontId="109" fillId="9" borderId="0" xfId="0" applyFont="1" applyFill="1" applyAlignment="1">
      <alignment horizontal="right" vertical="center" wrapText="1"/>
    </xf>
    <xf numFmtId="2" fontId="109" fillId="11" borderId="0" xfId="0" applyNumberFormat="1" applyFont="1" applyFill="1" applyAlignment="1">
      <alignment horizontal="left" vertical="center" wrapText="1"/>
    </xf>
    <xf numFmtId="0" fontId="110" fillId="11" borderId="0" xfId="0" applyFont="1" applyFill="1" applyAlignment="1">
      <alignment horizontal="left" vertical="center" wrapText="1"/>
    </xf>
    <xf numFmtId="0" fontId="109" fillId="11" borderId="0" xfId="0" applyFont="1" applyFill="1" applyAlignment="1">
      <alignment horizontal="left" vertical="center" wrapText="1"/>
    </xf>
    <xf numFmtId="14" fontId="109" fillId="11" borderId="0" xfId="0" applyNumberFormat="1" applyFont="1" applyFill="1" applyAlignment="1">
      <alignment horizontal="left" vertical="center" wrapText="1"/>
    </xf>
    <xf numFmtId="0" fontId="109" fillId="11" borderId="0" xfId="0" applyNumberFormat="1" applyFont="1" applyFill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14" fontId="87" fillId="6" borderId="0" xfId="0" applyNumberFormat="1" applyFont="1" applyFill="1" applyBorder="1" applyAlignment="1">
      <alignment horizontal="left"/>
    </xf>
    <xf numFmtId="2" fontId="87" fillId="6" borderId="0" xfId="0" applyNumberFormat="1" applyFont="1" applyFill="1" applyBorder="1" applyAlignment="1">
      <alignment horizontal="left"/>
    </xf>
    <xf numFmtId="0" fontId="104" fillId="6" borderId="0" xfId="0" applyFont="1" applyFill="1" applyBorder="1" applyAlignment="1">
      <alignment horizontal="left"/>
    </xf>
    <xf numFmtId="0" fontId="87" fillId="6" borderId="0" xfId="0" applyNumberFormat="1" applyFont="1" applyFill="1" applyBorder="1" applyAlignment="1">
      <alignment horizontal="left"/>
    </xf>
    <xf numFmtId="10" fontId="87" fillId="6" borderId="0" xfId="0" applyNumberFormat="1" applyFont="1" applyFill="1" applyBorder="1" applyAlignment="1">
      <alignment horizontal="left"/>
    </xf>
    <xf numFmtId="14" fontId="109" fillId="3" borderId="0" xfId="0" applyNumberFormat="1" applyFont="1" applyFill="1" applyAlignment="1">
      <alignment horizontal="left" vertical="center" wrapText="1"/>
    </xf>
    <xf numFmtId="0" fontId="109" fillId="3" borderId="0" xfId="0" applyFont="1" applyFill="1" applyAlignment="1">
      <alignment horizontal="left" vertical="center" wrapText="1"/>
    </xf>
    <xf numFmtId="0" fontId="109" fillId="2" borderId="0" xfId="0" applyFont="1" applyFill="1" applyAlignment="1">
      <alignment horizontal="left" vertical="center" wrapText="1"/>
    </xf>
    <xf numFmtId="14" fontId="109" fillId="2" borderId="0" xfId="0" applyNumberFormat="1" applyFont="1" applyFill="1" applyAlignment="1">
      <alignment horizontal="left" vertical="center" wrapText="1"/>
    </xf>
    <xf numFmtId="10" fontId="109" fillId="2" borderId="0" xfId="0" applyNumberFormat="1" applyFont="1" applyFill="1" applyAlignment="1">
      <alignment horizontal="left" vertical="center" wrapText="1"/>
    </xf>
    <xf numFmtId="165" fontId="109" fillId="2" borderId="0" xfId="0" applyNumberFormat="1" applyFont="1" applyFill="1" applyAlignment="1">
      <alignment horizontal="left" vertical="center" wrapText="1"/>
    </xf>
    <xf numFmtId="14" fontId="109" fillId="9" borderId="0" xfId="0" applyNumberFormat="1" applyFont="1" applyFill="1" applyAlignment="1">
      <alignment horizontal="left" vertical="center" wrapText="1"/>
    </xf>
    <xf numFmtId="2" fontId="109" fillId="10" borderId="0" xfId="0" applyNumberFormat="1" applyFont="1" applyFill="1" applyAlignment="1">
      <alignment horizontal="left" vertical="center" wrapText="1"/>
    </xf>
    <xf numFmtId="0" fontId="110" fillId="10" borderId="0" xfId="0" applyFont="1" applyFill="1" applyAlignment="1">
      <alignment horizontal="left" vertical="center" wrapText="1"/>
    </xf>
    <xf numFmtId="0" fontId="109" fillId="10" borderId="0" xfId="0" applyFont="1" applyFill="1" applyAlignment="1">
      <alignment horizontal="left" vertical="center" wrapText="1"/>
    </xf>
    <xf numFmtId="14" fontId="109" fillId="10" borderId="0" xfId="0" applyNumberFormat="1" applyFont="1" applyFill="1" applyAlignment="1">
      <alignment horizontal="left" vertical="center" wrapText="1"/>
    </xf>
    <xf numFmtId="0" fontId="109" fillId="10" borderId="0" xfId="0" applyNumberFormat="1" applyFont="1" applyFill="1" applyAlignment="1">
      <alignment horizontal="left" vertical="center" wrapText="1"/>
    </xf>
    <xf numFmtId="14" fontId="109" fillId="16" borderId="0" xfId="0" applyNumberFormat="1" applyFont="1" applyFill="1" applyAlignment="1">
      <alignment horizontal="right" vertical="center" wrapText="1"/>
    </xf>
    <xf numFmtId="165" fontId="82" fillId="6" borderId="0" xfId="27" applyNumberFormat="1" applyFill="1"/>
    <xf numFmtId="0" fontId="99" fillId="0" borderId="64" xfId="27" applyFont="1" applyFill="1" applyBorder="1"/>
    <xf numFmtId="165" fontId="99" fillId="0" borderId="64" xfId="1954" applyFont="1" applyFill="1" applyBorder="1"/>
    <xf numFmtId="0" fontId="98" fillId="0" borderId="64" xfId="27" applyFont="1" applyFill="1" applyBorder="1"/>
    <xf numFmtId="165" fontId="99" fillId="0" borderId="64" xfId="27" applyNumberFormat="1" applyFont="1" applyFill="1" applyBorder="1"/>
    <xf numFmtId="14" fontId="92" fillId="0" borderId="0" xfId="0" applyNumberFormat="1" applyFont="1" applyFill="1" applyAlignment="1">
      <alignment horizontal="left"/>
    </xf>
    <xf numFmtId="166" fontId="90" fillId="10" borderId="0" xfId="3975" applyFont="1" applyFill="1" applyAlignment="1">
      <alignment horizontal="left" vertical="center" wrapText="1"/>
    </xf>
    <xf numFmtId="0" fontId="88" fillId="0" borderId="0" xfId="0" applyFont="1" applyAlignment="1">
      <alignment vertical="center" wrapText="1"/>
    </xf>
    <xf numFmtId="0" fontId="88" fillId="0" borderId="0" xfId="0" applyFont="1"/>
    <xf numFmtId="0" fontId="112" fillId="18" borderId="9" xfId="0" applyFont="1" applyFill="1" applyBorder="1" applyAlignment="1">
      <alignment vertical="center"/>
    </xf>
    <xf numFmtId="0" fontId="112" fillId="18" borderId="10" xfId="0" applyFont="1" applyFill="1" applyBorder="1" applyAlignment="1">
      <alignment vertical="center"/>
    </xf>
    <xf numFmtId="0" fontId="112" fillId="18" borderId="11" xfId="0" applyFont="1" applyFill="1" applyBorder="1" applyAlignment="1">
      <alignment horizontal="center" vertical="center"/>
    </xf>
    <xf numFmtId="0" fontId="112" fillId="18" borderId="12" xfId="0" applyFont="1" applyFill="1" applyBorder="1" applyAlignment="1">
      <alignment horizontal="center" vertical="center"/>
    </xf>
    <xf numFmtId="3" fontId="114" fillId="0" borderId="0" xfId="0" applyNumberFormat="1" applyFont="1"/>
    <xf numFmtId="0" fontId="113" fillId="17" borderId="13" xfId="0" applyFont="1" applyFill="1" applyBorder="1" applyAlignment="1">
      <alignment horizontal="center" vertical="center"/>
    </xf>
    <xf numFmtId="0" fontId="88" fillId="0" borderId="0" xfId="0" applyFont="1" applyAlignment="1">
      <alignment vertical="center"/>
    </xf>
    <xf numFmtId="0" fontId="112" fillId="18" borderId="11" xfId="0" applyFont="1" applyFill="1" applyBorder="1" applyAlignment="1">
      <alignment horizontal="right" vertical="center"/>
    </xf>
    <xf numFmtId="165" fontId="88" fillId="0" borderId="0" xfId="0" applyNumberFormat="1" applyFont="1"/>
    <xf numFmtId="0" fontId="89" fillId="0" borderId="0" xfId="0" applyFont="1"/>
    <xf numFmtId="4" fontId="84" fillId="0" borderId="0" xfId="0" applyNumberFormat="1" applyFont="1" applyAlignment="1">
      <alignment vertical="top"/>
    </xf>
    <xf numFmtId="0" fontId="84" fillId="0" borderId="0" xfId="0" applyFont="1" applyAlignment="1">
      <alignment vertical="top"/>
    </xf>
    <xf numFmtId="165" fontId="88" fillId="6" borderId="0" xfId="1954" applyFont="1" applyFill="1" applyBorder="1" applyAlignment="1">
      <alignment horizontal="left"/>
    </xf>
    <xf numFmtId="14" fontId="88" fillId="6" borderId="0" xfId="1328" applyNumberFormat="1" applyFont="1" applyFill="1" applyBorder="1" applyAlignment="1">
      <alignment horizontal="left"/>
    </xf>
    <xf numFmtId="165" fontId="88" fillId="6" borderId="0" xfId="1954" applyFont="1" applyFill="1" applyBorder="1" applyAlignment="1">
      <alignment horizontal="right"/>
    </xf>
    <xf numFmtId="165" fontId="92" fillId="6" borderId="0" xfId="1954" applyFont="1" applyFill="1" applyBorder="1" applyAlignment="1">
      <alignment horizontal="left"/>
    </xf>
    <xf numFmtId="10" fontId="88" fillId="6" borderId="0" xfId="1328" applyNumberFormat="1" applyFont="1" applyFill="1" applyBorder="1" applyAlignment="1">
      <alignment horizontal="left"/>
    </xf>
    <xf numFmtId="165" fontId="92" fillId="0" borderId="0" xfId="1954" applyFont="1" applyAlignment="1">
      <alignment horizontal="left"/>
    </xf>
    <xf numFmtId="165" fontId="92" fillId="15" borderId="0" xfId="1954" applyFont="1" applyFill="1" applyAlignment="1">
      <alignment horizontal="left"/>
    </xf>
    <xf numFmtId="165" fontId="87" fillId="0" borderId="0" xfId="1954" applyFont="1" applyFill="1" applyAlignment="1">
      <alignment horizontal="left"/>
    </xf>
    <xf numFmtId="165" fontId="87" fillId="15" borderId="0" xfId="1954" applyFont="1" applyFill="1" applyAlignment="1">
      <alignment horizontal="left"/>
    </xf>
    <xf numFmtId="165" fontId="109" fillId="14" borderId="0" xfId="1954" applyFont="1" applyFill="1" applyAlignment="1">
      <alignment horizontal="left" vertical="center" wrapText="1"/>
    </xf>
    <xf numFmtId="165" fontId="109" fillId="11" borderId="0" xfId="1954" applyFont="1" applyFill="1" applyAlignment="1">
      <alignment horizontal="left" vertical="center" wrapText="1"/>
    </xf>
    <xf numFmtId="165" fontId="87" fillId="6" borderId="0" xfId="1954" applyFont="1" applyFill="1" applyBorder="1" applyAlignment="1">
      <alignment horizontal="left"/>
    </xf>
    <xf numFmtId="14" fontId="87" fillId="6" borderId="0" xfId="1328" applyNumberFormat="1" applyFont="1" applyFill="1" applyBorder="1" applyAlignment="1">
      <alignment horizontal="left"/>
    </xf>
    <xf numFmtId="165" fontId="87" fillId="6" borderId="0" xfId="1954" applyFont="1" applyFill="1" applyBorder="1" applyAlignment="1">
      <alignment horizontal="right"/>
    </xf>
    <xf numFmtId="165" fontId="104" fillId="6" borderId="0" xfId="1954" applyFont="1" applyFill="1" applyBorder="1" applyAlignment="1">
      <alignment horizontal="left"/>
    </xf>
    <xf numFmtId="10" fontId="87" fillId="6" borderId="0" xfId="1328" applyNumberFormat="1" applyFont="1" applyFill="1" applyBorder="1" applyAlignment="1">
      <alignment horizontal="left"/>
    </xf>
    <xf numFmtId="165" fontId="109" fillId="3" borderId="0" xfId="1954" applyFont="1" applyFill="1" applyAlignment="1">
      <alignment horizontal="left" vertical="center" wrapText="1"/>
    </xf>
    <xf numFmtId="165" fontId="109" fillId="10" borderId="0" xfId="1954" applyFont="1" applyFill="1" applyAlignment="1">
      <alignment horizontal="right" vertical="center" wrapText="1"/>
    </xf>
    <xf numFmtId="165" fontId="109" fillId="10" borderId="0" xfId="1954" applyFont="1" applyFill="1" applyAlignment="1">
      <alignment horizontal="left" vertical="center" wrapText="1"/>
    </xf>
    <xf numFmtId="165" fontId="87" fillId="0" borderId="0" xfId="1954" applyFont="1" applyAlignment="1">
      <alignment horizontal="left"/>
    </xf>
    <xf numFmtId="165" fontId="92" fillId="0" borderId="0" xfId="1954" applyFont="1" applyFill="1" applyAlignment="1">
      <alignment horizontal="left"/>
    </xf>
    <xf numFmtId="165" fontId="88" fillId="0" borderId="0" xfId="1954" applyFont="1"/>
    <xf numFmtId="165" fontId="113" fillId="17" borderId="13" xfId="1954" applyFont="1" applyFill="1" applyBorder="1" applyAlignment="1">
      <alignment horizontal="right" vertical="center"/>
    </xf>
    <xf numFmtId="165" fontId="112" fillId="18" borderId="12" xfId="1954" applyFont="1" applyFill="1" applyBorder="1" applyAlignment="1">
      <alignment horizontal="right" vertical="center"/>
    </xf>
    <xf numFmtId="166" fontId="113" fillId="17" borderId="13" xfId="3975" applyFont="1" applyFill="1" applyBorder="1" applyAlignment="1">
      <alignment horizontal="center" vertical="center"/>
    </xf>
    <xf numFmtId="0" fontId="88" fillId="64" borderId="0" xfId="0" applyFont="1" applyFill="1" applyBorder="1" applyAlignment="1">
      <alignment wrapText="1"/>
    </xf>
    <xf numFmtId="14" fontId="93" fillId="64" borderId="0" xfId="0" applyNumberFormat="1" applyFont="1" applyFill="1" applyAlignment="1">
      <alignment horizontal="left" vertical="center"/>
    </xf>
    <xf numFmtId="165" fontId="98" fillId="0" borderId="64" xfId="1954" applyFont="1" applyFill="1" applyBorder="1"/>
    <xf numFmtId="44" fontId="99" fillId="3" borderId="74" xfId="27" applyNumberFormat="1" applyFont="1" applyFill="1" applyBorder="1" applyAlignment="1">
      <alignment vertical="center"/>
    </xf>
    <xf numFmtId="165" fontId="99" fillId="3" borderId="75" xfId="27" applyNumberFormat="1" applyFont="1" applyFill="1" applyBorder="1" applyAlignment="1">
      <alignment vertical="center"/>
    </xf>
    <xf numFmtId="0" fontId="0" fillId="0" borderId="0" xfId="0" applyBorder="1" applyAlignment="1"/>
    <xf numFmtId="14" fontId="113" fillId="6" borderId="0" xfId="0" applyNumberFormat="1" applyFont="1" applyFill="1" applyBorder="1" applyAlignment="1">
      <alignment horizontal="left"/>
    </xf>
    <xf numFmtId="0" fontId="113" fillId="6" borderId="0" xfId="0" applyFont="1" applyFill="1" applyBorder="1" applyAlignment="1">
      <alignment horizontal="left"/>
    </xf>
    <xf numFmtId="0" fontId="113" fillId="0" borderId="0" xfId="0" applyFont="1" applyFill="1" applyBorder="1" applyAlignment="1">
      <alignment horizontal="left"/>
    </xf>
    <xf numFmtId="165" fontId="113" fillId="6" borderId="0" xfId="1" applyFont="1" applyFill="1" applyBorder="1" applyAlignment="1">
      <alignment horizontal="left"/>
    </xf>
    <xf numFmtId="10" fontId="113" fillId="6" borderId="0" xfId="0" applyNumberFormat="1" applyFont="1" applyFill="1" applyBorder="1" applyAlignment="1">
      <alignment horizontal="left"/>
    </xf>
    <xf numFmtId="0" fontId="113" fillId="6" borderId="0" xfId="691" applyNumberFormat="1" applyFont="1" applyFill="1" applyBorder="1" applyAlignment="1">
      <alignment horizontal="left"/>
    </xf>
    <xf numFmtId="10" fontId="113" fillId="6" borderId="0" xfId="691" applyNumberFormat="1" applyFont="1" applyFill="1" applyBorder="1" applyAlignment="1">
      <alignment horizontal="left"/>
    </xf>
    <xf numFmtId="2" fontId="113" fillId="6" borderId="0" xfId="0" applyNumberFormat="1" applyFont="1" applyFill="1" applyBorder="1" applyAlignment="1">
      <alignment horizontal="left"/>
    </xf>
    <xf numFmtId="0" fontId="113" fillId="6" borderId="0" xfId="0" applyNumberFormat="1" applyFont="1" applyFill="1" applyBorder="1" applyAlignment="1">
      <alignment horizontal="left"/>
    </xf>
    <xf numFmtId="165" fontId="113" fillId="6" borderId="0" xfId="1" applyFont="1" applyFill="1" applyBorder="1" applyAlignment="1">
      <alignment horizontal="right"/>
    </xf>
    <xf numFmtId="166" fontId="135" fillId="6" borderId="0" xfId="3975" applyFont="1" applyFill="1" applyBorder="1" applyAlignment="1">
      <alignment horizontal="left"/>
    </xf>
    <xf numFmtId="165" fontId="135" fillId="6" borderId="0" xfId="1" applyFont="1" applyFill="1" applyBorder="1" applyAlignment="1">
      <alignment horizontal="left"/>
    </xf>
    <xf numFmtId="0" fontId="113" fillId="6" borderId="0" xfId="0" applyFont="1" applyFill="1" applyBorder="1" applyAlignment="1"/>
    <xf numFmtId="0" fontId="136" fillId="13" borderId="0" xfId="0" applyFont="1" applyFill="1" applyAlignment="1">
      <alignment horizontal="left" vertical="center"/>
    </xf>
    <xf numFmtId="165" fontId="136" fillId="13" borderId="0" xfId="1954" applyFont="1" applyFill="1" applyAlignment="1">
      <alignment horizontal="left"/>
    </xf>
    <xf numFmtId="0" fontId="136" fillId="13" borderId="0" xfId="0" applyFont="1" applyFill="1" applyAlignment="1">
      <alignment horizontal="left"/>
    </xf>
    <xf numFmtId="14" fontId="136" fillId="13" borderId="0" xfId="0" applyNumberFormat="1" applyFont="1" applyFill="1" applyAlignment="1">
      <alignment horizontal="left"/>
    </xf>
    <xf numFmtId="166" fontId="136" fillId="13" borderId="0" xfId="3975" applyFont="1" applyFill="1" applyAlignment="1">
      <alignment horizontal="left"/>
    </xf>
    <xf numFmtId="0" fontId="136" fillId="13" borderId="0" xfId="0" applyFont="1" applyFill="1" applyBorder="1" applyAlignment="1">
      <alignment horizontal="left" vertical="center"/>
    </xf>
    <xf numFmtId="0" fontId="136" fillId="13" borderId="0" xfId="0" applyFont="1" applyFill="1" applyBorder="1" applyAlignment="1">
      <alignment horizontal="left"/>
    </xf>
    <xf numFmtId="0" fontId="113" fillId="0" borderId="0" xfId="0" applyFont="1" applyFill="1" applyAlignment="1">
      <alignment horizontal="left"/>
    </xf>
    <xf numFmtId="165" fontId="137" fillId="0" borderId="0" xfId="1954" applyFont="1" applyFill="1" applyAlignment="1">
      <alignment horizontal="right"/>
    </xf>
    <xf numFmtId="0" fontId="135" fillId="0" borderId="0" xfId="0" applyFont="1"/>
    <xf numFmtId="0" fontId="113" fillId="0" borderId="0" xfId="27" applyFont="1" applyFill="1" applyBorder="1" applyAlignment="1">
      <alignment horizontal="left"/>
    </xf>
    <xf numFmtId="14" fontId="113" fillId="0" borderId="0" xfId="0" applyNumberFormat="1" applyFont="1" applyAlignment="1">
      <alignment horizontal="left"/>
    </xf>
    <xf numFmtId="14" fontId="137" fillId="0" borderId="0" xfId="0" applyNumberFormat="1" applyFont="1" applyFill="1" applyAlignment="1">
      <alignment horizontal="left"/>
    </xf>
    <xf numFmtId="0" fontId="113" fillId="0" borderId="0" xfId="0" applyNumberFormat="1" applyFont="1" applyFill="1" applyAlignment="1">
      <alignment horizontal="left"/>
    </xf>
    <xf numFmtId="10" fontId="113" fillId="0" borderId="0" xfId="0" applyNumberFormat="1" applyFont="1" applyFill="1" applyAlignment="1">
      <alignment horizontal="left"/>
    </xf>
    <xf numFmtId="165" fontId="113" fillId="0" borderId="0" xfId="0" applyNumberFormat="1" applyFont="1" applyAlignment="1">
      <alignment horizontal="left"/>
    </xf>
    <xf numFmtId="0" fontId="138" fillId="0" borderId="0" xfId="0" applyFont="1" applyAlignment="1">
      <alignment vertical="top"/>
    </xf>
    <xf numFmtId="0" fontId="113" fillId="9" borderId="0" xfId="0" applyFont="1" applyFill="1" applyAlignment="1">
      <alignment horizontal="left"/>
    </xf>
    <xf numFmtId="0" fontId="139" fillId="0" borderId="0" xfId="0" applyFont="1" applyAlignment="1">
      <alignment vertical="top"/>
    </xf>
    <xf numFmtId="0" fontId="138" fillId="6" borderId="0" xfId="0" applyFont="1" applyFill="1" applyAlignment="1">
      <alignment horizontal="left" vertical="top"/>
    </xf>
    <xf numFmtId="4" fontId="139" fillId="0" borderId="0" xfId="0" applyNumberFormat="1" applyFont="1" applyAlignment="1">
      <alignment vertical="top"/>
    </xf>
    <xf numFmtId="166" fontId="138" fillId="6" borderId="0" xfId="3923" applyFont="1" applyFill="1" applyAlignment="1">
      <alignment horizontal="left" vertical="top"/>
    </xf>
    <xf numFmtId="165" fontId="138" fillId="15" borderId="0" xfId="1954" applyFont="1" applyFill="1" applyAlignment="1">
      <alignment horizontal="left" vertical="top"/>
    </xf>
    <xf numFmtId="0" fontId="138" fillId="0" borderId="0" xfId="0" applyFont="1" applyFill="1" applyAlignment="1">
      <alignment horizontal="left" vertical="top"/>
    </xf>
    <xf numFmtId="14" fontId="138" fillId="0" borderId="0" xfId="0" applyNumberFormat="1" applyFont="1" applyFill="1" applyAlignment="1">
      <alignment horizontal="left" vertical="top"/>
    </xf>
    <xf numFmtId="14" fontId="113" fillId="16" borderId="0" xfId="0" applyNumberFormat="1" applyFont="1" applyFill="1" applyBorder="1" applyAlignment="1">
      <alignment horizontal="right"/>
    </xf>
    <xf numFmtId="165" fontId="113" fillId="5" borderId="1" xfId="1954" applyFont="1" applyFill="1" applyBorder="1" applyAlignment="1">
      <alignment horizontal="left"/>
    </xf>
    <xf numFmtId="165" fontId="113" fillId="5" borderId="2" xfId="0" applyNumberFormat="1" applyFont="1" applyFill="1" applyBorder="1" applyAlignment="1">
      <alignment horizontal="left"/>
    </xf>
    <xf numFmtId="0" fontId="113" fillId="0" borderId="0" xfId="0" applyFont="1" applyAlignment="1">
      <alignment horizontal="left"/>
    </xf>
    <xf numFmtId="0" fontId="113" fillId="0" borderId="0" xfId="0" applyFont="1" applyFill="1" applyBorder="1" applyAlignment="1"/>
    <xf numFmtId="14" fontId="113" fillId="0" borderId="0" xfId="0" applyNumberFormat="1" applyFont="1" applyFill="1" applyAlignment="1">
      <alignment horizontal="left"/>
    </xf>
    <xf numFmtId="165" fontId="136" fillId="13" borderId="0" xfId="0" applyNumberFormat="1" applyFont="1" applyFill="1" applyAlignment="1">
      <alignment horizontal="left" vertical="center"/>
    </xf>
    <xf numFmtId="14" fontId="137" fillId="0" borderId="0" xfId="0" applyNumberFormat="1" applyFont="1" applyAlignment="1">
      <alignment horizontal="left"/>
    </xf>
    <xf numFmtId="0" fontId="137" fillId="0" borderId="0" xfId="0" applyFont="1" applyAlignment="1">
      <alignment horizontal="left"/>
    </xf>
    <xf numFmtId="0" fontId="137" fillId="0" borderId="0" xfId="0" applyFont="1" applyFill="1" applyAlignment="1">
      <alignment horizontal="left"/>
    </xf>
    <xf numFmtId="14" fontId="113" fillId="0" borderId="0" xfId="0" applyNumberFormat="1" applyFont="1" applyFill="1" applyAlignment="1">
      <alignment horizontal="center" vertical="center"/>
    </xf>
    <xf numFmtId="14" fontId="113" fillId="0" borderId="0" xfId="0" applyNumberFormat="1" applyFont="1" applyFill="1" applyAlignment="1">
      <alignment horizontal="left" vertical="center"/>
    </xf>
    <xf numFmtId="0" fontId="113" fillId="0" borderId="0" xfId="0" applyFont="1" applyFill="1" applyAlignment="1">
      <alignment horizontal="left" vertical="center"/>
    </xf>
    <xf numFmtId="166" fontId="138" fillId="6" borderId="0" xfId="3975" applyFont="1" applyFill="1" applyAlignment="1">
      <alignment horizontal="left" vertical="top"/>
    </xf>
    <xf numFmtId="0" fontId="113" fillId="0" borderId="0" xfId="0" applyFont="1" applyFill="1" applyAlignment="1">
      <alignment vertical="center"/>
    </xf>
    <xf numFmtId="0" fontId="113" fillId="0" borderId="0" xfId="0" applyFont="1" applyAlignment="1">
      <alignment horizontal="left" vertical="center"/>
    </xf>
    <xf numFmtId="0" fontId="136" fillId="6" borderId="0" xfId="0" applyFont="1" applyFill="1" applyBorder="1" applyAlignment="1">
      <alignment vertical="center"/>
    </xf>
    <xf numFmtId="165" fontId="140" fillId="0" borderId="0" xfId="1954" applyFont="1" applyFill="1" applyAlignment="1">
      <alignment horizontal="left" vertical="center"/>
    </xf>
    <xf numFmtId="165" fontId="138" fillId="0" borderId="0" xfId="1" applyFont="1" applyFill="1" applyAlignment="1">
      <alignment horizontal="left" vertical="center"/>
    </xf>
    <xf numFmtId="0" fontId="135" fillId="0" borderId="0" xfId="0" applyFont="1" applyAlignment="1">
      <alignment horizontal="left" vertical="center"/>
    </xf>
    <xf numFmtId="14" fontId="113" fillId="0" borderId="0" xfId="0" applyNumberFormat="1" applyFont="1" applyFill="1" applyBorder="1" applyAlignment="1">
      <alignment horizontal="left" vertical="center"/>
    </xf>
    <xf numFmtId="14" fontId="137" fillId="0" borderId="0" xfId="0" applyNumberFormat="1" applyFont="1" applyFill="1" applyAlignment="1">
      <alignment horizontal="left" vertical="center"/>
    </xf>
    <xf numFmtId="0" fontId="113" fillId="0" borderId="0" xfId="0" applyNumberFormat="1" applyFont="1" applyFill="1" applyAlignment="1">
      <alignment horizontal="left" vertical="center"/>
    </xf>
    <xf numFmtId="165" fontId="113" fillId="0" borderId="0" xfId="0" applyNumberFormat="1" applyFont="1" applyAlignment="1">
      <alignment horizontal="left" vertical="center"/>
    </xf>
    <xf numFmtId="165" fontId="138" fillId="15" borderId="0" xfId="1954" applyFont="1" applyFill="1" applyAlignment="1">
      <alignment horizontal="left" vertical="center"/>
    </xf>
    <xf numFmtId="165" fontId="113" fillId="0" borderId="0" xfId="1" applyFont="1" applyFill="1" applyAlignment="1">
      <alignment horizontal="right"/>
    </xf>
    <xf numFmtId="0" fontId="141" fillId="0" borderId="0" xfId="0" applyFont="1" applyFill="1" applyAlignment="1">
      <alignment horizontal="left"/>
    </xf>
    <xf numFmtId="0" fontId="137" fillId="0" borderId="0" xfId="0" applyNumberFormat="1" applyFont="1" applyFill="1" applyAlignment="1">
      <alignment horizontal="left"/>
    </xf>
    <xf numFmtId="165" fontId="113" fillId="7" borderId="0" xfId="0" applyNumberFormat="1" applyFont="1" applyFill="1" applyAlignment="1">
      <alignment horizontal="left"/>
    </xf>
    <xf numFmtId="0" fontId="138" fillId="0" borderId="0" xfId="0" applyFont="1" applyFill="1" applyAlignment="1">
      <alignment vertical="top"/>
    </xf>
    <xf numFmtId="4" fontId="138" fillId="0" borderId="0" xfId="0" applyNumberFormat="1" applyFont="1" applyAlignment="1">
      <alignment vertical="top"/>
    </xf>
    <xf numFmtId="165" fontId="113" fillId="0" borderId="0" xfId="1954" applyFont="1" applyFill="1" applyBorder="1" applyAlignment="1">
      <alignment horizontal="left"/>
    </xf>
    <xf numFmtId="165" fontId="113" fillId="0" borderId="0" xfId="0" applyNumberFormat="1" applyFont="1" applyFill="1" applyBorder="1" applyAlignment="1">
      <alignment horizontal="left"/>
    </xf>
    <xf numFmtId="165" fontId="138" fillId="0" borderId="0" xfId="1954" applyFont="1" applyAlignment="1">
      <alignment vertical="top"/>
    </xf>
    <xf numFmtId="165" fontId="113" fillId="0" borderId="0" xfId="1954" applyFont="1" applyFill="1" applyBorder="1" applyAlignment="1"/>
    <xf numFmtId="14" fontId="113" fillId="0" borderId="0" xfId="1954" applyNumberFormat="1" applyFont="1" applyFill="1" applyBorder="1" applyAlignment="1"/>
    <xf numFmtId="14" fontId="113" fillId="9" borderId="0" xfId="0" applyNumberFormat="1" applyFont="1" applyFill="1" applyAlignment="1">
      <alignment horizontal="left"/>
    </xf>
    <xf numFmtId="165" fontId="138" fillId="0" borderId="0" xfId="1" applyFont="1" applyAlignment="1">
      <alignment vertical="top"/>
    </xf>
    <xf numFmtId="0" fontId="137" fillId="0" borderId="0" xfId="0" applyNumberFormat="1" applyFont="1" applyFill="1" applyAlignment="1">
      <alignment horizontal="left" vertical="center"/>
    </xf>
    <xf numFmtId="0" fontId="113" fillId="0" borderId="0" xfId="0" applyFont="1" applyFill="1" applyBorder="1" applyAlignment="1">
      <alignment horizontal="left" vertical="center"/>
    </xf>
    <xf numFmtId="165" fontId="113" fillId="0" borderId="0" xfId="1" applyFont="1" applyFill="1" applyAlignment="1">
      <alignment horizontal="right" vertical="center"/>
    </xf>
    <xf numFmtId="165" fontId="113" fillId="29" borderId="0" xfId="0" applyNumberFormat="1" applyFont="1" applyFill="1" applyAlignment="1">
      <alignment horizontal="left"/>
    </xf>
    <xf numFmtId="165" fontId="113" fillId="5" borderId="53" xfId="1954" applyFont="1" applyFill="1" applyBorder="1" applyAlignment="1">
      <alignment vertical="center"/>
    </xf>
    <xf numFmtId="165" fontId="138" fillId="5" borderId="54" xfId="0" applyNumberFormat="1" applyFont="1" applyFill="1" applyBorder="1" applyAlignment="1">
      <alignment vertical="center"/>
    </xf>
    <xf numFmtId="0" fontId="138" fillId="0" borderId="0" xfId="0" applyFont="1" applyAlignment="1">
      <alignment horizontal="left" vertical="center"/>
    </xf>
    <xf numFmtId="0" fontId="138" fillId="0" borderId="0" xfId="0" applyFont="1" applyAlignment="1">
      <alignment vertical="center"/>
    </xf>
    <xf numFmtId="0" fontId="138" fillId="0" borderId="0" xfId="0" applyFont="1" applyFill="1" applyAlignment="1">
      <alignment vertical="center"/>
    </xf>
    <xf numFmtId="0" fontId="138" fillId="0" borderId="0" xfId="0" applyFont="1" applyFill="1" applyAlignment="1">
      <alignment horizontal="left" vertical="center"/>
    </xf>
    <xf numFmtId="0" fontId="138" fillId="6" borderId="0" xfId="0" applyFont="1" applyFill="1" applyAlignment="1">
      <alignment horizontal="left" vertical="center"/>
    </xf>
    <xf numFmtId="4" fontId="138" fillId="0" borderId="0" xfId="0" applyNumberFormat="1" applyFont="1" applyAlignment="1">
      <alignment vertical="center"/>
    </xf>
    <xf numFmtId="14" fontId="113" fillId="16" borderId="0" xfId="0" applyNumberFormat="1" applyFont="1" applyFill="1" applyBorder="1" applyAlignment="1">
      <alignment horizontal="right" vertical="center"/>
    </xf>
    <xf numFmtId="0" fontId="113" fillId="6" borderId="0" xfId="0" applyFont="1" applyFill="1" applyBorder="1" applyAlignment="1">
      <alignment vertical="center"/>
    </xf>
    <xf numFmtId="0" fontId="138" fillId="0" borderId="0" xfId="2" applyFont="1" applyAlignment="1">
      <alignment vertical="top"/>
    </xf>
    <xf numFmtId="0" fontId="138" fillId="0" borderId="0" xfId="2" applyFont="1" applyFill="1" applyAlignment="1">
      <alignment vertical="top"/>
    </xf>
    <xf numFmtId="0" fontId="137" fillId="0" borderId="0" xfId="0" applyFont="1" applyFill="1" applyBorder="1" applyAlignment="1">
      <alignment horizontal="left"/>
    </xf>
    <xf numFmtId="165" fontId="138" fillId="0" borderId="0" xfId="3975" applyNumberFormat="1" applyFont="1" applyAlignment="1">
      <alignment vertical="top"/>
    </xf>
    <xf numFmtId="14" fontId="113" fillId="0" borderId="0" xfId="0" applyNumberFormat="1" applyFont="1" applyFill="1" applyBorder="1" applyAlignment="1">
      <alignment horizontal="left"/>
    </xf>
    <xf numFmtId="0" fontId="138" fillId="0" borderId="0" xfId="2" applyFont="1" applyAlignment="1">
      <alignment horizontal="left" vertical="top"/>
    </xf>
    <xf numFmtId="1" fontId="138" fillId="0" borderId="0" xfId="2" applyNumberFormat="1" applyFont="1" applyAlignment="1">
      <alignment vertical="top"/>
    </xf>
    <xf numFmtId="0" fontId="113" fillId="6" borderId="0" xfId="0" applyNumberFormat="1" applyFont="1" applyFill="1" applyAlignment="1">
      <alignment horizontal="left"/>
    </xf>
    <xf numFmtId="14" fontId="113" fillId="6" borderId="0" xfId="0" applyNumberFormat="1" applyFont="1" applyFill="1" applyAlignment="1">
      <alignment horizontal="left"/>
    </xf>
    <xf numFmtId="0" fontId="113" fillId="0" borderId="0" xfId="0" applyNumberFormat="1" applyFont="1" applyAlignment="1">
      <alignment horizontal="left"/>
    </xf>
    <xf numFmtId="165" fontId="113" fillId="0" borderId="0" xfId="1" applyFont="1" applyBorder="1" applyAlignment="1">
      <alignment horizontal="left"/>
    </xf>
    <xf numFmtId="0" fontId="113" fillId="0" borderId="0" xfId="0" applyFont="1" applyBorder="1" applyAlignment="1">
      <alignment horizontal="left"/>
    </xf>
    <xf numFmtId="0" fontId="140" fillId="0" borderId="0" xfId="0" applyFont="1" applyFill="1" applyAlignment="1">
      <alignment horizontal="left" vertical="top"/>
    </xf>
    <xf numFmtId="14" fontId="113" fillId="0" borderId="0" xfId="0" applyNumberFormat="1" applyFont="1" applyAlignment="1">
      <alignment horizontal="left" vertical="center"/>
    </xf>
    <xf numFmtId="14" fontId="138" fillId="0" borderId="0" xfId="0" applyNumberFormat="1" applyFont="1" applyFill="1" applyAlignment="1">
      <alignment horizontal="left" vertical="center"/>
    </xf>
    <xf numFmtId="165" fontId="137" fillId="0" borderId="0" xfId="1954" applyFont="1" applyFill="1" applyAlignment="1">
      <alignment horizontal="right" vertical="center"/>
    </xf>
    <xf numFmtId="0" fontId="138" fillId="0" borderId="0" xfId="0" applyFont="1" applyFill="1" applyBorder="1" applyAlignment="1">
      <alignment horizontal="left" vertical="center"/>
    </xf>
    <xf numFmtId="165" fontId="113" fillId="0" borderId="0" xfId="1954" applyFont="1" applyFill="1" applyBorder="1" applyAlignment="1">
      <alignment horizontal="left" vertical="center"/>
    </xf>
    <xf numFmtId="165" fontId="113" fillId="0" borderId="0" xfId="0" applyNumberFormat="1" applyFont="1" applyFill="1" applyBorder="1" applyAlignment="1">
      <alignment horizontal="left" vertical="center"/>
    </xf>
    <xf numFmtId="14" fontId="113" fillId="0" borderId="0" xfId="4029" applyNumberFormat="1" applyFont="1" applyFill="1" applyAlignment="1">
      <alignment horizontal="center" vertical="center"/>
    </xf>
    <xf numFmtId="0" fontId="113" fillId="0" borderId="0" xfId="0" applyFont="1" applyFill="1" applyAlignment="1">
      <alignment horizontal="left" vertical="top"/>
    </xf>
    <xf numFmtId="14" fontId="113" fillId="9" borderId="0" xfId="1" applyNumberFormat="1" applyFont="1" applyFill="1" applyBorder="1" applyAlignment="1">
      <alignment horizontal="left"/>
    </xf>
    <xf numFmtId="166" fontId="137" fillId="0" borderId="0" xfId="3975" applyFont="1" applyAlignment="1">
      <alignment horizontal="right"/>
    </xf>
    <xf numFmtId="165" fontId="137" fillId="0" borderId="0" xfId="1" applyFont="1" applyAlignment="1">
      <alignment horizontal="right"/>
    </xf>
    <xf numFmtId="165" fontId="138" fillId="0" borderId="0" xfId="1954" applyFont="1" applyAlignment="1">
      <alignment vertical="center"/>
    </xf>
    <xf numFmtId="14" fontId="113" fillId="0" borderId="0" xfId="0" applyNumberFormat="1" applyFont="1" applyFill="1" applyBorder="1" applyAlignment="1">
      <alignment vertical="center"/>
    </xf>
    <xf numFmtId="14" fontId="113" fillId="9" borderId="0" xfId="0" applyNumberFormat="1" applyFont="1" applyFill="1" applyBorder="1" applyAlignment="1">
      <alignment horizontal="left" vertical="center"/>
    </xf>
    <xf numFmtId="0" fontId="113" fillId="0" borderId="0" xfId="0" applyFont="1" applyFill="1" applyAlignment="1">
      <alignment vertical="top"/>
    </xf>
    <xf numFmtId="165" fontId="113" fillId="0" borderId="0" xfId="1954" applyFont="1" applyFill="1" applyAlignment="1">
      <alignment horizontal="right"/>
    </xf>
    <xf numFmtId="14" fontId="113" fillId="0" borderId="0" xfId="0" applyNumberFormat="1" applyFont="1" applyFill="1" applyBorder="1" applyAlignment="1"/>
    <xf numFmtId="165" fontId="113" fillId="0" borderId="0" xfId="0" applyNumberFormat="1" applyFont="1" applyFill="1" applyAlignment="1">
      <alignment horizontal="left"/>
    </xf>
    <xf numFmtId="165" fontId="113" fillId="0" borderId="0" xfId="0" applyNumberFormat="1" applyFont="1" applyFill="1" applyBorder="1" applyAlignment="1">
      <alignment vertical="top"/>
    </xf>
    <xf numFmtId="165" fontId="138" fillId="0" borderId="0" xfId="1954" applyFont="1" applyFill="1" applyAlignment="1">
      <alignment vertical="top"/>
    </xf>
    <xf numFmtId="14" fontId="138" fillId="0" borderId="0" xfId="0" applyNumberFormat="1" applyFont="1" applyAlignment="1">
      <alignment horizontal="left" vertical="center"/>
    </xf>
    <xf numFmtId="165" fontId="113" fillId="0" borderId="0" xfId="0" applyNumberFormat="1" applyFont="1" applyFill="1" applyAlignment="1">
      <alignment horizontal="left" vertical="center"/>
    </xf>
    <xf numFmtId="165" fontId="113" fillId="0" borderId="0" xfId="1954" applyFont="1" applyFill="1" applyBorder="1" applyAlignment="1">
      <alignment vertical="center"/>
    </xf>
    <xf numFmtId="14" fontId="113" fillId="0" borderId="0" xfId="1954" applyNumberFormat="1" applyFont="1" applyFill="1" applyBorder="1" applyAlignment="1">
      <alignment vertical="center"/>
    </xf>
    <xf numFmtId="0" fontId="113" fillId="6" borderId="0" xfId="0" applyFont="1" applyFill="1" applyAlignment="1">
      <alignment horizontal="left"/>
    </xf>
    <xf numFmtId="2" fontId="113" fillId="0" borderId="0" xfId="0" applyNumberFormat="1" applyFont="1" applyAlignment="1">
      <alignment horizontal="left"/>
    </xf>
    <xf numFmtId="14" fontId="113" fillId="16" borderId="0" xfId="0" applyNumberFormat="1" applyFont="1" applyFill="1" applyAlignment="1">
      <alignment horizontal="right"/>
    </xf>
    <xf numFmtId="165" fontId="113" fillId="0" borderId="0" xfId="1" applyFont="1" applyAlignment="1">
      <alignment horizontal="left"/>
    </xf>
    <xf numFmtId="165" fontId="113" fillId="0" borderId="0" xfId="1" applyFont="1" applyAlignment="1">
      <alignment horizontal="right"/>
    </xf>
    <xf numFmtId="165" fontId="135" fillId="15" borderId="0" xfId="1" applyFont="1" applyFill="1" applyAlignment="1">
      <alignment horizontal="left"/>
    </xf>
    <xf numFmtId="0" fontId="142" fillId="6" borderId="0" xfId="0" applyFont="1" applyFill="1" applyBorder="1" applyAlignment="1"/>
    <xf numFmtId="14" fontId="143" fillId="3" borderId="0" xfId="0" applyNumberFormat="1" applyFont="1" applyFill="1" applyAlignment="1">
      <alignment horizontal="left" vertical="center" wrapText="1"/>
    </xf>
    <xf numFmtId="0" fontId="143" fillId="3" borderId="0" xfId="0" applyFont="1" applyFill="1" applyAlignment="1">
      <alignment horizontal="left" vertical="center" wrapText="1"/>
    </xf>
    <xf numFmtId="165" fontId="143" fillId="3" borderId="0" xfId="1954" applyFont="1" applyFill="1" applyAlignment="1">
      <alignment horizontal="left" vertical="center" wrapText="1"/>
    </xf>
    <xf numFmtId="0" fontId="143" fillId="2" borderId="0" xfId="0" applyFont="1" applyFill="1" applyAlignment="1">
      <alignment horizontal="left" vertical="center" wrapText="1"/>
    </xf>
    <xf numFmtId="14" fontId="143" fillId="2" borderId="0" xfId="0" applyNumberFormat="1" applyFont="1" applyFill="1" applyAlignment="1">
      <alignment horizontal="left" vertical="center" wrapText="1"/>
    </xf>
    <xf numFmtId="0" fontId="143" fillId="2" borderId="0" xfId="0" applyNumberFormat="1" applyFont="1" applyFill="1" applyAlignment="1">
      <alignment horizontal="left" vertical="center" wrapText="1"/>
    </xf>
    <xf numFmtId="165" fontId="143" fillId="2" borderId="0" xfId="0" applyNumberFormat="1" applyFont="1" applyFill="1" applyAlignment="1">
      <alignment horizontal="left" vertical="center" wrapText="1"/>
    </xf>
    <xf numFmtId="2" fontId="143" fillId="10" borderId="0" xfId="0" applyNumberFormat="1" applyFont="1" applyFill="1" applyAlignment="1">
      <alignment horizontal="left" vertical="center" wrapText="1"/>
    </xf>
    <xf numFmtId="0" fontId="143" fillId="10" borderId="0" xfId="0" applyFont="1" applyFill="1" applyAlignment="1">
      <alignment horizontal="left" vertical="center" wrapText="1"/>
    </xf>
    <xf numFmtId="14" fontId="143" fillId="10" borderId="0" xfId="0" applyNumberFormat="1" applyFont="1" applyFill="1" applyAlignment="1">
      <alignment horizontal="left" vertical="center" wrapText="1"/>
    </xf>
    <xf numFmtId="0" fontId="143" fillId="10" borderId="0" xfId="0" applyNumberFormat="1" applyFont="1" applyFill="1" applyAlignment="1">
      <alignment horizontal="left" vertical="center" wrapText="1"/>
    </xf>
    <xf numFmtId="166" fontId="143" fillId="10" borderId="0" xfId="3975" applyFont="1" applyFill="1" applyAlignment="1">
      <alignment horizontal="left" vertical="center" wrapText="1"/>
    </xf>
    <xf numFmtId="165" fontId="143" fillId="10" borderId="0" xfId="1954" applyFont="1" applyFill="1" applyAlignment="1">
      <alignment horizontal="left" vertical="center" wrapText="1"/>
    </xf>
    <xf numFmtId="0" fontId="96" fillId="25" borderId="0" xfId="0" applyFont="1" applyFill="1" applyBorder="1" applyAlignment="1">
      <alignment horizontal="left"/>
    </xf>
    <xf numFmtId="0" fontId="96" fillId="25" borderId="0" xfId="0" applyFont="1" applyFill="1" applyAlignment="1">
      <alignment horizontal="left"/>
    </xf>
    <xf numFmtId="166" fontId="96" fillId="25" borderId="0" xfId="3975" applyFont="1" applyFill="1" applyAlignment="1">
      <alignment horizontal="left"/>
    </xf>
    <xf numFmtId="0" fontId="96" fillId="6" borderId="0" xfId="0" applyFont="1" applyFill="1" applyBorder="1" applyAlignment="1"/>
    <xf numFmtId="0" fontId="96" fillId="4" borderId="0" xfId="0" applyFont="1" applyFill="1" applyBorder="1" applyAlignment="1">
      <alignment horizontal="left"/>
    </xf>
    <xf numFmtId="0" fontId="96" fillId="4" borderId="0" xfId="0" applyFont="1" applyFill="1" applyAlignment="1">
      <alignment horizontal="left"/>
    </xf>
    <xf numFmtId="166" fontId="96" fillId="4" borderId="0" xfId="3975" applyFont="1" applyFill="1" applyAlignment="1">
      <alignment horizontal="left"/>
    </xf>
    <xf numFmtId="0" fontId="96" fillId="0" borderId="0" xfId="0" applyFont="1" applyFill="1" applyBorder="1" applyAlignment="1"/>
    <xf numFmtId="14" fontId="96" fillId="19" borderId="0" xfId="0" applyNumberFormat="1" applyFont="1" applyFill="1" applyAlignment="1">
      <alignment horizontal="left"/>
    </xf>
    <xf numFmtId="0" fontId="96" fillId="19" borderId="0" xfId="0" applyFont="1" applyFill="1" applyBorder="1" applyAlignment="1">
      <alignment horizontal="left"/>
    </xf>
    <xf numFmtId="0" fontId="96" fillId="19" borderId="0" xfId="0" applyFont="1" applyFill="1" applyAlignment="1">
      <alignment horizontal="left"/>
    </xf>
    <xf numFmtId="166" fontId="96" fillId="19" borderId="0" xfId="3923" applyFont="1" applyFill="1" applyAlignment="1">
      <alignment horizontal="left"/>
    </xf>
    <xf numFmtId="14" fontId="96" fillId="64" borderId="0" xfId="0" applyNumberFormat="1" applyFont="1" applyFill="1" applyAlignment="1">
      <alignment horizontal="left"/>
    </xf>
    <xf numFmtId="0" fontId="96" fillId="64" borderId="0" xfId="0" applyFont="1" applyFill="1" applyBorder="1" applyAlignment="1">
      <alignment horizontal="left"/>
    </xf>
    <xf numFmtId="0" fontId="96" fillId="64" borderId="0" xfId="0" applyFont="1" applyFill="1" applyAlignment="1">
      <alignment horizontal="left"/>
    </xf>
    <xf numFmtId="166" fontId="96" fillId="64" borderId="0" xfId="3923" applyFont="1" applyFill="1" applyAlignment="1">
      <alignment horizontal="left"/>
    </xf>
    <xf numFmtId="0" fontId="144" fillId="0" borderId="0" xfId="0" applyFont="1" applyFill="1" applyBorder="1" applyAlignment="1"/>
    <xf numFmtId="14" fontId="96" fillId="21" borderId="0" xfId="0" applyNumberFormat="1" applyFont="1" applyFill="1" applyAlignment="1">
      <alignment horizontal="left"/>
    </xf>
    <xf numFmtId="14" fontId="93" fillId="21" borderId="0" xfId="0" applyNumberFormat="1" applyFont="1" applyFill="1" applyAlignment="1">
      <alignment horizontal="left" vertical="center"/>
    </xf>
    <xf numFmtId="0" fontId="96" fillId="21" borderId="0" xfId="0" applyFont="1" applyFill="1" applyBorder="1" applyAlignment="1">
      <alignment horizontal="left"/>
    </xf>
    <xf numFmtId="0" fontId="96" fillId="21" borderId="0" xfId="0" applyFont="1" applyFill="1" applyAlignment="1">
      <alignment horizontal="left"/>
    </xf>
    <xf numFmtId="166" fontId="96" fillId="21" borderId="0" xfId="3975" applyFont="1" applyFill="1" applyAlignment="1">
      <alignment horizontal="left"/>
    </xf>
    <xf numFmtId="14" fontId="145" fillId="2" borderId="0" xfId="0" applyNumberFormat="1" applyFont="1" applyFill="1" applyBorder="1" applyAlignment="1">
      <alignment horizontal="left"/>
    </xf>
    <xf numFmtId="0" fontId="145" fillId="2" borderId="0" xfId="0" applyFont="1" applyFill="1" applyBorder="1" applyAlignment="1">
      <alignment horizontal="left"/>
    </xf>
    <xf numFmtId="166" fontId="145" fillId="2" borderId="0" xfId="3975" applyFont="1" applyFill="1" applyBorder="1" applyAlignment="1">
      <alignment horizontal="left"/>
    </xf>
    <xf numFmtId="165" fontId="145" fillId="2" borderId="0" xfId="1954" applyFont="1" applyFill="1" applyAlignment="1">
      <alignment horizontal="left" vertical="top"/>
    </xf>
    <xf numFmtId="14" fontId="145" fillId="12" borderId="0" xfId="0" applyNumberFormat="1" applyFont="1" applyFill="1" applyBorder="1" applyAlignment="1">
      <alignment horizontal="left"/>
    </xf>
    <xf numFmtId="166" fontId="145" fillId="12" borderId="0" xfId="3975" applyFont="1" applyFill="1" applyBorder="1" applyAlignment="1">
      <alignment horizontal="left"/>
    </xf>
    <xf numFmtId="0" fontId="145" fillId="13" borderId="0" xfId="0" applyFont="1" applyFill="1" applyAlignment="1">
      <alignment horizontal="left" vertical="center"/>
    </xf>
    <xf numFmtId="165" fontId="145" fillId="13" borderId="0" xfId="1954" applyFont="1" applyFill="1" applyAlignment="1">
      <alignment horizontal="left"/>
    </xf>
    <xf numFmtId="0" fontId="145" fillId="13" borderId="0" xfId="0" applyFont="1" applyFill="1" applyAlignment="1">
      <alignment horizontal="left"/>
    </xf>
    <xf numFmtId="14" fontId="145" fillId="13" borderId="0" xfId="0" applyNumberFormat="1" applyFont="1" applyFill="1" applyAlignment="1">
      <alignment horizontal="left"/>
    </xf>
    <xf numFmtId="166" fontId="145" fillId="13" borderId="0" xfId="3975" applyFont="1" applyFill="1" applyAlignment="1">
      <alignment horizontal="left"/>
    </xf>
    <xf numFmtId="0" fontId="145" fillId="13" borderId="0" xfId="0" applyFont="1" applyFill="1" applyBorder="1" applyAlignment="1">
      <alignment horizontal="left" vertical="center"/>
    </xf>
    <xf numFmtId="0" fontId="145" fillId="13" borderId="0" xfId="0" applyFont="1" applyFill="1" applyBorder="1" applyAlignment="1">
      <alignment horizontal="left"/>
    </xf>
    <xf numFmtId="0" fontId="145" fillId="6" borderId="0" xfId="0" applyFont="1" applyFill="1" applyBorder="1" applyAlignment="1"/>
    <xf numFmtId="165" fontId="143" fillId="10" borderId="0" xfId="1954" applyFont="1" applyFill="1" applyAlignment="1">
      <alignment horizontal="center" vertical="center" wrapText="1"/>
    </xf>
    <xf numFmtId="14" fontId="92" fillId="16" borderId="0" xfId="0" applyNumberFormat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 wrapText="1"/>
    </xf>
    <xf numFmtId="14" fontId="87" fillId="16" borderId="0" xfId="1954" applyNumberFormat="1" applyFont="1" applyFill="1" applyAlignment="1">
      <alignment horizontal="left"/>
    </xf>
    <xf numFmtId="44" fontId="82" fillId="6" borderId="0" xfId="27" applyNumberFormat="1" applyFill="1"/>
    <xf numFmtId="166" fontId="147" fillId="6" borderId="0" xfId="3975" applyFont="1" applyFill="1"/>
    <xf numFmtId="0" fontId="99" fillId="6" borderId="0" xfId="27" applyFont="1" applyFill="1" applyBorder="1" applyAlignment="1">
      <alignment horizontal="right"/>
    </xf>
    <xf numFmtId="165" fontId="82" fillId="6" borderId="0" xfId="1" applyFont="1" applyFill="1"/>
    <xf numFmtId="49" fontId="109" fillId="0" borderId="0" xfId="0" applyNumberFormat="1" applyFont="1" applyFill="1" applyAlignment="1">
      <alignment horizontal="left"/>
    </xf>
    <xf numFmtId="10" fontId="87" fillId="0" borderId="0" xfId="0" applyNumberFormat="1" applyFont="1" applyFill="1" applyBorder="1" applyAlignment="1">
      <alignment horizontal="left"/>
    </xf>
    <xf numFmtId="165" fontId="87" fillId="15" borderId="0" xfId="1954" applyFont="1" applyFill="1" applyBorder="1" applyAlignment="1">
      <alignment horizontal="left"/>
    </xf>
    <xf numFmtId="14" fontId="87" fillId="9" borderId="0" xfId="0" applyNumberFormat="1" applyFont="1" applyFill="1" applyBorder="1" applyAlignment="1">
      <alignment horizontal="right"/>
    </xf>
    <xf numFmtId="49" fontId="111" fillId="6" borderId="0" xfId="0" applyNumberFormat="1" applyFont="1" applyFill="1" applyBorder="1" applyAlignment="1">
      <alignment horizontal="left"/>
    </xf>
    <xf numFmtId="14" fontId="87" fillId="16" borderId="0" xfId="0" applyNumberFormat="1" applyFont="1" applyFill="1" applyAlignment="1">
      <alignment horizontal="right"/>
    </xf>
    <xf numFmtId="14" fontId="109" fillId="16" borderId="0" xfId="0" applyNumberFormat="1" applyFont="1" applyFill="1" applyAlignment="1">
      <alignment horizontal="center" vertical="center" wrapText="1"/>
    </xf>
    <xf numFmtId="165" fontId="0" fillId="6" borderId="0" xfId="0" applyNumberFormat="1" applyFill="1" applyBorder="1"/>
    <xf numFmtId="0" fontId="0" fillId="0" borderId="0" xfId="0" applyNumberFormat="1" applyFill="1" applyBorder="1"/>
    <xf numFmtId="165" fontId="0" fillId="0" borderId="0" xfId="0" applyNumberFormat="1" applyFill="1" applyBorder="1"/>
    <xf numFmtId="165" fontId="137" fillId="65" borderId="0" xfId="1954" applyFont="1" applyFill="1" applyAlignment="1">
      <alignment horizontal="right"/>
    </xf>
    <xf numFmtId="14" fontId="113" fillId="6" borderId="0" xfId="0" applyNumberFormat="1" applyFont="1" applyFill="1" applyBorder="1" applyAlignment="1">
      <alignment horizontal="center"/>
    </xf>
    <xf numFmtId="14" fontId="113" fillId="6" borderId="0" xfId="691" applyNumberFormat="1" applyFont="1" applyFill="1" applyBorder="1" applyAlignment="1">
      <alignment horizontal="left"/>
    </xf>
    <xf numFmtId="10" fontId="113" fillId="0" borderId="0" xfId="0" applyNumberFormat="1" applyFont="1" applyAlignment="1">
      <alignment horizontal="left"/>
    </xf>
    <xf numFmtId="10" fontId="145" fillId="2" borderId="0" xfId="0" applyNumberFormat="1" applyFont="1" applyFill="1" applyBorder="1" applyAlignment="1">
      <alignment horizontal="left"/>
    </xf>
    <xf numFmtId="166" fontId="87" fillId="6" borderId="0" xfId="3975" applyFont="1" applyFill="1" applyAlignment="1">
      <alignment horizontal="left"/>
    </xf>
    <xf numFmtId="166" fontId="109" fillId="11" borderId="0" xfId="3975" applyFont="1" applyFill="1" applyAlignment="1">
      <alignment horizontal="left" vertical="center" wrapText="1"/>
    </xf>
    <xf numFmtId="166" fontId="87" fillId="6" borderId="0" xfId="3975" applyFont="1" applyFill="1" applyBorder="1" applyAlignment="1">
      <alignment horizontal="left"/>
    </xf>
    <xf numFmtId="49" fontId="93" fillId="0" borderId="0" xfId="0" applyNumberFormat="1" applyFont="1" applyAlignment="1">
      <alignment horizontal="center"/>
    </xf>
    <xf numFmtId="0" fontId="113" fillId="0" borderId="0" xfId="0" applyNumberFormat="1" applyFont="1" applyFill="1" applyAlignment="1">
      <alignment horizontal="center"/>
    </xf>
    <xf numFmtId="49" fontId="93" fillId="0" borderId="0" xfId="4029" applyNumberFormat="1" applyFont="1" applyFill="1" applyAlignment="1">
      <alignment horizontal="left" vertical="center"/>
    </xf>
    <xf numFmtId="0" fontId="112" fillId="0" borderId="78" xfId="0" applyFont="1" applyFill="1" applyBorder="1" applyAlignment="1">
      <alignment horizontal="center" vertical="center"/>
    </xf>
    <xf numFmtId="0" fontId="112" fillId="0" borderId="79" xfId="0" applyFont="1" applyFill="1" applyBorder="1" applyAlignment="1">
      <alignment horizontal="center" vertical="center"/>
    </xf>
    <xf numFmtId="0" fontId="138" fillId="0" borderId="0" xfId="2" applyFont="1" applyFill="1" applyAlignment="1">
      <alignment horizontal="left" vertical="top"/>
    </xf>
    <xf numFmtId="0" fontId="0" fillId="6" borderId="0" xfId="0" applyFill="1" applyBorder="1"/>
    <xf numFmtId="0" fontId="0" fillId="24" borderId="61" xfId="0" applyFill="1" applyBorder="1"/>
    <xf numFmtId="0" fontId="143" fillId="10" borderId="0" xfId="0" applyFont="1" applyFill="1" applyAlignment="1">
      <alignment horizontal="center" vertical="center" wrapText="1"/>
    </xf>
    <xf numFmtId="0" fontId="113" fillId="6" borderId="0" xfId="0" applyFont="1" applyFill="1" applyBorder="1" applyAlignment="1">
      <alignment horizontal="center"/>
    </xf>
    <xf numFmtId="0" fontId="145" fillId="13" borderId="0" xfId="0" applyFont="1" applyFill="1" applyAlignment="1">
      <alignment horizontal="center" vertical="center"/>
    </xf>
    <xf numFmtId="0" fontId="138" fillId="0" borderId="0" xfId="0" applyFont="1" applyFill="1" applyAlignment="1">
      <alignment horizontal="center" vertical="top"/>
    </xf>
    <xf numFmtId="0" fontId="113" fillId="0" borderId="0" xfId="0" applyFont="1" applyAlignment="1">
      <alignment horizontal="center"/>
    </xf>
    <xf numFmtId="0" fontId="113" fillId="23" borderId="0" xfId="0" applyFont="1" applyFill="1" applyBorder="1" applyAlignment="1">
      <alignment horizontal="left"/>
    </xf>
    <xf numFmtId="165" fontId="113" fillId="23" borderId="0" xfId="0" applyNumberFormat="1" applyFont="1" applyFill="1" applyAlignment="1">
      <alignment horizontal="left"/>
    </xf>
    <xf numFmtId="0" fontId="138" fillId="23" borderId="0" xfId="0" applyFont="1" applyFill="1" applyAlignment="1">
      <alignment vertical="top"/>
    </xf>
    <xf numFmtId="0" fontId="138" fillId="23" borderId="0" xfId="0" applyFont="1" applyFill="1" applyAlignment="1">
      <alignment horizontal="left" vertical="top"/>
    </xf>
    <xf numFmtId="165" fontId="138" fillId="23" borderId="0" xfId="1954" applyFont="1" applyFill="1" applyAlignment="1">
      <alignment horizontal="left" vertical="top"/>
    </xf>
    <xf numFmtId="0" fontId="138" fillId="23" borderId="0" xfId="0" applyFont="1" applyFill="1" applyAlignment="1">
      <alignment horizontal="center" vertical="top"/>
    </xf>
    <xf numFmtId="0" fontId="113" fillId="23" borderId="0" xfId="0" applyFont="1" applyFill="1" applyAlignment="1">
      <alignment horizontal="left"/>
    </xf>
    <xf numFmtId="0" fontId="113" fillId="19" borderId="0" xfId="27" applyFont="1" applyFill="1" applyBorder="1" applyAlignment="1">
      <alignment horizontal="left"/>
    </xf>
    <xf numFmtId="0" fontId="113" fillId="68" borderId="0" xfId="27" applyFont="1" applyFill="1" applyBorder="1" applyAlignment="1">
      <alignment horizontal="left"/>
    </xf>
    <xf numFmtId="166" fontId="137" fillId="0" borderId="0" xfId="3975" applyFont="1" applyFill="1" applyAlignment="1">
      <alignment horizontal="left"/>
    </xf>
    <xf numFmtId="44" fontId="113" fillId="0" borderId="0" xfId="0" applyNumberFormat="1" applyFont="1" applyFill="1" applyAlignment="1">
      <alignment horizontal="left"/>
    </xf>
    <xf numFmtId="0" fontId="113" fillId="69" borderId="0" xfId="27" applyFont="1" applyFill="1" applyBorder="1" applyAlignment="1">
      <alignment horizontal="left"/>
    </xf>
    <xf numFmtId="0" fontId="113" fillId="31" borderId="0" xfId="27" applyFont="1" applyFill="1" applyBorder="1" applyAlignment="1">
      <alignment horizontal="left"/>
    </xf>
    <xf numFmtId="14" fontId="113" fillId="6" borderId="0" xfId="1" applyNumberFormat="1" applyFont="1" applyFill="1" applyBorder="1" applyAlignment="1">
      <alignment horizontal="left"/>
    </xf>
    <xf numFmtId="165" fontId="138" fillId="0" borderId="0" xfId="0" applyNumberFormat="1" applyFont="1" applyFill="1" applyAlignment="1">
      <alignment horizontal="center" vertical="top"/>
    </xf>
    <xf numFmtId="165" fontId="113" fillId="65" borderId="0" xfId="1" applyFont="1" applyFill="1" applyAlignment="1">
      <alignment horizontal="right"/>
    </xf>
    <xf numFmtId="166" fontId="88" fillId="6" borderId="0" xfId="3975" applyFont="1" applyFill="1" applyBorder="1" applyAlignment="1">
      <alignment horizontal="left"/>
    </xf>
    <xf numFmtId="166" fontId="90" fillId="2" borderId="0" xfId="3975" applyFont="1" applyFill="1" applyAlignment="1">
      <alignment horizontal="left" vertical="center" wrapText="1"/>
    </xf>
    <xf numFmtId="166" fontId="92" fillId="0" borderId="0" xfId="3975" applyFont="1" applyFill="1" applyAlignment="1">
      <alignment horizontal="left"/>
    </xf>
    <xf numFmtId="0" fontId="138" fillId="70" borderId="0" xfId="2" applyFont="1" applyFill="1" applyAlignment="1">
      <alignment horizontal="left" vertical="top"/>
    </xf>
    <xf numFmtId="14" fontId="139" fillId="0" borderId="0" xfId="0" applyNumberFormat="1" applyFont="1" applyAlignment="1">
      <alignment vertical="top"/>
    </xf>
    <xf numFmtId="14" fontId="138" fillId="0" borderId="0" xfId="0" applyNumberFormat="1" applyFont="1" applyAlignment="1">
      <alignment vertical="center"/>
    </xf>
    <xf numFmtId="14" fontId="138" fillId="0" borderId="0" xfId="0" applyNumberFormat="1" applyFont="1" applyAlignment="1">
      <alignment vertical="top"/>
    </xf>
    <xf numFmtId="14" fontId="138" fillId="6" borderId="0" xfId="0" applyNumberFormat="1" applyFont="1" applyFill="1" applyAlignment="1">
      <alignment horizontal="left" vertical="top"/>
    </xf>
    <xf numFmtId="0" fontId="99" fillId="71" borderId="34" xfId="27" applyNumberFormat="1" applyFont="1" applyFill="1" applyBorder="1"/>
    <xf numFmtId="164" fontId="99" fillId="71" borderId="22" xfId="1954" applyNumberFormat="1" applyFont="1" applyFill="1" applyBorder="1"/>
    <xf numFmtId="0" fontId="99" fillId="71" borderId="34" xfId="27" applyFont="1" applyFill="1" applyBorder="1"/>
    <xf numFmtId="165" fontId="99" fillId="71" borderId="22" xfId="1954" applyNumberFormat="1" applyFont="1" applyFill="1" applyBorder="1"/>
    <xf numFmtId="0" fontId="99" fillId="71" borderId="63" xfId="27" applyNumberFormat="1" applyFont="1" applyFill="1" applyBorder="1"/>
    <xf numFmtId="0" fontId="99" fillId="71" borderId="56" xfId="27" applyFont="1" applyFill="1" applyBorder="1"/>
    <xf numFmtId="165" fontId="99" fillId="71" borderId="49" xfId="1954" applyFont="1" applyFill="1" applyBorder="1"/>
    <xf numFmtId="0" fontId="99" fillId="0" borderId="87" xfId="27" applyFont="1" applyBorder="1"/>
    <xf numFmtId="165" fontId="99" fillId="0" borderId="88" xfId="1954" applyFont="1" applyBorder="1"/>
    <xf numFmtId="0" fontId="99" fillId="0" borderId="89" xfId="27" applyFont="1" applyBorder="1"/>
    <xf numFmtId="0" fontId="99" fillId="0" borderId="90" xfId="1954" applyNumberFormat="1" applyFont="1" applyBorder="1"/>
    <xf numFmtId="165" fontId="99" fillId="0" borderId="91" xfId="1954" applyFont="1" applyBorder="1"/>
    <xf numFmtId="0" fontId="113" fillId="0" borderId="0" xfId="4082" applyFont="1" applyFill="1" applyAlignment="1">
      <alignment horizontal="left"/>
    </xf>
    <xf numFmtId="0" fontId="113" fillId="0" borderId="0" xfId="4087" applyFont="1" applyFill="1" applyAlignment="1">
      <alignment horizontal="left"/>
    </xf>
    <xf numFmtId="0" fontId="113" fillId="0" borderId="0" xfId="4104" applyFont="1" applyFill="1" applyAlignment="1">
      <alignment horizontal="left"/>
    </xf>
    <xf numFmtId="0" fontId="113" fillId="0" borderId="0" xfId="4105" applyFont="1" applyFill="1" applyAlignment="1">
      <alignment horizontal="left"/>
    </xf>
    <xf numFmtId="0" fontId="113" fillId="0" borderId="0" xfId="4089" applyFont="1" applyFill="1" applyAlignment="1">
      <alignment horizontal="left"/>
    </xf>
    <xf numFmtId="0" fontId="113" fillId="0" borderId="0" xfId="4098" applyFont="1" applyFill="1" applyAlignment="1">
      <alignment horizontal="left"/>
    </xf>
    <xf numFmtId="0" fontId="113" fillId="0" borderId="0" xfId="4097" applyFont="1" applyFill="1" applyAlignment="1">
      <alignment horizontal="left"/>
    </xf>
    <xf numFmtId="0" fontId="113" fillId="0" borderId="0" xfId="4088" applyFont="1" applyFill="1" applyAlignment="1">
      <alignment horizontal="left"/>
    </xf>
    <xf numFmtId="0" fontId="113" fillId="0" borderId="0" xfId="4101" applyFont="1" applyFill="1" applyAlignment="1">
      <alignment horizontal="left"/>
    </xf>
    <xf numFmtId="0" fontId="113" fillId="0" borderId="0" xfId="4102" applyFont="1" applyFill="1" applyAlignment="1">
      <alignment horizontal="left"/>
    </xf>
    <xf numFmtId="0" fontId="113" fillId="0" borderId="0" xfId="4099" applyFont="1" applyFill="1" applyAlignment="1">
      <alignment horizontal="left"/>
    </xf>
    <xf numFmtId="0" fontId="113" fillId="0" borderId="0" xfId="4093" applyFont="1" applyFill="1" applyAlignment="1">
      <alignment horizontal="left"/>
    </xf>
    <xf numFmtId="0" fontId="135" fillId="0" borderId="0" xfId="0" applyFont="1" applyFill="1" applyAlignment="1">
      <alignment horizontal="left"/>
    </xf>
    <xf numFmtId="0" fontId="135" fillId="9" borderId="0" xfId="0" applyFont="1" applyFill="1" applyAlignment="1">
      <alignment horizontal="left"/>
    </xf>
    <xf numFmtId="14" fontId="135" fillId="0" borderId="0" xfId="0" applyNumberFormat="1" applyFont="1" applyFill="1" applyAlignment="1">
      <alignment horizontal="left"/>
    </xf>
    <xf numFmtId="165" fontId="135" fillId="0" borderId="0" xfId="1954" applyFont="1" applyFill="1" applyAlignment="1">
      <alignment horizontal="left"/>
    </xf>
    <xf numFmtId="14" fontId="135" fillId="16" borderId="0" xfId="0" applyNumberFormat="1" applyFont="1" applyFill="1" applyAlignment="1">
      <alignment horizontal="left"/>
    </xf>
    <xf numFmtId="0" fontId="135" fillId="0" borderId="0" xfId="0" applyFont="1" applyAlignment="1">
      <alignment horizontal="left"/>
    </xf>
    <xf numFmtId="165" fontId="113" fillId="0" borderId="0" xfId="1954" applyFont="1" applyAlignment="1">
      <alignment horizontal="left"/>
    </xf>
    <xf numFmtId="165" fontId="135" fillId="0" borderId="0" xfId="1954" applyFont="1" applyAlignment="1">
      <alignment horizontal="left"/>
    </xf>
    <xf numFmtId="0" fontId="138" fillId="0" borderId="0" xfId="4036" applyFont="1">
      <alignment vertical="top"/>
    </xf>
    <xf numFmtId="14" fontId="113" fillId="16" borderId="0" xfId="0" applyNumberFormat="1" applyFont="1" applyFill="1" applyAlignment="1">
      <alignment horizontal="left"/>
    </xf>
    <xf numFmtId="0" fontId="138" fillId="66" borderId="0" xfId="0" applyFont="1" applyFill="1" applyAlignment="1">
      <alignment vertical="top"/>
    </xf>
    <xf numFmtId="165" fontId="138" fillId="0" borderId="0" xfId="1954" applyFont="1" applyFill="1" applyAlignment="1">
      <alignment horizontal="left" vertical="center"/>
    </xf>
    <xf numFmtId="0" fontId="113" fillId="67" borderId="0" xfId="0" applyFont="1" applyFill="1" applyAlignment="1">
      <alignment horizontal="left"/>
    </xf>
    <xf numFmtId="0" fontId="138" fillId="0" borderId="0" xfId="4036" applyFont="1" applyFill="1">
      <alignment vertical="top"/>
    </xf>
    <xf numFmtId="14" fontId="138" fillId="0" borderId="0" xfId="2" applyNumberFormat="1" applyFont="1" applyFill="1" applyAlignment="1">
      <alignment horizontal="left" vertical="top"/>
    </xf>
    <xf numFmtId="165" fontId="135" fillId="15" borderId="0" xfId="1954" applyFont="1" applyFill="1" applyAlignment="1">
      <alignment horizontal="left"/>
    </xf>
    <xf numFmtId="0" fontId="135" fillId="68" borderId="0" xfId="0" applyFont="1" applyFill="1" applyAlignment="1">
      <alignment horizontal="left"/>
    </xf>
    <xf numFmtId="165" fontId="135" fillId="68" borderId="0" xfId="1954" applyFont="1" applyFill="1" applyAlignment="1">
      <alignment horizontal="left"/>
    </xf>
    <xf numFmtId="0" fontId="159" fillId="0" borderId="0" xfId="0" applyFont="1" applyAlignment="1">
      <alignment horizontal="left"/>
    </xf>
    <xf numFmtId="0" fontId="159" fillId="0" borderId="0" xfId="0" applyFont="1" applyFill="1" applyAlignment="1">
      <alignment horizontal="left"/>
    </xf>
    <xf numFmtId="0" fontId="159" fillId="6" borderId="0" xfId="0" applyFont="1" applyFill="1" applyAlignment="1">
      <alignment horizontal="left"/>
    </xf>
    <xf numFmtId="14" fontId="159" fillId="0" borderId="0" xfId="0" applyNumberFormat="1" applyFont="1" applyAlignment="1">
      <alignment horizontal="left"/>
    </xf>
    <xf numFmtId="0" fontId="159" fillId="9" borderId="0" xfId="0" applyFont="1" applyFill="1" applyAlignment="1">
      <alignment horizontal="left"/>
    </xf>
    <xf numFmtId="165" fontId="159" fillId="0" borderId="0" xfId="1954" applyFont="1" applyAlignment="1">
      <alignment horizontal="left"/>
    </xf>
    <xf numFmtId="14" fontId="159" fillId="16" borderId="0" xfId="1954" applyNumberFormat="1" applyFont="1" applyFill="1" applyAlignment="1">
      <alignment horizontal="left"/>
    </xf>
    <xf numFmtId="0" fontId="159" fillId="16" borderId="0" xfId="0" applyFont="1" applyFill="1" applyAlignment="1">
      <alignment horizontal="left"/>
    </xf>
    <xf numFmtId="0" fontId="159" fillId="6" borderId="0" xfId="0" applyFont="1" applyFill="1" applyBorder="1" applyAlignment="1">
      <alignment horizontal="left"/>
    </xf>
    <xf numFmtId="0" fontId="159" fillId="0" borderId="0" xfId="0" applyFont="1" applyFill="1" applyBorder="1" applyAlignment="1">
      <alignment horizontal="left"/>
    </xf>
    <xf numFmtId="165" fontId="159" fillId="6" borderId="0" xfId="1954" applyFont="1" applyFill="1" applyBorder="1" applyAlignment="1">
      <alignment horizontal="left"/>
    </xf>
    <xf numFmtId="14" fontId="159" fillId="6" borderId="0" xfId="0" applyNumberFormat="1" applyFont="1" applyFill="1" applyBorder="1" applyAlignment="1">
      <alignment horizontal="left"/>
    </xf>
    <xf numFmtId="10" fontId="159" fillId="0" borderId="0" xfId="0" applyNumberFormat="1" applyFont="1" applyFill="1" applyBorder="1" applyAlignment="1">
      <alignment horizontal="left"/>
    </xf>
    <xf numFmtId="14" fontId="159" fillId="9" borderId="0" xfId="0" applyNumberFormat="1" applyFont="1" applyFill="1" applyBorder="1" applyAlignment="1">
      <alignment horizontal="left"/>
    </xf>
    <xf numFmtId="166" fontId="159" fillId="6" borderId="0" xfId="3975" applyFont="1" applyFill="1" applyBorder="1" applyAlignment="1">
      <alignment horizontal="left"/>
    </xf>
    <xf numFmtId="165" fontId="159" fillId="15" borderId="0" xfId="1954" applyFont="1" applyFill="1" applyBorder="1" applyAlignment="1">
      <alignment horizontal="left"/>
    </xf>
    <xf numFmtId="14" fontId="159" fillId="16" borderId="0" xfId="0" applyNumberFormat="1" applyFont="1" applyFill="1" applyBorder="1" applyAlignment="1">
      <alignment horizontal="right"/>
    </xf>
    <xf numFmtId="165" fontId="159" fillId="6" borderId="0" xfId="1954" applyFont="1" applyFill="1" applyAlignment="1">
      <alignment horizontal="left"/>
    </xf>
    <xf numFmtId="14" fontId="159" fillId="6" borderId="0" xfId="0" applyNumberFormat="1" applyFont="1" applyFill="1" applyAlignment="1">
      <alignment horizontal="left"/>
    </xf>
    <xf numFmtId="10" fontId="159" fillId="0" borderId="0" xfId="0" applyNumberFormat="1" applyFont="1" applyFill="1" applyAlignment="1">
      <alignment horizontal="left"/>
    </xf>
    <xf numFmtId="14" fontId="159" fillId="9" borderId="0" xfId="0" applyNumberFormat="1" applyFont="1" applyFill="1" applyAlignment="1">
      <alignment horizontal="right"/>
    </xf>
    <xf numFmtId="166" fontId="159" fillId="6" borderId="0" xfId="3975" applyFont="1" applyFill="1" applyAlignment="1">
      <alignment horizontal="left"/>
    </xf>
    <xf numFmtId="165" fontId="159" fillId="15" borderId="0" xfId="1954" applyFont="1" applyFill="1" applyAlignment="1">
      <alignment horizontal="left"/>
    </xf>
    <xf numFmtId="14" fontId="159" fillId="16" borderId="0" xfId="0" applyNumberFormat="1" applyFont="1" applyFill="1" applyAlignment="1">
      <alignment horizontal="right"/>
    </xf>
    <xf numFmtId="14" fontId="113" fillId="23" borderId="0" xfId="0" applyNumberFormat="1" applyFont="1" applyFill="1" applyAlignment="1">
      <alignment horizontal="left"/>
    </xf>
    <xf numFmtId="165" fontId="113" fillId="23" borderId="0" xfId="1954" applyFont="1" applyFill="1" applyAlignment="1">
      <alignment horizontal="left"/>
    </xf>
    <xf numFmtId="10" fontId="113" fillId="23" borderId="0" xfId="0" applyNumberFormat="1" applyFont="1" applyFill="1" applyAlignment="1">
      <alignment horizontal="left"/>
    </xf>
    <xf numFmtId="2" fontId="113" fillId="23" borderId="0" xfId="0" applyNumberFormat="1" applyFont="1" applyFill="1" applyAlignment="1">
      <alignment horizontal="left"/>
    </xf>
    <xf numFmtId="0" fontId="135" fillId="23" borderId="0" xfId="0" applyFont="1" applyFill="1" applyAlignment="1">
      <alignment horizontal="left"/>
    </xf>
    <xf numFmtId="0" fontId="113" fillId="23" borderId="0" xfId="0" applyNumberFormat="1" applyFont="1" applyFill="1" applyAlignment="1">
      <alignment horizontal="left"/>
    </xf>
    <xf numFmtId="165" fontId="135" fillId="23" borderId="0" xfId="1954" applyFont="1" applyFill="1" applyAlignment="1">
      <alignment horizontal="left"/>
    </xf>
    <xf numFmtId="166" fontId="135" fillId="0" borderId="0" xfId="3975" applyFont="1" applyFill="1" applyAlignment="1">
      <alignment horizontal="left"/>
    </xf>
    <xf numFmtId="166" fontId="135" fillId="68" borderId="0" xfId="3975" applyFont="1" applyFill="1" applyAlignment="1">
      <alignment horizontal="left"/>
    </xf>
    <xf numFmtId="14" fontId="135" fillId="68" borderId="0" xfId="0" applyNumberFormat="1" applyFont="1" applyFill="1" applyAlignment="1">
      <alignment horizontal="left"/>
    </xf>
    <xf numFmtId="43" fontId="138" fillId="0" borderId="0" xfId="4035" applyNumberFormat="1" applyFont="1">
      <alignment vertical="top"/>
    </xf>
    <xf numFmtId="0" fontId="160" fillId="0" borderId="0" xfId="0" applyFont="1"/>
    <xf numFmtId="0" fontId="113" fillId="0" borderId="0" xfId="0" applyNumberFormat="1" applyFont="1" applyAlignment="1">
      <alignment horizontal="center"/>
    </xf>
    <xf numFmtId="165" fontId="138" fillId="65" borderId="0" xfId="1" applyFont="1" applyFill="1" applyAlignment="1">
      <alignment horizontal="left" vertical="center"/>
    </xf>
    <xf numFmtId="1" fontId="113" fillId="0" borderId="0" xfId="0" applyNumberFormat="1" applyFont="1" applyFill="1" applyAlignment="1">
      <alignment horizontal="center"/>
    </xf>
    <xf numFmtId="0" fontId="113" fillId="6" borderId="0" xfId="0" applyNumberFormat="1" applyFont="1" applyFill="1" applyBorder="1" applyAlignment="1"/>
    <xf numFmtId="0" fontId="142" fillId="6" borderId="0" xfId="0" applyNumberFormat="1" applyFont="1" applyFill="1" applyBorder="1" applyAlignment="1"/>
    <xf numFmtId="0" fontId="145" fillId="6" borderId="0" xfId="0" applyNumberFormat="1" applyFont="1" applyFill="1" applyBorder="1" applyAlignment="1"/>
    <xf numFmtId="0" fontId="113" fillId="0" borderId="0" xfId="3975" applyNumberFormat="1" applyFont="1" applyFill="1" applyBorder="1" applyAlignment="1"/>
    <xf numFmtId="0" fontId="113" fillId="0" borderId="0" xfId="0" applyNumberFormat="1" applyFont="1" applyFill="1" applyBorder="1" applyAlignment="1"/>
    <xf numFmtId="0" fontId="135" fillId="0" borderId="0" xfId="0" applyNumberFormat="1" applyFont="1" applyFill="1" applyAlignment="1">
      <alignment horizontal="left"/>
    </xf>
    <xf numFmtId="0" fontId="96" fillId="6" borderId="0" xfId="0" applyNumberFormat="1" applyFont="1" applyFill="1" applyBorder="1" applyAlignment="1"/>
    <xf numFmtId="0" fontId="96" fillId="0" borderId="0" xfId="0" applyNumberFormat="1" applyFont="1" applyFill="1" applyBorder="1" applyAlignment="1"/>
    <xf numFmtId="0" fontId="113" fillId="6" borderId="0" xfId="0" applyNumberFormat="1" applyFont="1" applyFill="1" applyBorder="1" applyAlignment="1">
      <alignment vertical="center"/>
    </xf>
    <xf numFmtId="0" fontId="144" fillId="0" borderId="0" xfId="0" applyNumberFormat="1" applyFont="1" applyFill="1" applyBorder="1" applyAlignment="1"/>
    <xf numFmtId="14" fontId="138" fillId="0" borderId="0" xfId="0" applyNumberFormat="1" applyFont="1" applyAlignment="1">
      <alignment horizontal="left" vertical="top"/>
    </xf>
    <xf numFmtId="14" fontId="113" fillId="24" borderId="0" xfId="0" applyNumberFormat="1" applyFont="1" applyFill="1" applyAlignment="1">
      <alignment horizontal="left"/>
    </xf>
    <xf numFmtId="0" fontId="135" fillId="28" borderId="0" xfId="0" applyFont="1" applyFill="1" applyAlignment="1">
      <alignment horizontal="left"/>
    </xf>
    <xf numFmtId="165" fontId="137" fillId="0" borderId="0" xfId="1" applyFont="1" applyFill="1" applyAlignment="1">
      <alignment horizontal="right"/>
    </xf>
    <xf numFmtId="0" fontId="135" fillId="0" borderId="0" xfId="0" applyFont="1" applyFill="1"/>
    <xf numFmtId="165" fontId="113" fillId="0" borderId="0" xfId="1954" applyFont="1" applyFill="1" applyAlignment="1">
      <alignment horizontal="left"/>
    </xf>
    <xf numFmtId="166" fontId="82" fillId="0" borderId="0" xfId="3975" applyFont="1"/>
    <xf numFmtId="0" fontId="113" fillId="32" borderId="0" xfId="27" applyFont="1" applyFill="1" applyBorder="1" applyAlignment="1">
      <alignment horizontal="left"/>
    </xf>
    <xf numFmtId="0" fontId="113" fillId="74" borderId="0" xfId="0" applyFont="1" applyFill="1" applyAlignment="1">
      <alignment horizontal="left"/>
    </xf>
    <xf numFmtId="0" fontId="113" fillId="14" borderId="0" xfId="0" applyFont="1" applyFill="1" applyAlignment="1">
      <alignment horizontal="left"/>
    </xf>
    <xf numFmtId="0" fontId="0" fillId="21" borderId="0" xfId="0" applyFill="1" applyBorder="1" applyAlignment="1">
      <alignment horizontal="left"/>
    </xf>
    <xf numFmtId="0" fontId="99" fillId="0" borderId="20" xfId="27" applyNumberFormat="1" applyFont="1" applyFill="1" applyBorder="1"/>
    <xf numFmtId="166" fontId="137" fillId="0" borderId="0" xfId="3923" applyFont="1" applyFill="1" applyAlignment="1">
      <alignment horizontal="left"/>
    </xf>
    <xf numFmtId="165" fontId="113" fillId="0" borderId="0" xfId="1954" applyFont="1" applyBorder="1" applyAlignment="1">
      <alignment horizontal="left"/>
    </xf>
    <xf numFmtId="14" fontId="138" fillId="0" borderId="0" xfId="0" applyNumberFormat="1" applyFont="1" applyAlignment="1">
      <alignment horizontal="right" vertical="top"/>
    </xf>
    <xf numFmtId="0" fontId="163" fillId="28" borderId="0" xfId="0" applyFont="1" applyFill="1" applyBorder="1" applyAlignment="1">
      <alignment horizontal="left"/>
    </xf>
    <xf numFmtId="165" fontId="163" fillId="25" borderId="0" xfId="0" applyNumberFormat="1" applyFont="1" applyFill="1" applyBorder="1"/>
    <xf numFmtId="0" fontId="0" fillId="0" borderId="0" xfId="0" applyAlignment="1">
      <alignment wrapText="1"/>
    </xf>
    <xf numFmtId="0" fontId="163" fillId="28" borderId="0" xfId="0" applyFont="1" applyFill="1" applyBorder="1" applyAlignment="1"/>
    <xf numFmtId="0" fontId="163" fillId="25" borderId="0" xfId="0" applyNumberFormat="1" applyFont="1" applyFill="1" applyBorder="1"/>
    <xf numFmtId="0" fontId="166" fillId="0" borderId="0" xfId="0" applyFont="1" applyBorder="1" applyAlignment="1">
      <alignment vertical="center" wrapText="1"/>
    </xf>
    <xf numFmtId="0" fontId="165" fillId="0" borderId="0" xfId="0" applyFont="1" applyBorder="1" applyAlignment="1">
      <alignment vertical="center" wrapText="1"/>
    </xf>
    <xf numFmtId="0" fontId="165" fillId="0" borderId="0" xfId="0" applyFont="1" applyBorder="1" applyAlignment="1">
      <alignment vertical="center"/>
    </xf>
    <xf numFmtId="0" fontId="164" fillId="24" borderId="61" xfId="0" applyFont="1" applyFill="1" applyBorder="1" applyAlignment="1">
      <alignment horizontal="left"/>
    </xf>
    <xf numFmtId="0" fontId="164" fillId="24" borderId="61" xfId="0" applyFont="1" applyFill="1" applyBorder="1"/>
    <xf numFmtId="165" fontId="164" fillId="28" borderId="0" xfId="0" applyNumberFormat="1" applyFont="1" applyFill="1" applyBorder="1"/>
    <xf numFmtId="14" fontId="0" fillId="0" borderId="0" xfId="0" applyNumberFormat="1"/>
    <xf numFmtId="166" fontId="0" fillId="0" borderId="0" xfId="3975" applyFont="1" applyAlignment="1">
      <alignment wrapText="1"/>
    </xf>
    <xf numFmtId="166" fontId="0" fillId="0" borderId="0" xfId="3975" applyFont="1"/>
    <xf numFmtId="0" fontId="167" fillId="32" borderId="0" xfId="0" applyFont="1" applyFill="1"/>
    <xf numFmtId="166" fontId="167" fillId="32" borderId="0" xfId="3975" applyFont="1" applyFill="1"/>
    <xf numFmtId="0" fontId="0" fillId="75" borderId="0" xfId="0" applyFill="1" applyBorder="1" applyAlignment="1">
      <alignment horizontal="left"/>
    </xf>
    <xf numFmtId="0" fontId="0" fillId="75" borderId="0" xfId="0" applyFill="1" applyBorder="1"/>
    <xf numFmtId="165" fontId="0" fillId="75" borderId="0" xfId="0" applyNumberFormat="1" applyFill="1" applyBorder="1"/>
    <xf numFmtId="0" fontId="99" fillId="20" borderId="84" xfId="27" applyFont="1" applyFill="1" applyBorder="1" applyAlignment="1">
      <alignment horizontal="center" vertical="center" wrapText="1"/>
    </xf>
    <xf numFmtId="0" fontId="99" fillId="20" borderId="85" xfId="27" applyFont="1" applyFill="1" applyBorder="1" applyAlignment="1">
      <alignment horizontal="center" vertical="center" wrapText="1"/>
    </xf>
    <xf numFmtId="0" fontId="99" fillId="20" borderId="86" xfId="27" applyFont="1" applyFill="1" applyBorder="1" applyAlignment="1">
      <alignment horizontal="center" vertical="center" wrapText="1"/>
    </xf>
    <xf numFmtId="0" fontId="133" fillId="3" borderId="21" xfId="27" applyFont="1" applyFill="1" applyBorder="1" applyAlignment="1">
      <alignment horizontal="left" vertical="center" wrapText="1"/>
    </xf>
    <xf numFmtId="0" fontId="133" fillId="3" borderId="22" xfId="27" applyFont="1" applyFill="1" applyBorder="1" applyAlignment="1">
      <alignment horizontal="left" vertical="center" wrapText="1"/>
    </xf>
    <xf numFmtId="0" fontId="133" fillId="3" borderId="76" xfId="27" applyFont="1" applyFill="1" applyBorder="1" applyAlignment="1">
      <alignment horizontal="left" vertical="center" wrapText="1"/>
    </xf>
    <xf numFmtId="0" fontId="133" fillId="3" borderId="75" xfId="27" applyFont="1" applyFill="1" applyBorder="1" applyAlignment="1">
      <alignment horizontal="left" vertical="center" wrapText="1"/>
    </xf>
    <xf numFmtId="0" fontId="100" fillId="6" borderId="0" xfId="27" applyFont="1" applyFill="1" applyBorder="1" applyAlignment="1">
      <alignment horizontal="center" vertical="center"/>
    </xf>
    <xf numFmtId="0" fontId="100" fillId="6" borderId="0" xfId="27" applyFont="1" applyFill="1" applyBorder="1" applyAlignment="1">
      <alignment horizontal="center"/>
    </xf>
    <xf numFmtId="0" fontId="102" fillId="20" borderId="23" xfId="27" applyFont="1" applyFill="1" applyBorder="1" applyAlignment="1">
      <alignment horizontal="center" vertical="center" wrapText="1"/>
    </xf>
    <xf numFmtId="0" fontId="102" fillId="20" borderId="24" xfId="27" applyFont="1" applyFill="1" applyBorder="1" applyAlignment="1">
      <alignment horizontal="center" vertical="center" wrapText="1"/>
    </xf>
    <xf numFmtId="0" fontId="102" fillId="20" borderId="25" xfId="27" applyFont="1" applyFill="1" applyBorder="1" applyAlignment="1">
      <alignment horizontal="center" vertical="center" wrapText="1"/>
    </xf>
    <xf numFmtId="0" fontId="99" fillId="20" borderId="23" xfId="27" applyFont="1" applyFill="1" applyBorder="1" applyAlignment="1">
      <alignment horizontal="center" vertical="center" wrapText="1"/>
    </xf>
    <xf numFmtId="0" fontId="99" fillId="20" borderId="24" xfId="27" applyFont="1" applyFill="1" applyBorder="1" applyAlignment="1">
      <alignment horizontal="center" vertical="center" wrapText="1"/>
    </xf>
    <xf numFmtId="0" fontId="99" fillId="20" borderId="25" xfId="27" applyFont="1" applyFill="1" applyBorder="1" applyAlignment="1">
      <alignment horizontal="center" vertical="center" wrapText="1"/>
    </xf>
    <xf numFmtId="0" fontId="99" fillId="64" borderId="64" xfId="27" applyFont="1" applyFill="1" applyBorder="1" applyAlignment="1">
      <alignment horizontal="center" vertical="center"/>
    </xf>
    <xf numFmtId="0" fontId="99" fillId="25" borderId="64" xfId="27" applyFont="1" applyFill="1" applyBorder="1" applyAlignment="1">
      <alignment horizontal="center" vertical="center"/>
    </xf>
    <xf numFmtId="0" fontId="101" fillId="30" borderId="50" xfId="27" applyFont="1" applyFill="1" applyBorder="1" applyAlignment="1">
      <alignment horizontal="center" vertical="center"/>
    </xf>
    <xf numFmtId="0" fontId="101" fillId="30" borderId="51" xfId="27" applyFont="1" applyFill="1" applyBorder="1" applyAlignment="1">
      <alignment horizontal="center" vertical="center"/>
    </xf>
    <xf numFmtId="0" fontId="101" fillId="30" borderId="52" xfId="27" applyFont="1" applyFill="1" applyBorder="1" applyAlignment="1">
      <alignment horizontal="center" vertical="center"/>
    </xf>
    <xf numFmtId="0" fontId="101" fillId="22" borderId="37" xfId="27" applyFont="1" applyFill="1" applyBorder="1" applyAlignment="1">
      <alignment horizontal="center" vertical="center"/>
    </xf>
    <xf numFmtId="0" fontId="101" fillId="22" borderId="38" xfId="27" applyFont="1" applyFill="1" applyBorder="1" applyAlignment="1">
      <alignment horizontal="center" vertical="center"/>
    </xf>
    <xf numFmtId="0" fontId="101" fillId="22" borderId="39" xfId="27" applyFont="1" applyFill="1" applyBorder="1" applyAlignment="1">
      <alignment horizontal="center" vertical="center"/>
    </xf>
    <xf numFmtId="0" fontId="112" fillId="18" borderId="3" xfId="0" applyFont="1" applyFill="1" applyBorder="1" applyAlignment="1">
      <alignment horizontal="center" vertical="center"/>
    </xf>
    <xf numFmtId="0" fontId="112" fillId="18" borderId="4" xfId="0" applyFont="1" applyFill="1" applyBorder="1" applyAlignment="1">
      <alignment horizontal="center" vertical="center"/>
    </xf>
    <xf numFmtId="0" fontId="112" fillId="18" borderId="5" xfId="0" applyFont="1" applyFill="1" applyBorder="1" applyAlignment="1">
      <alignment horizontal="center" vertical="center"/>
    </xf>
    <xf numFmtId="0" fontId="112" fillId="18" borderId="6" xfId="0" applyFont="1" applyFill="1" applyBorder="1" applyAlignment="1">
      <alignment horizontal="center" vertical="center"/>
    </xf>
    <xf numFmtId="0" fontId="112" fillId="18" borderId="7" xfId="0" applyFont="1" applyFill="1" applyBorder="1" applyAlignment="1">
      <alignment horizontal="center" vertical="center"/>
    </xf>
    <xf numFmtId="0" fontId="112" fillId="18" borderId="8" xfId="0" applyFont="1" applyFill="1" applyBorder="1" applyAlignment="1">
      <alignment horizontal="center" vertical="center"/>
    </xf>
    <xf numFmtId="0" fontId="113" fillId="0" borderId="14" xfId="0" applyFont="1" applyBorder="1" applyAlignment="1">
      <alignment vertical="center"/>
    </xf>
    <xf numFmtId="0" fontId="113" fillId="0" borderId="15" xfId="0" applyFont="1" applyBorder="1" applyAlignment="1">
      <alignment vertical="center"/>
    </xf>
    <xf numFmtId="0" fontId="113" fillId="0" borderId="16" xfId="0" applyFont="1" applyBorder="1" applyAlignment="1">
      <alignment vertical="center"/>
    </xf>
    <xf numFmtId="0" fontId="113" fillId="0" borderId="17" xfId="0" applyFont="1" applyBorder="1" applyAlignment="1">
      <alignment vertical="center"/>
    </xf>
    <xf numFmtId="0" fontId="113" fillId="0" borderId="18" xfId="0" applyFont="1" applyBorder="1" applyAlignment="1">
      <alignment vertical="center"/>
    </xf>
    <xf numFmtId="0" fontId="113" fillId="0" borderId="19" xfId="0" applyFont="1" applyBorder="1" applyAlignment="1">
      <alignment vertical="center"/>
    </xf>
  </cellXfs>
  <cellStyles count="4107">
    <cellStyle name="20% - Énfasis1" xfId="3998" builtinId="30" customBuiltin="1"/>
    <cellStyle name="20% - Énfasis2" xfId="4002" builtinId="34" customBuiltin="1"/>
    <cellStyle name="20% - Énfasis3" xfId="4006" builtinId="38" customBuiltin="1"/>
    <cellStyle name="20% - Énfasis4" xfId="4010" builtinId="42" customBuiltin="1"/>
    <cellStyle name="20% - Énfasis5" xfId="4014" builtinId="46" customBuiltin="1"/>
    <cellStyle name="20% - Énfasis6" xfId="4018" builtinId="50" customBuiltin="1"/>
    <cellStyle name="40% - Énfasis1" xfId="3999" builtinId="31" customBuiltin="1"/>
    <cellStyle name="40% - Énfasis2" xfId="4003" builtinId="35" customBuiltin="1"/>
    <cellStyle name="40% - Énfasis3" xfId="4007" builtinId="39" customBuiltin="1"/>
    <cellStyle name="40% - Énfasis4" xfId="4011" builtinId="43" customBuiltin="1"/>
    <cellStyle name="40% - Énfasis5" xfId="4015" builtinId="47" customBuiltin="1"/>
    <cellStyle name="40% - Énfasis6" xfId="4019" builtinId="51" customBuiltin="1"/>
    <cellStyle name="60% - Énfasis1" xfId="4000" builtinId="32" customBuiltin="1"/>
    <cellStyle name="60% - Énfasis2" xfId="4004" builtinId="36" customBuiltin="1"/>
    <cellStyle name="60% - Énfasis3" xfId="4008" builtinId="40" customBuiltin="1"/>
    <cellStyle name="60% - Énfasis4" xfId="4012" builtinId="44" customBuiltin="1"/>
    <cellStyle name="60% - Énfasis5" xfId="4016" builtinId="48" customBuiltin="1"/>
    <cellStyle name="60% - Énfasis6" xfId="4020" builtinId="52" customBuiltin="1"/>
    <cellStyle name="8I" xfId="4045" xr:uid="{00000000-0005-0000-0000-000012000000}"/>
    <cellStyle name="Bueno" xfId="3985" builtinId="26" customBuiltin="1"/>
    <cellStyle name="Cálculo" xfId="3990" builtinId="22" customBuiltin="1"/>
    <cellStyle name="Celda de comprobación" xfId="3992" builtinId="23" customBuiltin="1"/>
    <cellStyle name="Celda vinculada" xfId="3991" builtinId="24" customBuiltin="1"/>
    <cellStyle name="Comma  - Style1" xfId="4046" xr:uid="{00000000-0005-0000-0000-000017000000}"/>
    <cellStyle name="Comma  - Style2" xfId="4047" xr:uid="{00000000-0005-0000-0000-000018000000}"/>
    <cellStyle name="Comma  - Style3" xfId="4048" xr:uid="{00000000-0005-0000-0000-000019000000}"/>
    <cellStyle name="Comma  - Style4" xfId="4049" xr:uid="{00000000-0005-0000-0000-00001A000000}"/>
    <cellStyle name="Comma  - Style5" xfId="4050" xr:uid="{00000000-0005-0000-0000-00001B000000}"/>
    <cellStyle name="Comma  - Style6" xfId="4051" xr:uid="{00000000-0005-0000-0000-00001C000000}"/>
    <cellStyle name="Comma  - Style7" xfId="4052" xr:uid="{00000000-0005-0000-0000-00001D000000}"/>
    <cellStyle name="Comma  - Style8" xfId="4053" xr:uid="{00000000-0005-0000-0000-00001E000000}"/>
    <cellStyle name="Comma0" xfId="4054" xr:uid="{00000000-0005-0000-0000-00001F000000}"/>
    <cellStyle name="Currency0" xfId="4055" xr:uid="{00000000-0005-0000-0000-000020000000}"/>
    <cellStyle name="Date" xfId="4056" xr:uid="{00000000-0005-0000-0000-000021000000}"/>
    <cellStyle name="Encabezado 1" xfId="3981" builtinId="16" customBuiltin="1"/>
    <cellStyle name="Encabezado 4" xfId="3984" builtinId="19" customBuiltin="1"/>
    <cellStyle name="Énfasis1" xfId="3997" builtinId="29" customBuiltin="1"/>
    <cellStyle name="Énfasis2" xfId="4001" builtinId="33" customBuiltin="1"/>
    <cellStyle name="Énfasis3" xfId="4005" builtinId="37" customBuiltin="1"/>
    <cellStyle name="Énfasis4" xfId="4009" builtinId="41" customBuiltin="1"/>
    <cellStyle name="Énfasis5" xfId="4013" builtinId="45" customBuiltin="1"/>
    <cellStyle name="Énfasis6" xfId="4017" builtinId="49" customBuiltin="1"/>
    <cellStyle name="Entrada" xfId="3988" builtinId="20" customBuiltin="1"/>
    <cellStyle name="Euro" xfId="4" xr:uid="{00000000-0005-0000-0000-00002B000000}"/>
    <cellStyle name="Fixed" xfId="4057" xr:uid="{00000000-0005-0000-0000-00002C000000}"/>
    <cellStyle name="Followed Hyperlink_0331longsht" xfId="4058" xr:uid="{00000000-0005-0000-0000-00002D000000}"/>
    <cellStyle name="Grey" xfId="4059" xr:uid="{00000000-0005-0000-0000-00002E000000}"/>
    <cellStyle name="header" xfId="4060" xr:uid="{00000000-0005-0000-0000-00002F000000}"/>
    <cellStyle name="Header1" xfId="4061" xr:uid="{00000000-0005-0000-0000-000030000000}"/>
    <cellStyle name="Header2" xfId="4062" xr:uid="{00000000-0005-0000-0000-000031000000}"/>
    <cellStyle name="heading 1" xfId="4063" xr:uid="{00000000-0005-0000-0000-000032000000}"/>
    <cellStyle name="Heading 2" xfId="4064" xr:uid="{00000000-0005-0000-0000-000033000000}"/>
    <cellStyle name="heading 3" xfId="4065" xr:uid="{00000000-0005-0000-0000-000034000000}"/>
    <cellStyle name="Hyperlink_0331ytd_cal" xfId="4066" xr:uid="{00000000-0005-0000-0000-000035000000}"/>
    <cellStyle name="Incorrecto" xfId="3986" builtinId="27" customBuiltin="1"/>
    <cellStyle name="Input [yellow]" xfId="4067" xr:uid="{00000000-0005-0000-0000-000037000000}"/>
    <cellStyle name="Millares" xfId="3975" builtinId="3"/>
    <cellStyle name="Millares 10" xfId="219" xr:uid="{00000000-0005-0000-0000-000039000000}"/>
    <cellStyle name="Millares 10 2" xfId="623" xr:uid="{00000000-0005-0000-0000-00003A000000}"/>
    <cellStyle name="Millares 10 2 2" xfId="1264" xr:uid="{00000000-0005-0000-0000-00003B000000}"/>
    <cellStyle name="Millares 10 2 2 2" xfId="3216" xr:uid="{00000000-0005-0000-0000-00003C000000}"/>
    <cellStyle name="Millares 10 2 3" xfId="1890" xr:uid="{00000000-0005-0000-0000-00003D000000}"/>
    <cellStyle name="Millares 10 2 3 2" xfId="3841" xr:uid="{00000000-0005-0000-0000-00003E000000}"/>
    <cellStyle name="Millares 10 2 4" xfId="2581" xr:uid="{00000000-0005-0000-0000-00003F000000}"/>
    <cellStyle name="Millares 10 3" xfId="422" xr:uid="{00000000-0005-0000-0000-000040000000}"/>
    <cellStyle name="Millares 10 3 2" xfId="1063" xr:uid="{00000000-0005-0000-0000-000041000000}"/>
    <cellStyle name="Millares 10 3 2 2" xfId="3015" xr:uid="{00000000-0005-0000-0000-000042000000}"/>
    <cellStyle name="Millares 10 3 3" xfId="1689" xr:uid="{00000000-0005-0000-0000-000043000000}"/>
    <cellStyle name="Millares 10 3 3 2" xfId="3640" xr:uid="{00000000-0005-0000-0000-000044000000}"/>
    <cellStyle name="Millares 10 3 4" xfId="2380" xr:uid="{00000000-0005-0000-0000-000045000000}"/>
    <cellStyle name="Millares 10 4" xfId="860" xr:uid="{00000000-0005-0000-0000-000046000000}"/>
    <cellStyle name="Millares 10 4 2" xfId="2812" xr:uid="{00000000-0005-0000-0000-000047000000}"/>
    <cellStyle name="Millares 10 5" xfId="1486" xr:uid="{00000000-0005-0000-0000-000048000000}"/>
    <cellStyle name="Millares 10 5 2" xfId="3437" xr:uid="{00000000-0005-0000-0000-000049000000}"/>
    <cellStyle name="Millares 10 6" xfId="2177" xr:uid="{00000000-0005-0000-0000-00004A000000}"/>
    <cellStyle name="Millares 11" xfId="222" xr:uid="{00000000-0005-0000-0000-00004B000000}"/>
    <cellStyle name="Millares 11 2" xfId="626" xr:uid="{00000000-0005-0000-0000-00004C000000}"/>
    <cellStyle name="Millares 11 2 2" xfId="1267" xr:uid="{00000000-0005-0000-0000-00004D000000}"/>
    <cellStyle name="Millares 11 2 2 2" xfId="3219" xr:uid="{00000000-0005-0000-0000-00004E000000}"/>
    <cellStyle name="Millares 11 2 3" xfId="1893" xr:uid="{00000000-0005-0000-0000-00004F000000}"/>
    <cellStyle name="Millares 11 2 3 2" xfId="3844" xr:uid="{00000000-0005-0000-0000-000050000000}"/>
    <cellStyle name="Millares 11 2 4" xfId="2584" xr:uid="{00000000-0005-0000-0000-000051000000}"/>
    <cellStyle name="Millares 11 3" xfId="425" xr:uid="{00000000-0005-0000-0000-000052000000}"/>
    <cellStyle name="Millares 11 3 2" xfId="1066" xr:uid="{00000000-0005-0000-0000-000053000000}"/>
    <cellStyle name="Millares 11 3 2 2" xfId="3018" xr:uid="{00000000-0005-0000-0000-000054000000}"/>
    <cellStyle name="Millares 11 3 3" xfId="1692" xr:uid="{00000000-0005-0000-0000-000055000000}"/>
    <cellStyle name="Millares 11 3 3 2" xfId="3643" xr:uid="{00000000-0005-0000-0000-000056000000}"/>
    <cellStyle name="Millares 11 3 4" xfId="2383" xr:uid="{00000000-0005-0000-0000-000057000000}"/>
    <cellStyle name="Millares 11 4" xfId="863" xr:uid="{00000000-0005-0000-0000-000058000000}"/>
    <cellStyle name="Millares 11 4 2" xfId="2815" xr:uid="{00000000-0005-0000-0000-000059000000}"/>
    <cellStyle name="Millares 11 5" xfId="1489" xr:uid="{00000000-0005-0000-0000-00005A000000}"/>
    <cellStyle name="Millares 11 5 2" xfId="3440" xr:uid="{00000000-0005-0000-0000-00005B000000}"/>
    <cellStyle name="Millares 11 6" xfId="2180" xr:uid="{00000000-0005-0000-0000-00005C000000}"/>
    <cellStyle name="Millares 12" xfId="227" xr:uid="{00000000-0005-0000-0000-00005D000000}"/>
    <cellStyle name="Millares 12 2" xfId="631" xr:uid="{00000000-0005-0000-0000-00005E000000}"/>
    <cellStyle name="Millares 12 2 2" xfId="1272" xr:uid="{00000000-0005-0000-0000-00005F000000}"/>
    <cellStyle name="Millares 12 2 2 2" xfId="3224" xr:uid="{00000000-0005-0000-0000-000060000000}"/>
    <cellStyle name="Millares 12 2 3" xfId="1898" xr:uid="{00000000-0005-0000-0000-000061000000}"/>
    <cellStyle name="Millares 12 2 3 2" xfId="3849" xr:uid="{00000000-0005-0000-0000-000062000000}"/>
    <cellStyle name="Millares 12 2 4" xfId="2589" xr:uid="{00000000-0005-0000-0000-000063000000}"/>
    <cellStyle name="Millares 12 3" xfId="430" xr:uid="{00000000-0005-0000-0000-000064000000}"/>
    <cellStyle name="Millares 12 3 2" xfId="1071" xr:uid="{00000000-0005-0000-0000-000065000000}"/>
    <cellStyle name="Millares 12 3 2 2" xfId="3023" xr:uid="{00000000-0005-0000-0000-000066000000}"/>
    <cellStyle name="Millares 12 3 3" xfId="1697" xr:uid="{00000000-0005-0000-0000-000067000000}"/>
    <cellStyle name="Millares 12 3 3 2" xfId="3648" xr:uid="{00000000-0005-0000-0000-000068000000}"/>
    <cellStyle name="Millares 12 3 4" xfId="2388" xr:uid="{00000000-0005-0000-0000-000069000000}"/>
    <cellStyle name="Millares 12 4" xfId="868" xr:uid="{00000000-0005-0000-0000-00006A000000}"/>
    <cellStyle name="Millares 12 4 2" xfId="2820" xr:uid="{00000000-0005-0000-0000-00006B000000}"/>
    <cellStyle name="Millares 12 5" xfId="1494" xr:uid="{00000000-0005-0000-0000-00006C000000}"/>
    <cellStyle name="Millares 12 5 2" xfId="3445" xr:uid="{00000000-0005-0000-0000-00006D000000}"/>
    <cellStyle name="Millares 12 6" xfId="2185" xr:uid="{00000000-0005-0000-0000-00006E000000}"/>
    <cellStyle name="Millares 13" xfId="230" xr:uid="{00000000-0005-0000-0000-00006F000000}"/>
    <cellStyle name="Millares 13 2" xfId="634" xr:uid="{00000000-0005-0000-0000-000070000000}"/>
    <cellStyle name="Millares 13 2 2" xfId="1275" xr:uid="{00000000-0005-0000-0000-000071000000}"/>
    <cellStyle name="Millares 13 2 2 2" xfId="3227" xr:uid="{00000000-0005-0000-0000-000072000000}"/>
    <cellStyle name="Millares 13 2 3" xfId="1901" xr:uid="{00000000-0005-0000-0000-000073000000}"/>
    <cellStyle name="Millares 13 2 3 2" xfId="3852" xr:uid="{00000000-0005-0000-0000-000074000000}"/>
    <cellStyle name="Millares 13 2 4" xfId="2592" xr:uid="{00000000-0005-0000-0000-000075000000}"/>
    <cellStyle name="Millares 13 3" xfId="433" xr:uid="{00000000-0005-0000-0000-000076000000}"/>
    <cellStyle name="Millares 13 3 2" xfId="1074" xr:uid="{00000000-0005-0000-0000-000077000000}"/>
    <cellStyle name="Millares 13 3 2 2" xfId="3026" xr:uid="{00000000-0005-0000-0000-000078000000}"/>
    <cellStyle name="Millares 13 3 3" xfId="1700" xr:uid="{00000000-0005-0000-0000-000079000000}"/>
    <cellStyle name="Millares 13 3 3 2" xfId="3651" xr:uid="{00000000-0005-0000-0000-00007A000000}"/>
    <cellStyle name="Millares 13 3 4" xfId="2391" xr:uid="{00000000-0005-0000-0000-00007B000000}"/>
    <cellStyle name="Millares 13 4" xfId="871" xr:uid="{00000000-0005-0000-0000-00007C000000}"/>
    <cellStyle name="Millares 13 4 2" xfId="2823" xr:uid="{00000000-0005-0000-0000-00007D000000}"/>
    <cellStyle name="Millares 13 5" xfId="1497" xr:uid="{00000000-0005-0000-0000-00007E000000}"/>
    <cellStyle name="Millares 13 5 2" xfId="3448" xr:uid="{00000000-0005-0000-0000-00007F000000}"/>
    <cellStyle name="Millares 13 6" xfId="2188" xr:uid="{00000000-0005-0000-0000-000080000000}"/>
    <cellStyle name="Millares 14" xfId="236" xr:uid="{00000000-0005-0000-0000-000081000000}"/>
    <cellStyle name="Millares 14 2" xfId="640" xr:uid="{00000000-0005-0000-0000-000082000000}"/>
    <cellStyle name="Millares 14 2 2" xfId="1281" xr:uid="{00000000-0005-0000-0000-000083000000}"/>
    <cellStyle name="Millares 14 2 2 2" xfId="3233" xr:uid="{00000000-0005-0000-0000-000084000000}"/>
    <cellStyle name="Millares 14 2 3" xfId="1907" xr:uid="{00000000-0005-0000-0000-000085000000}"/>
    <cellStyle name="Millares 14 2 3 2" xfId="3858" xr:uid="{00000000-0005-0000-0000-000086000000}"/>
    <cellStyle name="Millares 14 2 4" xfId="2598" xr:uid="{00000000-0005-0000-0000-000087000000}"/>
    <cellStyle name="Millares 14 3" xfId="439" xr:uid="{00000000-0005-0000-0000-000088000000}"/>
    <cellStyle name="Millares 14 3 2" xfId="1080" xr:uid="{00000000-0005-0000-0000-000089000000}"/>
    <cellStyle name="Millares 14 3 2 2" xfId="3032" xr:uid="{00000000-0005-0000-0000-00008A000000}"/>
    <cellStyle name="Millares 14 3 3" xfId="1706" xr:uid="{00000000-0005-0000-0000-00008B000000}"/>
    <cellStyle name="Millares 14 3 3 2" xfId="3657" xr:uid="{00000000-0005-0000-0000-00008C000000}"/>
    <cellStyle name="Millares 14 3 4" xfId="2397" xr:uid="{00000000-0005-0000-0000-00008D000000}"/>
    <cellStyle name="Millares 14 4" xfId="877" xr:uid="{00000000-0005-0000-0000-00008E000000}"/>
    <cellStyle name="Millares 14 4 2" xfId="2829" xr:uid="{00000000-0005-0000-0000-00008F000000}"/>
    <cellStyle name="Millares 14 5" xfId="1503" xr:uid="{00000000-0005-0000-0000-000090000000}"/>
    <cellStyle name="Millares 14 5 2" xfId="3454" xr:uid="{00000000-0005-0000-0000-000091000000}"/>
    <cellStyle name="Millares 14 6" xfId="2194" xr:uid="{00000000-0005-0000-0000-000092000000}"/>
    <cellStyle name="Millares 15" xfId="239" xr:uid="{00000000-0005-0000-0000-000093000000}"/>
    <cellStyle name="Millares 15 2" xfId="643" xr:uid="{00000000-0005-0000-0000-000094000000}"/>
    <cellStyle name="Millares 15 2 2" xfId="1284" xr:uid="{00000000-0005-0000-0000-000095000000}"/>
    <cellStyle name="Millares 15 2 2 2" xfId="3236" xr:uid="{00000000-0005-0000-0000-000096000000}"/>
    <cellStyle name="Millares 15 2 3" xfId="1910" xr:uid="{00000000-0005-0000-0000-000097000000}"/>
    <cellStyle name="Millares 15 2 3 2" xfId="3861" xr:uid="{00000000-0005-0000-0000-000098000000}"/>
    <cellStyle name="Millares 15 2 4" xfId="2601" xr:uid="{00000000-0005-0000-0000-000099000000}"/>
    <cellStyle name="Millares 15 3" xfId="442" xr:uid="{00000000-0005-0000-0000-00009A000000}"/>
    <cellStyle name="Millares 15 3 2" xfId="1083" xr:uid="{00000000-0005-0000-0000-00009B000000}"/>
    <cellStyle name="Millares 15 3 2 2" xfId="3035" xr:uid="{00000000-0005-0000-0000-00009C000000}"/>
    <cellStyle name="Millares 15 3 3" xfId="1709" xr:uid="{00000000-0005-0000-0000-00009D000000}"/>
    <cellStyle name="Millares 15 3 3 2" xfId="3660" xr:uid="{00000000-0005-0000-0000-00009E000000}"/>
    <cellStyle name="Millares 15 3 4" xfId="2400" xr:uid="{00000000-0005-0000-0000-00009F000000}"/>
    <cellStyle name="Millares 15 4" xfId="880" xr:uid="{00000000-0005-0000-0000-0000A0000000}"/>
    <cellStyle name="Millares 15 4 2" xfId="2832" xr:uid="{00000000-0005-0000-0000-0000A1000000}"/>
    <cellStyle name="Millares 15 5" xfId="1506" xr:uid="{00000000-0005-0000-0000-0000A2000000}"/>
    <cellStyle name="Millares 15 5 2" xfId="3457" xr:uid="{00000000-0005-0000-0000-0000A3000000}"/>
    <cellStyle name="Millares 15 6" xfId="2197" xr:uid="{00000000-0005-0000-0000-0000A4000000}"/>
    <cellStyle name="Millares 16" xfId="243" xr:uid="{00000000-0005-0000-0000-0000A5000000}"/>
    <cellStyle name="Millares 16 2" xfId="647" xr:uid="{00000000-0005-0000-0000-0000A6000000}"/>
    <cellStyle name="Millares 16 2 2" xfId="1288" xr:uid="{00000000-0005-0000-0000-0000A7000000}"/>
    <cellStyle name="Millares 16 2 2 2" xfId="3240" xr:uid="{00000000-0005-0000-0000-0000A8000000}"/>
    <cellStyle name="Millares 16 2 3" xfId="1914" xr:uid="{00000000-0005-0000-0000-0000A9000000}"/>
    <cellStyle name="Millares 16 2 3 2" xfId="3865" xr:uid="{00000000-0005-0000-0000-0000AA000000}"/>
    <cellStyle name="Millares 16 2 4" xfId="2605" xr:uid="{00000000-0005-0000-0000-0000AB000000}"/>
    <cellStyle name="Millares 16 3" xfId="446" xr:uid="{00000000-0005-0000-0000-0000AC000000}"/>
    <cellStyle name="Millares 16 3 2" xfId="1087" xr:uid="{00000000-0005-0000-0000-0000AD000000}"/>
    <cellStyle name="Millares 16 3 2 2" xfId="3039" xr:uid="{00000000-0005-0000-0000-0000AE000000}"/>
    <cellStyle name="Millares 16 3 3" xfId="1713" xr:uid="{00000000-0005-0000-0000-0000AF000000}"/>
    <cellStyle name="Millares 16 3 3 2" xfId="3664" xr:uid="{00000000-0005-0000-0000-0000B0000000}"/>
    <cellStyle name="Millares 16 3 4" xfId="2404" xr:uid="{00000000-0005-0000-0000-0000B1000000}"/>
    <cellStyle name="Millares 16 4" xfId="884" xr:uid="{00000000-0005-0000-0000-0000B2000000}"/>
    <cellStyle name="Millares 16 4 2" xfId="2836" xr:uid="{00000000-0005-0000-0000-0000B3000000}"/>
    <cellStyle name="Millares 16 5" xfId="1510" xr:uid="{00000000-0005-0000-0000-0000B4000000}"/>
    <cellStyle name="Millares 16 5 2" xfId="3461" xr:uid="{00000000-0005-0000-0000-0000B5000000}"/>
    <cellStyle name="Millares 16 6" xfId="2201" xr:uid="{00000000-0005-0000-0000-0000B6000000}"/>
    <cellStyle name="Millares 17" xfId="247" xr:uid="{00000000-0005-0000-0000-0000B7000000}"/>
    <cellStyle name="Millares 17 2" xfId="651" xr:uid="{00000000-0005-0000-0000-0000B8000000}"/>
    <cellStyle name="Millares 17 2 2" xfId="1292" xr:uid="{00000000-0005-0000-0000-0000B9000000}"/>
    <cellStyle name="Millares 17 2 2 2" xfId="3244" xr:uid="{00000000-0005-0000-0000-0000BA000000}"/>
    <cellStyle name="Millares 17 2 3" xfId="1918" xr:uid="{00000000-0005-0000-0000-0000BB000000}"/>
    <cellStyle name="Millares 17 2 3 2" xfId="3869" xr:uid="{00000000-0005-0000-0000-0000BC000000}"/>
    <cellStyle name="Millares 17 2 4" xfId="2609" xr:uid="{00000000-0005-0000-0000-0000BD000000}"/>
    <cellStyle name="Millares 17 3" xfId="450" xr:uid="{00000000-0005-0000-0000-0000BE000000}"/>
    <cellStyle name="Millares 17 3 2" xfId="1091" xr:uid="{00000000-0005-0000-0000-0000BF000000}"/>
    <cellStyle name="Millares 17 3 2 2" xfId="3043" xr:uid="{00000000-0005-0000-0000-0000C0000000}"/>
    <cellStyle name="Millares 17 3 3" xfId="1717" xr:uid="{00000000-0005-0000-0000-0000C1000000}"/>
    <cellStyle name="Millares 17 3 3 2" xfId="3668" xr:uid="{00000000-0005-0000-0000-0000C2000000}"/>
    <cellStyle name="Millares 17 3 4" xfId="2408" xr:uid="{00000000-0005-0000-0000-0000C3000000}"/>
    <cellStyle name="Millares 17 4" xfId="888" xr:uid="{00000000-0005-0000-0000-0000C4000000}"/>
    <cellStyle name="Millares 17 4 2" xfId="2840" xr:uid="{00000000-0005-0000-0000-0000C5000000}"/>
    <cellStyle name="Millares 17 5" xfId="1514" xr:uid="{00000000-0005-0000-0000-0000C6000000}"/>
    <cellStyle name="Millares 17 5 2" xfId="3465" xr:uid="{00000000-0005-0000-0000-0000C7000000}"/>
    <cellStyle name="Millares 17 6" xfId="2205" xr:uid="{00000000-0005-0000-0000-0000C8000000}"/>
    <cellStyle name="Millares 18" xfId="250" xr:uid="{00000000-0005-0000-0000-0000C9000000}"/>
    <cellStyle name="Millares 18 2" xfId="654" xr:uid="{00000000-0005-0000-0000-0000CA000000}"/>
    <cellStyle name="Millares 18 2 2" xfId="1295" xr:uid="{00000000-0005-0000-0000-0000CB000000}"/>
    <cellStyle name="Millares 18 2 2 2" xfId="3247" xr:uid="{00000000-0005-0000-0000-0000CC000000}"/>
    <cellStyle name="Millares 18 2 3" xfId="1921" xr:uid="{00000000-0005-0000-0000-0000CD000000}"/>
    <cellStyle name="Millares 18 2 3 2" xfId="3872" xr:uid="{00000000-0005-0000-0000-0000CE000000}"/>
    <cellStyle name="Millares 18 2 4" xfId="2612" xr:uid="{00000000-0005-0000-0000-0000CF000000}"/>
    <cellStyle name="Millares 18 3" xfId="453" xr:uid="{00000000-0005-0000-0000-0000D0000000}"/>
    <cellStyle name="Millares 18 3 2" xfId="1094" xr:uid="{00000000-0005-0000-0000-0000D1000000}"/>
    <cellStyle name="Millares 18 3 2 2" xfId="3046" xr:uid="{00000000-0005-0000-0000-0000D2000000}"/>
    <cellStyle name="Millares 18 3 3" xfId="1720" xr:uid="{00000000-0005-0000-0000-0000D3000000}"/>
    <cellStyle name="Millares 18 3 3 2" xfId="3671" xr:uid="{00000000-0005-0000-0000-0000D4000000}"/>
    <cellStyle name="Millares 18 3 4" xfId="2411" xr:uid="{00000000-0005-0000-0000-0000D5000000}"/>
    <cellStyle name="Millares 18 4" xfId="891" xr:uid="{00000000-0005-0000-0000-0000D6000000}"/>
    <cellStyle name="Millares 18 4 2" xfId="2843" xr:uid="{00000000-0005-0000-0000-0000D7000000}"/>
    <cellStyle name="Millares 18 5" xfId="1517" xr:uid="{00000000-0005-0000-0000-0000D8000000}"/>
    <cellStyle name="Millares 18 5 2" xfId="3468" xr:uid="{00000000-0005-0000-0000-0000D9000000}"/>
    <cellStyle name="Millares 18 6" xfId="2208" xr:uid="{00000000-0005-0000-0000-0000DA000000}"/>
    <cellStyle name="Millares 19" xfId="253" xr:uid="{00000000-0005-0000-0000-0000DB000000}"/>
    <cellStyle name="Millares 19 2" xfId="657" xr:uid="{00000000-0005-0000-0000-0000DC000000}"/>
    <cellStyle name="Millares 19 2 2" xfId="1298" xr:uid="{00000000-0005-0000-0000-0000DD000000}"/>
    <cellStyle name="Millares 19 2 2 2" xfId="3250" xr:uid="{00000000-0005-0000-0000-0000DE000000}"/>
    <cellStyle name="Millares 19 2 3" xfId="1924" xr:uid="{00000000-0005-0000-0000-0000DF000000}"/>
    <cellStyle name="Millares 19 2 3 2" xfId="3875" xr:uid="{00000000-0005-0000-0000-0000E0000000}"/>
    <cellStyle name="Millares 19 2 4" xfId="2615" xr:uid="{00000000-0005-0000-0000-0000E1000000}"/>
    <cellStyle name="Millares 19 3" xfId="456" xr:uid="{00000000-0005-0000-0000-0000E2000000}"/>
    <cellStyle name="Millares 19 3 2" xfId="1097" xr:uid="{00000000-0005-0000-0000-0000E3000000}"/>
    <cellStyle name="Millares 19 3 2 2" xfId="3049" xr:uid="{00000000-0005-0000-0000-0000E4000000}"/>
    <cellStyle name="Millares 19 3 3" xfId="1723" xr:uid="{00000000-0005-0000-0000-0000E5000000}"/>
    <cellStyle name="Millares 19 3 3 2" xfId="3674" xr:uid="{00000000-0005-0000-0000-0000E6000000}"/>
    <cellStyle name="Millares 19 3 4" xfId="2414" xr:uid="{00000000-0005-0000-0000-0000E7000000}"/>
    <cellStyle name="Millares 19 4" xfId="894" xr:uid="{00000000-0005-0000-0000-0000E8000000}"/>
    <cellStyle name="Millares 19 4 2" xfId="2846" xr:uid="{00000000-0005-0000-0000-0000E9000000}"/>
    <cellStyle name="Millares 19 5" xfId="1520" xr:uid="{00000000-0005-0000-0000-0000EA000000}"/>
    <cellStyle name="Millares 19 5 2" xfId="3471" xr:uid="{00000000-0005-0000-0000-0000EB000000}"/>
    <cellStyle name="Millares 19 6" xfId="2211" xr:uid="{00000000-0005-0000-0000-0000EC000000}"/>
    <cellStyle name="Millares 2" xfId="55" xr:uid="{00000000-0005-0000-0000-0000ED000000}"/>
    <cellStyle name="Millares 2 10" xfId="31" xr:uid="{00000000-0005-0000-0000-0000EE000000}"/>
    <cellStyle name="Millares 2 11" xfId="34" xr:uid="{00000000-0005-0000-0000-0000EF000000}"/>
    <cellStyle name="Millares 2 12" xfId="36" xr:uid="{00000000-0005-0000-0000-0000F0000000}"/>
    <cellStyle name="Millares 2 13" xfId="39" xr:uid="{00000000-0005-0000-0000-0000F1000000}"/>
    <cellStyle name="Millares 2 14" xfId="42" xr:uid="{00000000-0005-0000-0000-0000F2000000}"/>
    <cellStyle name="Millares 2 15" xfId="45" xr:uid="{00000000-0005-0000-0000-0000F3000000}"/>
    <cellStyle name="Millares 2 16" xfId="48" xr:uid="{00000000-0005-0000-0000-0000F4000000}"/>
    <cellStyle name="Millares 2 17" xfId="52" xr:uid="{00000000-0005-0000-0000-0000F5000000}"/>
    <cellStyle name="Millares 2 18" xfId="54" xr:uid="{00000000-0005-0000-0000-0000F6000000}"/>
    <cellStyle name="Millares 2 19" xfId="87" xr:uid="{00000000-0005-0000-0000-0000F7000000}"/>
    <cellStyle name="Millares 2 19 2" xfId="158" xr:uid="{00000000-0005-0000-0000-0000F8000000}"/>
    <cellStyle name="Millares 2 19 2 2" xfId="562" xr:uid="{00000000-0005-0000-0000-0000F9000000}"/>
    <cellStyle name="Millares 2 19 2 2 2" xfId="1203" xr:uid="{00000000-0005-0000-0000-0000FA000000}"/>
    <cellStyle name="Millares 2 19 2 2 2 2" xfId="3155" xr:uid="{00000000-0005-0000-0000-0000FB000000}"/>
    <cellStyle name="Millares 2 19 2 2 3" xfId="1829" xr:uid="{00000000-0005-0000-0000-0000FC000000}"/>
    <cellStyle name="Millares 2 19 2 2 3 2" xfId="3780" xr:uid="{00000000-0005-0000-0000-0000FD000000}"/>
    <cellStyle name="Millares 2 19 2 2 4" xfId="2520" xr:uid="{00000000-0005-0000-0000-0000FE000000}"/>
    <cellStyle name="Millares 2 19 2 3" xfId="361" xr:uid="{00000000-0005-0000-0000-0000FF000000}"/>
    <cellStyle name="Millares 2 19 2 3 2" xfId="1002" xr:uid="{00000000-0005-0000-0000-000000010000}"/>
    <cellStyle name="Millares 2 19 2 3 2 2" xfId="2954" xr:uid="{00000000-0005-0000-0000-000001010000}"/>
    <cellStyle name="Millares 2 19 2 3 3" xfId="1628" xr:uid="{00000000-0005-0000-0000-000002010000}"/>
    <cellStyle name="Millares 2 19 2 3 3 2" xfId="3579" xr:uid="{00000000-0005-0000-0000-000003010000}"/>
    <cellStyle name="Millares 2 19 2 3 4" xfId="2319" xr:uid="{00000000-0005-0000-0000-000004010000}"/>
    <cellStyle name="Millares 2 19 2 4" xfId="799" xr:uid="{00000000-0005-0000-0000-000005010000}"/>
    <cellStyle name="Millares 2 19 2 4 2" xfId="2751" xr:uid="{00000000-0005-0000-0000-000006010000}"/>
    <cellStyle name="Millares 2 19 2 5" xfId="1425" xr:uid="{00000000-0005-0000-0000-000007010000}"/>
    <cellStyle name="Millares 2 19 2 5 2" xfId="3376" xr:uid="{00000000-0005-0000-0000-000008010000}"/>
    <cellStyle name="Millares 2 19 2 6" xfId="2116" xr:uid="{00000000-0005-0000-0000-000009010000}"/>
    <cellStyle name="Millares 2 19 3" xfId="492" xr:uid="{00000000-0005-0000-0000-00000A010000}"/>
    <cellStyle name="Millares 2 19 3 2" xfId="1133" xr:uid="{00000000-0005-0000-0000-00000B010000}"/>
    <cellStyle name="Millares 2 19 3 2 2" xfId="3085" xr:uid="{00000000-0005-0000-0000-00000C010000}"/>
    <cellStyle name="Millares 2 19 3 3" xfId="1759" xr:uid="{00000000-0005-0000-0000-00000D010000}"/>
    <cellStyle name="Millares 2 19 3 3 2" xfId="3710" xr:uid="{00000000-0005-0000-0000-00000E010000}"/>
    <cellStyle name="Millares 2 19 3 4" xfId="2450" xr:uid="{00000000-0005-0000-0000-00000F010000}"/>
    <cellStyle name="Millares 2 19 4" xfId="291" xr:uid="{00000000-0005-0000-0000-000010010000}"/>
    <cellStyle name="Millares 2 19 4 2" xfId="932" xr:uid="{00000000-0005-0000-0000-000011010000}"/>
    <cellStyle name="Millares 2 19 4 2 2" xfId="2884" xr:uid="{00000000-0005-0000-0000-000012010000}"/>
    <cellStyle name="Millares 2 19 4 3" xfId="1558" xr:uid="{00000000-0005-0000-0000-000013010000}"/>
    <cellStyle name="Millares 2 19 4 3 2" xfId="3509" xr:uid="{00000000-0005-0000-0000-000014010000}"/>
    <cellStyle name="Millares 2 19 4 4" xfId="2249" xr:uid="{00000000-0005-0000-0000-000015010000}"/>
    <cellStyle name="Millares 2 19 5" xfId="729" xr:uid="{00000000-0005-0000-0000-000016010000}"/>
    <cellStyle name="Millares 2 19 5 2" xfId="2681" xr:uid="{00000000-0005-0000-0000-000017010000}"/>
    <cellStyle name="Millares 2 19 6" xfId="1355" xr:uid="{00000000-0005-0000-0000-000018010000}"/>
    <cellStyle name="Millares 2 19 6 2" xfId="3306" xr:uid="{00000000-0005-0000-0000-000019010000}"/>
    <cellStyle name="Millares 2 19 7" xfId="2046" xr:uid="{00000000-0005-0000-0000-00001A010000}"/>
    <cellStyle name="Millares 2 2" xfId="6" xr:uid="{00000000-0005-0000-0000-00001B010000}"/>
    <cellStyle name="Millares 2 20" xfId="128" xr:uid="{00000000-0005-0000-0000-00001C010000}"/>
    <cellStyle name="Millares 2 20 2" xfId="532" xr:uid="{00000000-0005-0000-0000-00001D010000}"/>
    <cellStyle name="Millares 2 20 2 2" xfId="1173" xr:uid="{00000000-0005-0000-0000-00001E010000}"/>
    <cellStyle name="Millares 2 20 2 2 2" xfId="3125" xr:uid="{00000000-0005-0000-0000-00001F010000}"/>
    <cellStyle name="Millares 2 20 2 3" xfId="1799" xr:uid="{00000000-0005-0000-0000-000020010000}"/>
    <cellStyle name="Millares 2 20 2 3 2" xfId="3750" xr:uid="{00000000-0005-0000-0000-000021010000}"/>
    <cellStyle name="Millares 2 20 2 4" xfId="2490" xr:uid="{00000000-0005-0000-0000-000022010000}"/>
    <cellStyle name="Millares 2 20 3" xfId="331" xr:uid="{00000000-0005-0000-0000-000023010000}"/>
    <cellStyle name="Millares 2 20 3 2" xfId="972" xr:uid="{00000000-0005-0000-0000-000024010000}"/>
    <cellStyle name="Millares 2 20 3 2 2" xfId="2924" xr:uid="{00000000-0005-0000-0000-000025010000}"/>
    <cellStyle name="Millares 2 20 3 3" xfId="1598" xr:uid="{00000000-0005-0000-0000-000026010000}"/>
    <cellStyle name="Millares 2 20 3 3 2" xfId="3549" xr:uid="{00000000-0005-0000-0000-000027010000}"/>
    <cellStyle name="Millares 2 20 3 4" xfId="2289" xr:uid="{00000000-0005-0000-0000-000028010000}"/>
    <cellStyle name="Millares 2 20 4" xfId="769" xr:uid="{00000000-0005-0000-0000-000029010000}"/>
    <cellStyle name="Millares 2 20 4 2" xfId="2721" xr:uid="{00000000-0005-0000-0000-00002A010000}"/>
    <cellStyle name="Millares 2 20 5" xfId="1395" xr:uid="{00000000-0005-0000-0000-00002B010000}"/>
    <cellStyle name="Millares 2 20 5 2" xfId="3346" xr:uid="{00000000-0005-0000-0000-00002C010000}"/>
    <cellStyle name="Millares 2 20 6" xfId="2086" xr:uid="{00000000-0005-0000-0000-00002D010000}"/>
    <cellStyle name="Millares 2 21" xfId="190" xr:uid="{00000000-0005-0000-0000-00002E010000}"/>
    <cellStyle name="Millares 2 21 2" xfId="594" xr:uid="{00000000-0005-0000-0000-00002F010000}"/>
    <cellStyle name="Millares 2 21 2 2" xfId="1235" xr:uid="{00000000-0005-0000-0000-000030010000}"/>
    <cellStyle name="Millares 2 21 2 2 2" xfId="3187" xr:uid="{00000000-0005-0000-0000-000031010000}"/>
    <cellStyle name="Millares 2 21 2 3" xfId="1861" xr:uid="{00000000-0005-0000-0000-000032010000}"/>
    <cellStyle name="Millares 2 21 2 3 2" xfId="3812" xr:uid="{00000000-0005-0000-0000-000033010000}"/>
    <cellStyle name="Millares 2 21 2 4" xfId="2552" xr:uid="{00000000-0005-0000-0000-000034010000}"/>
    <cellStyle name="Millares 2 21 3" xfId="393" xr:uid="{00000000-0005-0000-0000-000035010000}"/>
    <cellStyle name="Millares 2 21 3 2" xfId="1034" xr:uid="{00000000-0005-0000-0000-000036010000}"/>
    <cellStyle name="Millares 2 21 3 2 2" xfId="2986" xr:uid="{00000000-0005-0000-0000-000037010000}"/>
    <cellStyle name="Millares 2 21 3 3" xfId="1660" xr:uid="{00000000-0005-0000-0000-000038010000}"/>
    <cellStyle name="Millares 2 21 3 3 2" xfId="3611" xr:uid="{00000000-0005-0000-0000-000039010000}"/>
    <cellStyle name="Millares 2 21 3 4" xfId="2351" xr:uid="{00000000-0005-0000-0000-00003A010000}"/>
    <cellStyle name="Millares 2 21 4" xfId="831" xr:uid="{00000000-0005-0000-0000-00003B010000}"/>
    <cellStyle name="Millares 2 21 4 2" xfId="2783" xr:uid="{00000000-0005-0000-0000-00003C010000}"/>
    <cellStyle name="Millares 2 21 5" xfId="1457" xr:uid="{00000000-0005-0000-0000-00003D010000}"/>
    <cellStyle name="Millares 2 21 5 2" xfId="3408" xr:uid="{00000000-0005-0000-0000-00003E010000}"/>
    <cellStyle name="Millares 2 21 6" xfId="2148" xr:uid="{00000000-0005-0000-0000-00003F010000}"/>
    <cellStyle name="Millares 2 22" xfId="462" xr:uid="{00000000-0005-0000-0000-000040010000}"/>
    <cellStyle name="Millares 2 22 2" xfId="1103" xr:uid="{00000000-0005-0000-0000-000041010000}"/>
    <cellStyle name="Millares 2 22 2 2" xfId="3055" xr:uid="{00000000-0005-0000-0000-000042010000}"/>
    <cellStyle name="Millares 2 22 3" xfId="1729" xr:uid="{00000000-0005-0000-0000-000043010000}"/>
    <cellStyle name="Millares 2 22 3 2" xfId="3680" xr:uid="{00000000-0005-0000-0000-000044010000}"/>
    <cellStyle name="Millares 2 22 4" xfId="2420" xr:uid="{00000000-0005-0000-0000-000045010000}"/>
    <cellStyle name="Millares 2 23" xfId="261" xr:uid="{00000000-0005-0000-0000-000046010000}"/>
    <cellStyle name="Millares 2 23 2" xfId="902" xr:uid="{00000000-0005-0000-0000-000047010000}"/>
    <cellStyle name="Millares 2 23 2 2" xfId="2854" xr:uid="{00000000-0005-0000-0000-000048010000}"/>
    <cellStyle name="Millares 2 23 3" xfId="1528" xr:uid="{00000000-0005-0000-0000-000049010000}"/>
    <cellStyle name="Millares 2 23 3 2" xfId="3479" xr:uid="{00000000-0005-0000-0000-00004A010000}"/>
    <cellStyle name="Millares 2 23 4" xfId="2219" xr:uid="{00000000-0005-0000-0000-00004B010000}"/>
    <cellStyle name="Millares 2 24" xfId="699" xr:uid="{00000000-0005-0000-0000-00004C010000}"/>
    <cellStyle name="Millares 2 24 2" xfId="2651" xr:uid="{00000000-0005-0000-0000-00004D010000}"/>
    <cellStyle name="Millares 2 25" xfId="698" xr:uid="{00000000-0005-0000-0000-00004E010000}"/>
    <cellStyle name="Millares 2 25 2" xfId="2650" xr:uid="{00000000-0005-0000-0000-00004F010000}"/>
    <cellStyle name="Millares 2 26" xfId="2016" xr:uid="{00000000-0005-0000-0000-000050010000}"/>
    <cellStyle name="Millares 2 27" xfId="4044" xr:uid="{00000000-0005-0000-0000-000051010000}"/>
    <cellStyle name="Millares 2 28" xfId="4095" xr:uid="{00000000-0005-0000-0000-000052010000}"/>
    <cellStyle name="Millares 2 3" xfId="11" xr:uid="{00000000-0005-0000-0000-000053010000}"/>
    <cellStyle name="Millares 2 4" xfId="14" xr:uid="{00000000-0005-0000-0000-000054010000}"/>
    <cellStyle name="Millares 2 5" xfId="17" xr:uid="{00000000-0005-0000-0000-000055010000}"/>
    <cellStyle name="Millares 2 6" xfId="20" xr:uid="{00000000-0005-0000-0000-000056010000}"/>
    <cellStyle name="Millares 2 7" xfId="23" xr:uid="{00000000-0005-0000-0000-000057010000}"/>
    <cellStyle name="Millares 2 8" xfId="26" xr:uid="{00000000-0005-0000-0000-000058010000}"/>
    <cellStyle name="Millares 2 9" xfId="29" xr:uid="{00000000-0005-0000-0000-000059010000}"/>
    <cellStyle name="Millares 20" xfId="672" xr:uid="{00000000-0005-0000-0000-00005A010000}"/>
    <cellStyle name="Millares 20 2" xfId="1313" xr:uid="{00000000-0005-0000-0000-00005B010000}"/>
    <cellStyle name="Millares 20 2 2" xfId="3265" xr:uid="{00000000-0005-0000-0000-00005C010000}"/>
    <cellStyle name="Millares 20 3" xfId="1939" xr:uid="{00000000-0005-0000-0000-00005D010000}"/>
    <cellStyle name="Millares 20 3 2" xfId="3890" xr:uid="{00000000-0005-0000-0000-00005E010000}"/>
    <cellStyle name="Millares 20 4" xfId="2630" xr:uid="{00000000-0005-0000-0000-00005F010000}"/>
    <cellStyle name="Millares 21" xfId="675" xr:uid="{00000000-0005-0000-0000-000060010000}"/>
    <cellStyle name="Millares 21 2" xfId="1316" xr:uid="{00000000-0005-0000-0000-000061010000}"/>
    <cellStyle name="Millares 21 2 2" xfId="3268" xr:uid="{00000000-0005-0000-0000-000062010000}"/>
    <cellStyle name="Millares 21 3" xfId="1942" xr:uid="{00000000-0005-0000-0000-000063010000}"/>
    <cellStyle name="Millares 21 3 2" xfId="3893" xr:uid="{00000000-0005-0000-0000-000064010000}"/>
    <cellStyle name="Millares 21 4" xfId="2633" xr:uid="{00000000-0005-0000-0000-000065010000}"/>
    <cellStyle name="Millares 22" xfId="678" xr:uid="{00000000-0005-0000-0000-000066010000}"/>
    <cellStyle name="Millares 22 2" xfId="1319" xr:uid="{00000000-0005-0000-0000-000067010000}"/>
    <cellStyle name="Millares 22 2 2" xfId="3271" xr:uid="{00000000-0005-0000-0000-000068010000}"/>
    <cellStyle name="Millares 22 3" xfId="1945" xr:uid="{00000000-0005-0000-0000-000069010000}"/>
    <cellStyle name="Millares 22 3 2" xfId="3896" xr:uid="{00000000-0005-0000-0000-00006A010000}"/>
    <cellStyle name="Millares 22 4" xfId="2636" xr:uid="{00000000-0005-0000-0000-00006B010000}"/>
    <cellStyle name="Millares 23" xfId="681" xr:uid="{00000000-0005-0000-0000-00006C010000}"/>
    <cellStyle name="Millares 23 2" xfId="1322" xr:uid="{00000000-0005-0000-0000-00006D010000}"/>
    <cellStyle name="Millares 23 2 2" xfId="3274" xr:uid="{00000000-0005-0000-0000-00006E010000}"/>
    <cellStyle name="Millares 23 3" xfId="1948" xr:uid="{00000000-0005-0000-0000-00006F010000}"/>
    <cellStyle name="Millares 23 3 2" xfId="3899" xr:uid="{00000000-0005-0000-0000-000070010000}"/>
    <cellStyle name="Millares 23 4" xfId="2639" xr:uid="{00000000-0005-0000-0000-000071010000}"/>
    <cellStyle name="Millares 24" xfId="688" xr:uid="{00000000-0005-0000-0000-000072010000}"/>
    <cellStyle name="Millares 24 2" xfId="1326" xr:uid="{00000000-0005-0000-0000-000073010000}"/>
    <cellStyle name="Millares 24 2 2" xfId="3278" xr:uid="{00000000-0005-0000-0000-000074010000}"/>
    <cellStyle name="Millares 24 3" xfId="1951" xr:uid="{00000000-0005-0000-0000-000075010000}"/>
    <cellStyle name="Millares 24 3 2" xfId="3902" xr:uid="{00000000-0005-0000-0000-000076010000}"/>
    <cellStyle name="Millares 24 4" xfId="2642" xr:uid="{00000000-0005-0000-0000-000077010000}"/>
    <cellStyle name="Millares 25" xfId="1967" xr:uid="{00000000-0005-0000-0000-000078010000}"/>
    <cellStyle name="Millares 25 2" xfId="3917" xr:uid="{00000000-0005-0000-0000-000079010000}"/>
    <cellStyle name="Millares 26" xfId="1972" xr:uid="{00000000-0005-0000-0000-00007A010000}"/>
    <cellStyle name="Millares 26 2" xfId="3922" xr:uid="{00000000-0005-0000-0000-00007B010000}"/>
    <cellStyle name="Millares 27" xfId="3923" xr:uid="{00000000-0005-0000-0000-00007C010000}"/>
    <cellStyle name="Millares 28" xfId="3967" xr:uid="{00000000-0005-0000-0000-00007D010000}"/>
    <cellStyle name="Millares 29" xfId="3972" xr:uid="{00000000-0005-0000-0000-00007E010000}"/>
    <cellStyle name="Millares 3" xfId="7" xr:uid="{00000000-0005-0000-0000-00007F010000}"/>
    <cellStyle name="Millares 30" xfId="4023" xr:uid="{00000000-0005-0000-0000-000080010000}"/>
    <cellStyle name="Millares 31" xfId="4027" xr:uid="{00000000-0005-0000-0000-000081010000}"/>
    <cellStyle name="Millares 32" xfId="4032" xr:uid="{00000000-0005-0000-0000-000082010000}"/>
    <cellStyle name="Millares 33" xfId="4035" xr:uid="{00000000-0005-0000-0000-000083010000}"/>
    <cellStyle name="Millares 34" xfId="4038" xr:uid="{00000000-0005-0000-0000-000084010000}"/>
    <cellStyle name="Millares 35" xfId="4083" xr:uid="{00000000-0005-0000-0000-000085010000}"/>
    <cellStyle name="Millares 4" xfId="69" xr:uid="{00000000-0005-0000-0000-000086010000}"/>
    <cellStyle name="Millares 4 2" xfId="100" xr:uid="{00000000-0005-0000-0000-000087010000}"/>
    <cellStyle name="Millares 4 2 2" xfId="171" xr:uid="{00000000-0005-0000-0000-000088010000}"/>
    <cellStyle name="Millares 4 2 2 2" xfId="575" xr:uid="{00000000-0005-0000-0000-000089010000}"/>
    <cellStyle name="Millares 4 2 2 2 2" xfId="1216" xr:uid="{00000000-0005-0000-0000-00008A010000}"/>
    <cellStyle name="Millares 4 2 2 2 2 2" xfId="3168" xr:uid="{00000000-0005-0000-0000-00008B010000}"/>
    <cellStyle name="Millares 4 2 2 2 3" xfId="1842" xr:uid="{00000000-0005-0000-0000-00008C010000}"/>
    <cellStyle name="Millares 4 2 2 2 3 2" xfId="3793" xr:uid="{00000000-0005-0000-0000-00008D010000}"/>
    <cellStyle name="Millares 4 2 2 2 4" xfId="2533" xr:uid="{00000000-0005-0000-0000-00008E010000}"/>
    <cellStyle name="Millares 4 2 2 3" xfId="374" xr:uid="{00000000-0005-0000-0000-00008F010000}"/>
    <cellStyle name="Millares 4 2 2 3 2" xfId="1015" xr:uid="{00000000-0005-0000-0000-000090010000}"/>
    <cellStyle name="Millares 4 2 2 3 2 2" xfId="2967" xr:uid="{00000000-0005-0000-0000-000091010000}"/>
    <cellStyle name="Millares 4 2 2 3 3" xfId="1641" xr:uid="{00000000-0005-0000-0000-000092010000}"/>
    <cellStyle name="Millares 4 2 2 3 3 2" xfId="3592" xr:uid="{00000000-0005-0000-0000-000093010000}"/>
    <cellStyle name="Millares 4 2 2 3 4" xfId="2332" xr:uid="{00000000-0005-0000-0000-000094010000}"/>
    <cellStyle name="Millares 4 2 2 4" xfId="812" xr:uid="{00000000-0005-0000-0000-000095010000}"/>
    <cellStyle name="Millares 4 2 2 4 2" xfId="2764" xr:uid="{00000000-0005-0000-0000-000096010000}"/>
    <cellStyle name="Millares 4 2 2 5" xfId="1438" xr:uid="{00000000-0005-0000-0000-000097010000}"/>
    <cellStyle name="Millares 4 2 2 5 2" xfId="3389" xr:uid="{00000000-0005-0000-0000-000098010000}"/>
    <cellStyle name="Millares 4 2 2 6" xfId="2129" xr:uid="{00000000-0005-0000-0000-000099010000}"/>
    <cellStyle name="Millares 4 2 3" xfId="505" xr:uid="{00000000-0005-0000-0000-00009A010000}"/>
    <cellStyle name="Millares 4 2 3 2" xfId="1146" xr:uid="{00000000-0005-0000-0000-00009B010000}"/>
    <cellStyle name="Millares 4 2 3 2 2" xfId="3098" xr:uid="{00000000-0005-0000-0000-00009C010000}"/>
    <cellStyle name="Millares 4 2 3 3" xfId="1772" xr:uid="{00000000-0005-0000-0000-00009D010000}"/>
    <cellStyle name="Millares 4 2 3 3 2" xfId="3723" xr:uid="{00000000-0005-0000-0000-00009E010000}"/>
    <cellStyle name="Millares 4 2 3 4" xfId="2463" xr:uid="{00000000-0005-0000-0000-00009F010000}"/>
    <cellStyle name="Millares 4 2 4" xfId="304" xr:uid="{00000000-0005-0000-0000-0000A0010000}"/>
    <cellStyle name="Millares 4 2 4 2" xfId="945" xr:uid="{00000000-0005-0000-0000-0000A1010000}"/>
    <cellStyle name="Millares 4 2 4 2 2" xfId="2897" xr:uid="{00000000-0005-0000-0000-0000A2010000}"/>
    <cellStyle name="Millares 4 2 4 3" xfId="1571" xr:uid="{00000000-0005-0000-0000-0000A3010000}"/>
    <cellStyle name="Millares 4 2 4 3 2" xfId="3522" xr:uid="{00000000-0005-0000-0000-0000A4010000}"/>
    <cellStyle name="Millares 4 2 4 4" xfId="2262" xr:uid="{00000000-0005-0000-0000-0000A5010000}"/>
    <cellStyle name="Millares 4 2 5" xfId="742" xr:uid="{00000000-0005-0000-0000-0000A6010000}"/>
    <cellStyle name="Millares 4 2 5 2" xfId="2694" xr:uid="{00000000-0005-0000-0000-0000A7010000}"/>
    <cellStyle name="Millares 4 2 6" xfId="1368" xr:uid="{00000000-0005-0000-0000-0000A8010000}"/>
    <cellStyle name="Millares 4 2 6 2" xfId="3319" xr:uid="{00000000-0005-0000-0000-0000A9010000}"/>
    <cellStyle name="Millares 4 2 7" xfId="2059" xr:uid="{00000000-0005-0000-0000-0000AA010000}"/>
    <cellStyle name="Millares 4 3" xfId="141" xr:uid="{00000000-0005-0000-0000-0000AB010000}"/>
    <cellStyle name="Millares 4 3 2" xfId="545" xr:uid="{00000000-0005-0000-0000-0000AC010000}"/>
    <cellStyle name="Millares 4 3 2 2" xfId="1186" xr:uid="{00000000-0005-0000-0000-0000AD010000}"/>
    <cellStyle name="Millares 4 3 2 2 2" xfId="3138" xr:uid="{00000000-0005-0000-0000-0000AE010000}"/>
    <cellStyle name="Millares 4 3 2 3" xfId="1812" xr:uid="{00000000-0005-0000-0000-0000AF010000}"/>
    <cellStyle name="Millares 4 3 2 3 2" xfId="3763" xr:uid="{00000000-0005-0000-0000-0000B0010000}"/>
    <cellStyle name="Millares 4 3 2 4" xfId="2503" xr:uid="{00000000-0005-0000-0000-0000B1010000}"/>
    <cellStyle name="Millares 4 3 3" xfId="344" xr:uid="{00000000-0005-0000-0000-0000B2010000}"/>
    <cellStyle name="Millares 4 3 3 2" xfId="985" xr:uid="{00000000-0005-0000-0000-0000B3010000}"/>
    <cellStyle name="Millares 4 3 3 2 2" xfId="2937" xr:uid="{00000000-0005-0000-0000-0000B4010000}"/>
    <cellStyle name="Millares 4 3 3 3" xfId="1611" xr:uid="{00000000-0005-0000-0000-0000B5010000}"/>
    <cellStyle name="Millares 4 3 3 3 2" xfId="3562" xr:uid="{00000000-0005-0000-0000-0000B6010000}"/>
    <cellStyle name="Millares 4 3 3 4" xfId="2302" xr:uid="{00000000-0005-0000-0000-0000B7010000}"/>
    <cellStyle name="Millares 4 3 4" xfId="782" xr:uid="{00000000-0005-0000-0000-0000B8010000}"/>
    <cellStyle name="Millares 4 3 4 2" xfId="2734" xr:uid="{00000000-0005-0000-0000-0000B9010000}"/>
    <cellStyle name="Millares 4 3 5" xfId="1408" xr:uid="{00000000-0005-0000-0000-0000BA010000}"/>
    <cellStyle name="Millares 4 3 5 2" xfId="3359" xr:uid="{00000000-0005-0000-0000-0000BB010000}"/>
    <cellStyle name="Millares 4 3 6" xfId="2099" xr:uid="{00000000-0005-0000-0000-0000BC010000}"/>
    <cellStyle name="Millares 4 4" xfId="203" xr:uid="{00000000-0005-0000-0000-0000BD010000}"/>
    <cellStyle name="Millares 4 4 2" xfId="607" xr:uid="{00000000-0005-0000-0000-0000BE010000}"/>
    <cellStyle name="Millares 4 4 2 2" xfId="1248" xr:uid="{00000000-0005-0000-0000-0000BF010000}"/>
    <cellStyle name="Millares 4 4 2 2 2" xfId="3200" xr:uid="{00000000-0005-0000-0000-0000C0010000}"/>
    <cellStyle name="Millares 4 4 2 3" xfId="1874" xr:uid="{00000000-0005-0000-0000-0000C1010000}"/>
    <cellStyle name="Millares 4 4 2 3 2" xfId="3825" xr:uid="{00000000-0005-0000-0000-0000C2010000}"/>
    <cellStyle name="Millares 4 4 2 4" xfId="2565" xr:uid="{00000000-0005-0000-0000-0000C3010000}"/>
    <cellStyle name="Millares 4 4 3" xfId="406" xr:uid="{00000000-0005-0000-0000-0000C4010000}"/>
    <cellStyle name="Millares 4 4 3 2" xfId="1047" xr:uid="{00000000-0005-0000-0000-0000C5010000}"/>
    <cellStyle name="Millares 4 4 3 2 2" xfId="2999" xr:uid="{00000000-0005-0000-0000-0000C6010000}"/>
    <cellStyle name="Millares 4 4 3 3" xfId="1673" xr:uid="{00000000-0005-0000-0000-0000C7010000}"/>
    <cellStyle name="Millares 4 4 3 3 2" xfId="3624" xr:uid="{00000000-0005-0000-0000-0000C8010000}"/>
    <cellStyle name="Millares 4 4 3 4" xfId="2364" xr:uid="{00000000-0005-0000-0000-0000C9010000}"/>
    <cellStyle name="Millares 4 4 4" xfId="844" xr:uid="{00000000-0005-0000-0000-0000CA010000}"/>
    <cellStyle name="Millares 4 4 4 2" xfId="2796" xr:uid="{00000000-0005-0000-0000-0000CB010000}"/>
    <cellStyle name="Millares 4 4 5" xfId="1470" xr:uid="{00000000-0005-0000-0000-0000CC010000}"/>
    <cellStyle name="Millares 4 4 5 2" xfId="3421" xr:uid="{00000000-0005-0000-0000-0000CD010000}"/>
    <cellStyle name="Millares 4 4 6" xfId="2161" xr:uid="{00000000-0005-0000-0000-0000CE010000}"/>
    <cellStyle name="Millares 4 5" xfId="475" xr:uid="{00000000-0005-0000-0000-0000CF010000}"/>
    <cellStyle name="Millares 4 5 2" xfId="1116" xr:uid="{00000000-0005-0000-0000-0000D0010000}"/>
    <cellStyle name="Millares 4 5 2 2" xfId="3068" xr:uid="{00000000-0005-0000-0000-0000D1010000}"/>
    <cellStyle name="Millares 4 5 3" xfId="1742" xr:uid="{00000000-0005-0000-0000-0000D2010000}"/>
    <cellStyle name="Millares 4 5 3 2" xfId="3693" xr:uid="{00000000-0005-0000-0000-0000D3010000}"/>
    <cellStyle name="Millares 4 5 4" xfId="2433" xr:uid="{00000000-0005-0000-0000-0000D4010000}"/>
    <cellStyle name="Millares 4 6" xfId="274" xr:uid="{00000000-0005-0000-0000-0000D5010000}"/>
    <cellStyle name="Millares 4 6 2" xfId="915" xr:uid="{00000000-0005-0000-0000-0000D6010000}"/>
    <cellStyle name="Millares 4 6 2 2" xfId="2867" xr:uid="{00000000-0005-0000-0000-0000D7010000}"/>
    <cellStyle name="Millares 4 6 3" xfId="1541" xr:uid="{00000000-0005-0000-0000-0000D8010000}"/>
    <cellStyle name="Millares 4 6 3 2" xfId="3492" xr:uid="{00000000-0005-0000-0000-0000D9010000}"/>
    <cellStyle name="Millares 4 6 4" xfId="2232" xr:uid="{00000000-0005-0000-0000-0000DA010000}"/>
    <cellStyle name="Millares 4 7" xfId="712" xr:uid="{00000000-0005-0000-0000-0000DB010000}"/>
    <cellStyle name="Millares 4 7 2" xfId="2664" xr:uid="{00000000-0005-0000-0000-0000DC010000}"/>
    <cellStyle name="Millares 4 8" xfId="1338" xr:uid="{00000000-0005-0000-0000-0000DD010000}"/>
    <cellStyle name="Millares 4 8 2" xfId="3289" xr:uid="{00000000-0005-0000-0000-0000DE010000}"/>
    <cellStyle name="Millares 4 9" xfId="2029" xr:uid="{00000000-0005-0000-0000-0000DF010000}"/>
    <cellStyle name="Millares 5" xfId="82" xr:uid="{00000000-0005-0000-0000-0000E0010000}"/>
    <cellStyle name="Millares 5 2" xfId="113" xr:uid="{00000000-0005-0000-0000-0000E1010000}"/>
    <cellStyle name="Millares 5 2 2" xfId="184" xr:uid="{00000000-0005-0000-0000-0000E2010000}"/>
    <cellStyle name="Millares 5 2 2 2" xfId="588" xr:uid="{00000000-0005-0000-0000-0000E3010000}"/>
    <cellStyle name="Millares 5 2 2 2 2" xfId="1229" xr:uid="{00000000-0005-0000-0000-0000E4010000}"/>
    <cellStyle name="Millares 5 2 2 2 2 2" xfId="3181" xr:uid="{00000000-0005-0000-0000-0000E5010000}"/>
    <cellStyle name="Millares 5 2 2 2 3" xfId="1855" xr:uid="{00000000-0005-0000-0000-0000E6010000}"/>
    <cellStyle name="Millares 5 2 2 2 3 2" xfId="3806" xr:uid="{00000000-0005-0000-0000-0000E7010000}"/>
    <cellStyle name="Millares 5 2 2 2 4" xfId="2546" xr:uid="{00000000-0005-0000-0000-0000E8010000}"/>
    <cellStyle name="Millares 5 2 2 3" xfId="387" xr:uid="{00000000-0005-0000-0000-0000E9010000}"/>
    <cellStyle name="Millares 5 2 2 3 2" xfId="1028" xr:uid="{00000000-0005-0000-0000-0000EA010000}"/>
    <cellStyle name="Millares 5 2 2 3 2 2" xfId="2980" xr:uid="{00000000-0005-0000-0000-0000EB010000}"/>
    <cellStyle name="Millares 5 2 2 3 3" xfId="1654" xr:uid="{00000000-0005-0000-0000-0000EC010000}"/>
    <cellStyle name="Millares 5 2 2 3 3 2" xfId="3605" xr:uid="{00000000-0005-0000-0000-0000ED010000}"/>
    <cellStyle name="Millares 5 2 2 3 4" xfId="2345" xr:uid="{00000000-0005-0000-0000-0000EE010000}"/>
    <cellStyle name="Millares 5 2 2 4" xfId="825" xr:uid="{00000000-0005-0000-0000-0000EF010000}"/>
    <cellStyle name="Millares 5 2 2 4 2" xfId="2777" xr:uid="{00000000-0005-0000-0000-0000F0010000}"/>
    <cellStyle name="Millares 5 2 2 5" xfId="1451" xr:uid="{00000000-0005-0000-0000-0000F1010000}"/>
    <cellStyle name="Millares 5 2 2 5 2" xfId="3402" xr:uid="{00000000-0005-0000-0000-0000F2010000}"/>
    <cellStyle name="Millares 5 2 2 6" xfId="2142" xr:uid="{00000000-0005-0000-0000-0000F3010000}"/>
    <cellStyle name="Millares 5 2 3" xfId="518" xr:uid="{00000000-0005-0000-0000-0000F4010000}"/>
    <cellStyle name="Millares 5 2 3 2" xfId="1159" xr:uid="{00000000-0005-0000-0000-0000F5010000}"/>
    <cellStyle name="Millares 5 2 3 2 2" xfId="3111" xr:uid="{00000000-0005-0000-0000-0000F6010000}"/>
    <cellStyle name="Millares 5 2 3 3" xfId="1785" xr:uid="{00000000-0005-0000-0000-0000F7010000}"/>
    <cellStyle name="Millares 5 2 3 3 2" xfId="3736" xr:uid="{00000000-0005-0000-0000-0000F8010000}"/>
    <cellStyle name="Millares 5 2 3 4" xfId="2476" xr:uid="{00000000-0005-0000-0000-0000F9010000}"/>
    <cellStyle name="Millares 5 2 4" xfId="317" xr:uid="{00000000-0005-0000-0000-0000FA010000}"/>
    <cellStyle name="Millares 5 2 4 2" xfId="958" xr:uid="{00000000-0005-0000-0000-0000FB010000}"/>
    <cellStyle name="Millares 5 2 4 2 2" xfId="2910" xr:uid="{00000000-0005-0000-0000-0000FC010000}"/>
    <cellStyle name="Millares 5 2 4 3" xfId="1584" xr:uid="{00000000-0005-0000-0000-0000FD010000}"/>
    <cellStyle name="Millares 5 2 4 3 2" xfId="3535" xr:uid="{00000000-0005-0000-0000-0000FE010000}"/>
    <cellStyle name="Millares 5 2 4 4" xfId="2275" xr:uid="{00000000-0005-0000-0000-0000FF010000}"/>
    <cellStyle name="Millares 5 2 5" xfId="755" xr:uid="{00000000-0005-0000-0000-000000020000}"/>
    <cellStyle name="Millares 5 2 5 2" xfId="2707" xr:uid="{00000000-0005-0000-0000-000001020000}"/>
    <cellStyle name="Millares 5 2 6" xfId="1381" xr:uid="{00000000-0005-0000-0000-000002020000}"/>
    <cellStyle name="Millares 5 2 6 2" xfId="3332" xr:uid="{00000000-0005-0000-0000-000003020000}"/>
    <cellStyle name="Millares 5 2 7" xfId="2072" xr:uid="{00000000-0005-0000-0000-000004020000}"/>
    <cellStyle name="Millares 5 3" xfId="154" xr:uid="{00000000-0005-0000-0000-000005020000}"/>
    <cellStyle name="Millares 5 3 2" xfId="558" xr:uid="{00000000-0005-0000-0000-000006020000}"/>
    <cellStyle name="Millares 5 3 2 2" xfId="1199" xr:uid="{00000000-0005-0000-0000-000007020000}"/>
    <cellStyle name="Millares 5 3 2 2 2" xfId="3151" xr:uid="{00000000-0005-0000-0000-000008020000}"/>
    <cellStyle name="Millares 5 3 2 3" xfId="1825" xr:uid="{00000000-0005-0000-0000-000009020000}"/>
    <cellStyle name="Millares 5 3 2 3 2" xfId="3776" xr:uid="{00000000-0005-0000-0000-00000A020000}"/>
    <cellStyle name="Millares 5 3 2 4" xfId="2516" xr:uid="{00000000-0005-0000-0000-00000B020000}"/>
    <cellStyle name="Millares 5 3 3" xfId="357" xr:uid="{00000000-0005-0000-0000-00000C020000}"/>
    <cellStyle name="Millares 5 3 3 2" xfId="998" xr:uid="{00000000-0005-0000-0000-00000D020000}"/>
    <cellStyle name="Millares 5 3 3 2 2" xfId="2950" xr:uid="{00000000-0005-0000-0000-00000E020000}"/>
    <cellStyle name="Millares 5 3 3 3" xfId="1624" xr:uid="{00000000-0005-0000-0000-00000F020000}"/>
    <cellStyle name="Millares 5 3 3 3 2" xfId="3575" xr:uid="{00000000-0005-0000-0000-000010020000}"/>
    <cellStyle name="Millares 5 3 3 4" xfId="2315" xr:uid="{00000000-0005-0000-0000-000011020000}"/>
    <cellStyle name="Millares 5 3 4" xfId="795" xr:uid="{00000000-0005-0000-0000-000012020000}"/>
    <cellStyle name="Millares 5 3 4 2" xfId="2747" xr:uid="{00000000-0005-0000-0000-000013020000}"/>
    <cellStyle name="Millares 5 3 5" xfId="1421" xr:uid="{00000000-0005-0000-0000-000014020000}"/>
    <cellStyle name="Millares 5 3 5 2" xfId="3372" xr:uid="{00000000-0005-0000-0000-000015020000}"/>
    <cellStyle name="Millares 5 3 6" xfId="2112" xr:uid="{00000000-0005-0000-0000-000016020000}"/>
    <cellStyle name="Millares 5 4" xfId="216" xr:uid="{00000000-0005-0000-0000-000017020000}"/>
    <cellStyle name="Millares 5 4 2" xfId="620" xr:uid="{00000000-0005-0000-0000-000018020000}"/>
    <cellStyle name="Millares 5 4 2 2" xfId="1261" xr:uid="{00000000-0005-0000-0000-000019020000}"/>
    <cellStyle name="Millares 5 4 2 2 2" xfId="3213" xr:uid="{00000000-0005-0000-0000-00001A020000}"/>
    <cellStyle name="Millares 5 4 2 3" xfId="1887" xr:uid="{00000000-0005-0000-0000-00001B020000}"/>
    <cellStyle name="Millares 5 4 2 3 2" xfId="3838" xr:uid="{00000000-0005-0000-0000-00001C020000}"/>
    <cellStyle name="Millares 5 4 2 4" xfId="2578" xr:uid="{00000000-0005-0000-0000-00001D020000}"/>
    <cellStyle name="Millares 5 4 3" xfId="419" xr:uid="{00000000-0005-0000-0000-00001E020000}"/>
    <cellStyle name="Millares 5 4 3 2" xfId="1060" xr:uid="{00000000-0005-0000-0000-00001F020000}"/>
    <cellStyle name="Millares 5 4 3 2 2" xfId="3012" xr:uid="{00000000-0005-0000-0000-000020020000}"/>
    <cellStyle name="Millares 5 4 3 3" xfId="1686" xr:uid="{00000000-0005-0000-0000-000021020000}"/>
    <cellStyle name="Millares 5 4 3 3 2" xfId="3637" xr:uid="{00000000-0005-0000-0000-000022020000}"/>
    <cellStyle name="Millares 5 4 3 4" xfId="2377" xr:uid="{00000000-0005-0000-0000-000023020000}"/>
    <cellStyle name="Millares 5 4 4" xfId="857" xr:uid="{00000000-0005-0000-0000-000024020000}"/>
    <cellStyle name="Millares 5 4 4 2" xfId="2809" xr:uid="{00000000-0005-0000-0000-000025020000}"/>
    <cellStyle name="Millares 5 4 5" xfId="1483" xr:uid="{00000000-0005-0000-0000-000026020000}"/>
    <cellStyle name="Millares 5 4 5 2" xfId="3434" xr:uid="{00000000-0005-0000-0000-000027020000}"/>
    <cellStyle name="Millares 5 4 6" xfId="2174" xr:uid="{00000000-0005-0000-0000-000028020000}"/>
    <cellStyle name="Millares 5 5" xfId="488" xr:uid="{00000000-0005-0000-0000-000029020000}"/>
    <cellStyle name="Millares 5 5 2" xfId="1129" xr:uid="{00000000-0005-0000-0000-00002A020000}"/>
    <cellStyle name="Millares 5 5 2 2" xfId="3081" xr:uid="{00000000-0005-0000-0000-00002B020000}"/>
    <cellStyle name="Millares 5 5 3" xfId="1755" xr:uid="{00000000-0005-0000-0000-00002C020000}"/>
    <cellStyle name="Millares 5 5 3 2" xfId="3706" xr:uid="{00000000-0005-0000-0000-00002D020000}"/>
    <cellStyle name="Millares 5 5 4" xfId="2446" xr:uid="{00000000-0005-0000-0000-00002E020000}"/>
    <cellStyle name="Millares 5 6" xfId="287" xr:uid="{00000000-0005-0000-0000-00002F020000}"/>
    <cellStyle name="Millares 5 6 2" xfId="928" xr:uid="{00000000-0005-0000-0000-000030020000}"/>
    <cellStyle name="Millares 5 6 2 2" xfId="2880" xr:uid="{00000000-0005-0000-0000-000031020000}"/>
    <cellStyle name="Millares 5 6 3" xfId="1554" xr:uid="{00000000-0005-0000-0000-000032020000}"/>
    <cellStyle name="Millares 5 6 3 2" xfId="3505" xr:uid="{00000000-0005-0000-0000-000033020000}"/>
    <cellStyle name="Millares 5 6 4" xfId="2245" xr:uid="{00000000-0005-0000-0000-000034020000}"/>
    <cellStyle name="Millares 5 7" xfId="725" xr:uid="{00000000-0005-0000-0000-000035020000}"/>
    <cellStyle name="Millares 5 7 2" xfId="2677" xr:uid="{00000000-0005-0000-0000-000036020000}"/>
    <cellStyle name="Millares 5 8" xfId="1351" xr:uid="{00000000-0005-0000-0000-000037020000}"/>
    <cellStyle name="Millares 5 8 2" xfId="3302" xr:uid="{00000000-0005-0000-0000-000038020000}"/>
    <cellStyle name="Millares 5 9" xfId="2042" xr:uid="{00000000-0005-0000-0000-000039020000}"/>
    <cellStyle name="Millares 6" xfId="116" xr:uid="{00000000-0005-0000-0000-00003A020000}"/>
    <cellStyle name="Millares 6 2" xfId="187" xr:uid="{00000000-0005-0000-0000-00003B020000}"/>
    <cellStyle name="Millares 6 2 2" xfId="591" xr:uid="{00000000-0005-0000-0000-00003C020000}"/>
    <cellStyle name="Millares 6 2 2 2" xfId="1232" xr:uid="{00000000-0005-0000-0000-00003D020000}"/>
    <cellStyle name="Millares 6 2 2 2 2" xfId="3184" xr:uid="{00000000-0005-0000-0000-00003E020000}"/>
    <cellStyle name="Millares 6 2 2 3" xfId="1858" xr:uid="{00000000-0005-0000-0000-00003F020000}"/>
    <cellStyle name="Millares 6 2 2 3 2" xfId="3809" xr:uid="{00000000-0005-0000-0000-000040020000}"/>
    <cellStyle name="Millares 6 2 2 4" xfId="2549" xr:uid="{00000000-0005-0000-0000-000041020000}"/>
    <cellStyle name="Millares 6 2 3" xfId="390" xr:uid="{00000000-0005-0000-0000-000042020000}"/>
    <cellStyle name="Millares 6 2 3 2" xfId="1031" xr:uid="{00000000-0005-0000-0000-000043020000}"/>
    <cellStyle name="Millares 6 2 3 2 2" xfId="2983" xr:uid="{00000000-0005-0000-0000-000044020000}"/>
    <cellStyle name="Millares 6 2 3 3" xfId="1657" xr:uid="{00000000-0005-0000-0000-000045020000}"/>
    <cellStyle name="Millares 6 2 3 3 2" xfId="3608" xr:uid="{00000000-0005-0000-0000-000046020000}"/>
    <cellStyle name="Millares 6 2 3 4" xfId="2348" xr:uid="{00000000-0005-0000-0000-000047020000}"/>
    <cellStyle name="Millares 6 2 4" xfId="828" xr:uid="{00000000-0005-0000-0000-000048020000}"/>
    <cellStyle name="Millares 6 2 4 2" xfId="2780" xr:uid="{00000000-0005-0000-0000-000049020000}"/>
    <cellStyle name="Millares 6 2 5" xfId="1454" xr:uid="{00000000-0005-0000-0000-00004A020000}"/>
    <cellStyle name="Millares 6 2 5 2" xfId="3405" xr:uid="{00000000-0005-0000-0000-00004B020000}"/>
    <cellStyle name="Millares 6 2 6" xfId="2145" xr:uid="{00000000-0005-0000-0000-00004C020000}"/>
    <cellStyle name="Millares 6 3" xfId="521" xr:uid="{00000000-0005-0000-0000-00004D020000}"/>
    <cellStyle name="Millares 6 3 2" xfId="1162" xr:uid="{00000000-0005-0000-0000-00004E020000}"/>
    <cellStyle name="Millares 6 3 2 2" xfId="3114" xr:uid="{00000000-0005-0000-0000-00004F020000}"/>
    <cellStyle name="Millares 6 3 3" xfId="1788" xr:uid="{00000000-0005-0000-0000-000050020000}"/>
    <cellStyle name="Millares 6 3 3 2" xfId="3739" xr:uid="{00000000-0005-0000-0000-000051020000}"/>
    <cellStyle name="Millares 6 3 4" xfId="2479" xr:uid="{00000000-0005-0000-0000-000052020000}"/>
    <cellStyle name="Millares 6 4" xfId="320" xr:uid="{00000000-0005-0000-0000-000053020000}"/>
    <cellStyle name="Millares 6 4 2" xfId="961" xr:uid="{00000000-0005-0000-0000-000054020000}"/>
    <cellStyle name="Millares 6 4 2 2" xfId="2913" xr:uid="{00000000-0005-0000-0000-000055020000}"/>
    <cellStyle name="Millares 6 4 3" xfId="1587" xr:uid="{00000000-0005-0000-0000-000056020000}"/>
    <cellStyle name="Millares 6 4 3 2" xfId="3538" xr:uid="{00000000-0005-0000-0000-000057020000}"/>
    <cellStyle name="Millares 6 4 4" xfId="2278" xr:uid="{00000000-0005-0000-0000-000058020000}"/>
    <cellStyle name="Millares 6 5" xfId="758" xr:uid="{00000000-0005-0000-0000-000059020000}"/>
    <cellStyle name="Millares 6 5 2" xfId="2710" xr:uid="{00000000-0005-0000-0000-00005A020000}"/>
    <cellStyle name="Millares 6 6" xfId="1384" xr:uid="{00000000-0005-0000-0000-00005B020000}"/>
    <cellStyle name="Millares 6 6 2" xfId="3335" xr:uid="{00000000-0005-0000-0000-00005C020000}"/>
    <cellStyle name="Millares 6 7" xfId="2075" xr:uid="{00000000-0005-0000-0000-00005D020000}"/>
    <cellStyle name="Millares 7" xfId="119" xr:uid="{00000000-0005-0000-0000-00005E020000}"/>
    <cellStyle name="Millares 7 2" xfId="524" xr:uid="{00000000-0005-0000-0000-00005F020000}"/>
    <cellStyle name="Millares 7 2 2" xfId="1165" xr:uid="{00000000-0005-0000-0000-000060020000}"/>
    <cellStyle name="Millares 7 2 2 2" xfId="3117" xr:uid="{00000000-0005-0000-0000-000061020000}"/>
    <cellStyle name="Millares 7 2 3" xfId="1791" xr:uid="{00000000-0005-0000-0000-000062020000}"/>
    <cellStyle name="Millares 7 2 3 2" xfId="3742" xr:uid="{00000000-0005-0000-0000-000063020000}"/>
    <cellStyle name="Millares 7 2 4" xfId="2482" xr:uid="{00000000-0005-0000-0000-000064020000}"/>
    <cellStyle name="Millares 7 3" xfId="323" xr:uid="{00000000-0005-0000-0000-000065020000}"/>
    <cellStyle name="Millares 7 3 2" xfId="964" xr:uid="{00000000-0005-0000-0000-000066020000}"/>
    <cellStyle name="Millares 7 3 2 2" xfId="2916" xr:uid="{00000000-0005-0000-0000-000067020000}"/>
    <cellStyle name="Millares 7 3 3" xfId="1590" xr:uid="{00000000-0005-0000-0000-000068020000}"/>
    <cellStyle name="Millares 7 3 3 2" xfId="3541" xr:uid="{00000000-0005-0000-0000-000069020000}"/>
    <cellStyle name="Millares 7 3 4" xfId="2281" xr:uid="{00000000-0005-0000-0000-00006A020000}"/>
    <cellStyle name="Millares 7 4" xfId="761" xr:uid="{00000000-0005-0000-0000-00006B020000}"/>
    <cellStyle name="Millares 7 4 2" xfId="2713" xr:uid="{00000000-0005-0000-0000-00006C020000}"/>
    <cellStyle name="Millares 7 5" xfId="1387" xr:uid="{00000000-0005-0000-0000-00006D020000}"/>
    <cellStyle name="Millares 7 5 2" xfId="3338" xr:uid="{00000000-0005-0000-0000-00006E020000}"/>
    <cellStyle name="Millares 7 6" xfId="2078" xr:uid="{00000000-0005-0000-0000-00006F020000}"/>
    <cellStyle name="Millares 8" xfId="122" xr:uid="{00000000-0005-0000-0000-000070020000}"/>
    <cellStyle name="Millares 8 2" xfId="527" xr:uid="{00000000-0005-0000-0000-000071020000}"/>
    <cellStyle name="Millares 8 2 2" xfId="1168" xr:uid="{00000000-0005-0000-0000-000072020000}"/>
    <cellStyle name="Millares 8 2 2 2" xfId="3120" xr:uid="{00000000-0005-0000-0000-000073020000}"/>
    <cellStyle name="Millares 8 2 3" xfId="1794" xr:uid="{00000000-0005-0000-0000-000074020000}"/>
    <cellStyle name="Millares 8 2 3 2" xfId="3745" xr:uid="{00000000-0005-0000-0000-000075020000}"/>
    <cellStyle name="Millares 8 2 4" xfId="2485" xr:uid="{00000000-0005-0000-0000-000076020000}"/>
    <cellStyle name="Millares 8 3" xfId="326" xr:uid="{00000000-0005-0000-0000-000077020000}"/>
    <cellStyle name="Millares 8 3 2" xfId="967" xr:uid="{00000000-0005-0000-0000-000078020000}"/>
    <cellStyle name="Millares 8 3 2 2" xfId="2919" xr:uid="{00000000-0005-0000-0000-000079020000}"/>
    <cellStyle name="Millares 8 3 3" xfId="1593" xr:uid="{00000000-0005-0000-0000-00007A020000}"/>
    <cellStyle name="Millares 8 3 3 2" xfId="3544" xr:uid="{00000000-0005-0000-0000-00007B020000}"/>
    <cellStyle name="Millares 8 3 4" xfId="2284" xr:uid="{00000000-0005-0000-0000-00007C020000}"/>
    <cellStyle name="Millares 8 4" xfId="764" xr:uid="{00000000-0005-0000-0000-00007D020000}"/>
    <cellStyle name="Millares 8 4 2" xfId="2716" xr:uid="{00000000-0005-0000-0000-00007E020000}"/>
    <cellStyle name="Millares 8 5" xfId="1390" xr:uid="{00000000-0005-0000-0000-00007F020000}"/>
    <cellStyle name="Millares 8 5 2" xfId="3341" xr:uid="{00000000-0005-0000-0000-000080020000}"/>
    <cellStyle name="Millares 8 6" xfId="2081" xr:uid="{00000000-0005-0000-0000-000081020000}"/>
    <cellStyle name="Millares 9" xfId="127" xr:uid="{00000000-0005-0000-0000-000082020000}"/>
    <cellStyle name="Millares 9 2" xfId="531" xr:uid="{00000000-0005-0000-0000-000083020000}"/>
    <cellStyle name="Millares 9 2 2" xfId="1172" xr:uid="{00000000-0005-0000-0000-000084020000}"/>
    <cellStyle name="Millares 9 2 2 2" xfId="3124" xr:uid="{00000000-0005-0000-0000-000085020000}"/>
    <cellStyle name="Millares 9 2 3" xfId="1798" xr:uid="{00000000-0005-0000-0000-000086020000}"/>
    <cellStyle name="Millares 9 2 3 2" xfId="3749" xr:uid="{00000000-0005-0000-0000-000087020000}"/>
    <cellStyle name="Millares 9 2 4" xfId="2489" xr:uid="{00000000-0005-0000-0000-000088020000}"/>
    <cellStyle name="Millares 9 3" xfId="330" xr:uid="{00000000-0005-0000-0000-000089020000}"/>
    <cellStyle name="Millares 9 3 2" xfId="971" xr:uid="{00000000-0005-0000-0000-00008A020000}"/>
    <cellStyle name="Millares 9 3 2 2" xfId="2923" xr:uid="{00000000-0005-0000-0000-00008B020000}"/>
    <cellStyle name="Millares 9 3 3" xfId="1597" xr:uid="{00000000-0005-0000-0000-00008C020000}"/>
    <cellStyle name="Millares 9 3 3 2" xfId="3548" xr:uid="{00000000-0005-0000-0000-00008D020000}"/>
    <cellStyle name="Millares 9 3 4" xfId="2288" xr:uid="{00000000-0005-0000-0000-00008E020000}"/>
    <cellStyle name="Millares 9 4" xfId="768" xr:uid="{00000000-0005-0000-0000-00008F020000}"/>
    <cellStyle name="Millares 9 4 2" xfId="2720" xr:uid="{00000000-0005-0000-0000-000090020000}"/>
    <cellStyle name="Millares 9 5" xfId="1394" xr:uid="{00000000-0005-0000-0000-000091020000}"/>
    <cellStyle name="Millares 9 5 2" xfId="3345" xr:uid="{00000000-0005-0000-0000-000092020000}"/>
    <cellStyle name="Millares 9 6" xfId="2085" xr:uid="{00000000-0005-0000-0000-000093020000}"/>
    <cellStyle name="MMMAA" xfId="4068" xr:uid="{00000000-0005-0000-0000-000094020000}"/>
    <cellStyle name="Moneda" xfId="1" builtinId="4"/>
    <cellStyle name="Moneda 10" xfId="3968" xr:uid="{00000000-0005-0000-0000-000096020000}"/>
    <cellStyle name="Moneda 11" xfId="4024" xr:uid="{00000000-0005-0000-0000-000097020000}"/>
    <cellStyle name="Moneda 12" xfId="4028" xr:uid="{00000000-0005-0000-0000-000098020000}"/>
    <cellStyle name="Moneda 2" xfId="1954" xr:uid="{00000000-0005-0000-0000-000099020000}"/>
    <cellStyle name="Moneda 2 2" xfId="1956" xr:uid="{00000000-0005-0000-0000-00009A020000}"/>
    <cellStyle name="Moneda 2 2 2" xfId="1961" xr:uid="{00000000-0005-0000-0000-00009B020000}"/>
    <cellStyle name="Moneda 2 2 2 2" xfId="3911" xr:uid="{00000000-0005-0000-0000-00009C020000}"/>
    <cellStyle name="Moneda 2 2 3" xfId="1964" xr:uid="{00000000-0005-0000-0000-00009D020000}"/>
    <cellStyle name="Moneda 2 2 3 2" xfId="3914" xr:uid="{00000000-0005-0000-0000-00009E020000}"/>
    <cellStyle name="Moneda 2 2 4" xfId="3906" xr:uid="{00000000-0005-0000-0000-00009F020000}"/>
    <cellStyle name="Moneda 2 3" xfId="1959" xr:uid="{00000000-0005-0000-0000-0000A0020000}"/>
    <cellStyle name="Moneda 2 3 2" xfId="3909" xr:uid="{00000000-0005-0000-0000-0000A1020000}"/>
    <cellStyle name="Moneda 2 4" xfId="1962" xr:uid="{00000000-0005-0000-0000-0000A2020000}"/>
    <cellStyle name="Moneda 2 4 2" xfId="3912" xr:uid="{00000000-0005-0000-0000-0000A3020000}"/>
    <cellStyle name="Moneda 2 5" xfId="3904" xr:uid="{00000000-0005-0000-0000-0000A4020000}"/>
    <cellStyle name="Moneda 3" xfId="1955" xr:uid="{00000000-0005-0000-0000-0000A5020000}"/>
    <cellStyle name="Moneda 3 2" xfId="1960" xr:uid="{00000000-0005-0000-0000-0000A6020000}"/>
    <cellStyle name="Moneda 3 2 2" xfId="3910" xr:uid="{00000000-0005-0000-0000-0000A7020000}"/>
    <cellStyle name="Moneda 3 3" xfId="1963" xr:uid="{00000000-0005-0000-0000-0000A8020000}"/>
    <cellStyle name="Moneda 3 3 2" xfId="3913" xr:uid="{00000000-0005-0000-0000-0000A9020000}"/>
    <cellStyle name="Moneda 3 4" xfId="3905" xr:uid="{00000000-0005-0000-0000-0000AA020000}"/>
    <cellStyle name="Moneda 4" xfId="690" xr:uid="{00000000-0005-0000-0000-0000AB020000}"/>
    <cellStyle name="Moneda 4 2" xfId="1327" xr:uid="{00000000-0005-0000-0000-0000AC020000}"/>
    <cellStyle name="Moneda 4 2 2" xfId="3279" xr:uid="{00000000-0005-0000-0000-0000AD020000}"/>
    <cellStyle name="Moneda 4 3" xfId="1952" xr:uid="{00000000-0005-0000-0000-0000AE020000}"/>
    <cellStyle name="Moneda 4 3 2" xfId="3903" xr:uid="{00000000-0005-0000-0000-0000AF020000}"/>
    <cellStyle name="Moneda 4 4" xfId="2643" xr:uid="{00000000-0005-0000-0000-0000B0020000}"/>
    <cellStyle name="Moneda 5" xfId="1957" xr:uid="{00000000-0005-0000-0000-0000B1020000}"/>
    <cellStyle name="Moneda 5 2" xfId="3907" xr:uid="{00000000-0005-0000-0000-0000B2020000}"/>
    <cellStyle name="Moneda 6" xfId="1958" xr:uid="{00000000-0005-0000-0000-0000B3020000}"/>
    <cellStyle name="Moneda 6 2" xfId="3908" xr:uid="{00000000-0005-0000-0000-0000B4020000}"/>
    <cellStyle name="Moneda 7" xfId="1968" xr:uid="{00000000-0005-0000-0000-0000B5020000}"/>
    <cellStyle name="Moneda 7 2" xfId="3918" xr:uid="{00000000-0005-0000-0000-0000B6020000}"/>
    <cellStyle name="Moneda 8" xfId="1970" xr:uid="{00000000-0005-0000-0000-0000B7020000}"/>
    <cellStyle name="Moneda 8 2" xfId="3920" xr:uid="{00000000-0005-0000-0000-0000B8020000}"/>
    <cellStyle name="Moneda 9" xfId="2013" xr:uid="{00000000-0005-0000-0000-0000B9020000}"/>
    <cellStyle name="Neutral" xfId="3987" builtinId="28" customBuiltin="1"/>
    <cellStyle name="No-definido" xfId="4069" xr:uid="{00000000-0005-0000-0000-0000BB020000}"/>
    <cellStyle name="Nor}al" xfId="56" xr:uid="{00000000-0005-0000-0000-0000BC020000}"/>
    <cellStyle name="Normal" xfId="0" builtinId="0"/>
    <cellStyle name="Normal - Style1" xfId="4070" xr:uid="{00000000-0005-0000-0000-0000BE020000}"/>
    <cellStyle name="Normal - Style1 2" xfId="4103" xr:uid="{00000000-0005-0000-0000-0000BF020000}"/>
    <cellStyle name="Normal 10" xfId="27" xr:uid="{00000000-0005-0000-0000-0000C0020000}"/>
    <cellStyle name="Normal 100" xfId="4081" xr:uid="{00000000-0005-0000-0000-0000C1020000}"/>
    <cellStyle name="Normal 101" xfId="4080" xr:uid="{00000000-0005-0000-0000-0000C2020000}"/>
    <cellStyle name="Normal 102" xfId="4040" xr:uid="{00000000-0005-0000-0000-0000C3020000}"/>
    <cellStyle name="Normal 103" xfId="4082" xr:uid="{00000000-0005-0000-0000-0000C4020000}"/>
    <cellStyle name="Normal 104" xfId="4105" xr:uid="{00000000-0005-0000-0000-0000C5020000}"/>
    <cellStyle name="Normal 105" xfId="4097" xr:uid="{00000000-0005-0000-0000-0000C6020000}"/>
    <cellStyle name="Normal 106" xfId="4102" xr:uid="{00000000-0005-0000-0000-0000C7020000}"/>
    <cellStyle name="Normal 107" xfId="4092" xr:uid="{00000000-0005-0000-0000-0000C8020000}"/>
    <cellStyle name="Normal 108" xfId="4087" xr:uid="{00000000-0005-0000-0000-0000C9020000}"/>
    <cellStyle name="Normal 109" xfId="4089" xr:uid="{00000000-0005-0000-0000-0000CA020000}"/>
    <cellStyle name="Normal 11" xfId="57" xr:uid="{00000000-0005-0000-0000-0000CB020000}"/>
    <cellStyle name="Normal 11 10" xfId="697" xr:uid="{00000000-0005-0000-0000-0000CC020000}"/>
    <cellStyle name="Normal 11 10 2" xfId="2649" xr:uid="{00000000-0005-0000-0000-0000CD020000}"/>
    <cellStyle name="Normal 11 11" xfId="2017" xr:uid="{00000000-0005-0000-0000-0000CE020000}"/>
    <cellStyle name="Normal 11 2" xfId="63" xr:uid="{00000000-0005-0000-0000-0000CF020000}"/>
    <cellStyle name="Normal 11 2 2" xfId="94" xr:uid="{00000000-0005-0000-0000-0000D0020000}"/>
    <cellStyle name="Normal 11 2 2 2" xfId="165" xr:uid="{00000000-0005-0000-0000-0000D1020000}"/>
    <cellStyle name="Normal 11 2 2 2 2" xfId="569" xr:uid="{00000000-0005-0000-0000-0000D2020000}"/>
    <cellStyle name="Normal 11 2 2 2 2 2" xfId="1210" xr:uid="{00000000-0005-0000-0000-0000D3020000}"/>
    <cellStyle name="Normal 11 2 2 2 2 2 2" xfId="3162" xr:uid="{00000000-0005-0000-0000-0000D4020000}"/>
    <cellStyle name="Normal 11 2 2 2 2 3" xfId="1836" xr:uid="{00000000-0005-0000-0000-0000D5020000}"/>
    <cellStyle name="Normal 11 2 2 2 2 3 2" xfId="3787" xr:uid="{00000000-0005-0000-0000-0000D6020000}"/>
    <cellStyle name="Normal 11 2 2 2 2 4" xfId="2527" xr:uid="{00000000-0005-0000-0000-0000D7020000}"/>
    <cellStyle name="Normal 11 2 2 2 3" xfId="368" xr:uid="{00000000-0005-0000-0000-0000D8020000}"/>
    <cellStyle name="Normal 11 2 2 2 3 2" xfId="1009" xr:uid="{00000000-0005-0000-0000-0000D9020000}"/>
    <cellStyle name="Normal 11 2 2 2 3 2 2" xfId="2961" xr:uid="{00000000-0005-0000-0000-0000DA020000}"/>
    <cellStyle name="Normal 11 2 2 2 3 3" xfId="1635" xr:uid="{00000000-0005-0000-0000-0000DB020000}"/>
    <cellStyle name="Normal 11 2 2 2 3 3 2" xfId="3586" xr:uid="{00000000-0005-0000-0000-0000DC020000}"/>
    <cellStyle name="Normal 11 2 2 2 3 4" xfId="2326" xr:uid="{00000000-0005-0000-0000-0000DD020000}"/>
    <cellStyle name="Normal 11 2 2 2 4" xfId="806" xr:uid="{00000000-0005-0000-0000-0000DE020000}"/>
    <cellStyle name="Normal 11 2 2 2 4 2" xfId="2758" xr:uid="{00000000-0005-0000-0000-0000DF020000}"/>
    <cellStyle name="Normal 11 2 2 2 5" xfId="1432" xr:uid="{00000000-0005-0000-0000-0000E0020000}"/>
    <cellStyle name="Normal 11 2 2 2 5 2" xfId="3383" xr:uid="{00000000-0005-0000-0000-0000E1020000}"/>
    <cellStyle name="Normal 11 2 2 2 6" xfId="2123" xr:uid="{00000000-0005-0000-0000-0000E2020000}"/>
    <cellStyle name="Normal 11 2 2 3" xfId="499" xr:uid="{00000000-0005-0000-0000-0000E3020000}"/>
    <cellStyle name="Normal 11 2 2 3 2" xfId="1140" xr:uid="{00000000-0005-0000-0000-0000E4020000}"/>
    <cellStyle name="Normal 11 2 2 3 2 2" xfId="3092" xr:uid="{00000000-0005-0000-0000-0000E5020000}"/>
    <cellStyle name="Normal 11 2 2 3 3" xfId="1766" xr:uid="{00000000-0005-0000-0000-0000E6020000}"/>
    <cellStyle name="Normal 11 2 2 3 3 2" xfId="3717" xr:uid="{00000000-0005-0000-0000-0000E7020000}"/>
    <cellStyle name="Normal 11 2 2 3 4" xfId="2457" xr:uid="{00000000-0005-0000-0000-0000E8020000}"/>
    <cellStyle name="Normal 11 2 2 4" xfId="298" xr:uid="{00000000-0005-0000-0000-0000E9020000}"/>
    <cellStyle name="Normal 11 2 2 4 2" xfId="939" xr:uid="{00000000-0005-0000-0000-0000EA020000}"/>
    <cellStyle name="Normal 11 2 2 4 2 2" xfId="2891" xr:uid="{00000000-0005-0000-0000-0000EB020000}"/>
    <cellStyle name="Normal 11 2 2 4 3" xfId="1565" xr:uid="{00000000-0005-0000-0000-0000EC020000}"/>
    <cellStyle name="Normal 11 2 2 4 3 2" xfId="3516" xr:uid="{00000000-0005-0000-0000-0000ED020000}"/>
    <cellStyle name="Normal 11 2 2 4 4" xfId="2256" xr:uid="{00000000-0005-0000-0000-0000EE020000}"/>
    <cellStyle name="Normal 11 2 2 5" xfId="736" xr:uid="{00000000-0005-0000-0000-0000EF020000}"/>
    <cellStyle name="Normal 11 2 2 5 2" xfId="2688" xr:uid="{00000000-0005-0000-0000-0000F0020000}"/>
    <cellStyle name="Normal 11 2 2 6" xfId="1362" xr:uid="{00000000-0005-0000-0000-0000F1020000}"/>
    <cellStyle name="Normal 11 2 2 6 2" xfId="3313" xr:uid="{00000000-0005-0000-0000-0000F2020000}"/>
    <cellStyle name="Normal 11 2 2 7" xfId="2053" xr:uid="{00000000-0005-0000-0000-0000F3020000}"/>
    <cellStyle name="Normal 11 2 3" xfId="135" xr:uid="{00000000-0005-0000-0000-0000F4020000}"/>
    <cellStyle name="Normal 11 2 3 2" xfId="539" xr:uid="{00000000-0005-0000-0000-0000F5020000}"/>
    <cellStyle name="Normal 11 2 3 2 2" xfId="1180" xr:uid="{00000000-0005-0000-0000-0000F6020000}"/>
    <cellStyle name="Normal 11 2 3 2 2 2" xfId="3132" xr:uid="{00000000-0005-0000-0000-0000F7020000}"/>
    <cellStyle name="Normal 11 2 3 2 3" xfId="1806" xr:uid="{00000000-0005-0000-0000-0000F8020000}"/>
    <cellStyle name="Normal 11 2 3 2 3 2" xfId="3757" xr:uid="{00000000-0005-0000-0000-0000F9020000}"/>
    <cellStyle name="Normal 11 2 3 2 4" xfId="2497" xr:uid="{00000000-0005-0000-0000-0000FA020000}"/>
    <cellStyle name="Normal 11 2 3 3" xfId="338" xr:uid="{00000000-0005-0000-0000-0000FB020000}"/>
    <cellStyle name="Normal 11 2 3 3 2" xfId="979" xr:uid="{00000000-0005-0000-0000-0000FC020000}"/>
    <cellStyle name="Normal 11 2 3 3 2 2" xfId="2931" xr:uid="{00000000-0005-0000-0000-0000FD020000}"/>
    <cellStyle name="Normal 11 2 3 3 3" xfId="1605" xr:uid="{00000000-0005-0000-0000-0000FE020000}"/>
    <cellStyle name="Normal 11 2 3 3 3 2" xfId="3556" xr:uid="{00000000-0005-0000-0000-0000FF020000}"/>
    <cellStyle name="Normal 11 2 3 3 4" xfId="2296" xr:uid="{00000000-0005-0000-0000-000000030000}"/>
    <cellStyle name="Normal 11 2 3 4" xfId="776" xr:uid="{00000000-0005-0000-0000-000001030000}"/>
    <cellStyle name="Normal 11 2 3 4 2" xfId="2728" xr:uid="{00000000-0005-0000-0000-000002030000}"/>
    <cellStyle name="Normal 11 2 3 5" xfId="1402" xr:uid="{00000000-0005-0000-0000-000003030000}"/>
    <cellStyle name="Normal 11 2 3 5 2" xfId="3353" xr:uid="{00000000-0005-0000-0000-000004030000}"/>
    <cellStyle name="Normal 11 2 3 6" xfId="2093" xr:uid="{00000000-0005-0000-0000-000005030000}"/>
    <cellStyle name="Normal 11 2 4" xfId="197" xr:uid="{00000000-0005-0000-0000-000006030000}"/>
    <cellStyle name="Normal 11 2 4 2" xfId="601" xr:uid="{00000000-0005-0000-0000-000007030000}"/>
    <cellStyle name="Normal 11 2 4 2 2" xfId="1242" xr:uid="{00000000-0005-0000-0000-000008030000}"/>
    <cellStyle name="Normal 11 2 4 2 2 2" xfId="3194" xr:uid="{00000000-0005-0000-0000-000009030000}"/>
    <cellStyle name="Normal 11 2 4 2 3" xfId="1868" xr:uid="{00000000-0005-0000-0000-00000A030000}"/>
    <cellStyle name="Normal 11 2 4 2 3 2" xfId="3819" xr:uid="{00000000-0005-0000-0000-00000B030000}"/>
    <cellStyle name="Normal 11 2 4 2 4" xfId="2559" xr:uid="{00000000-0005-0000-0000-00000C030000}"/>
    <cellStyle name="Normal 11 2 4 3" xfId="400" xr:uid="{00000000-0005-0000-0000-00000D030000}"/>
    <cellStyle name="Normal 11 2 4 3 2" xfId="1041" xr:uid="{00000000-0005-0000-0000-00000E030000}"/>
    <cellStyle name="Normal 11 2 4 3 2 2" xfId="2993" xr:uid="{00000000-0005-0000-0000-00000F030000}"/>
    <cellStyle name="Normal 11 2 4 3 3" xfId="1667" xr:uid="{00000000-0005-0000-0000-000010030000}"/>
    <cellStyle name="Normal 11 2 4 3 3 2" xfId="3618" xr:uid="{00000000-0005-0000-0000-000011030000}"/>
    <cellStyle name="Normal 11 2 4 3 4" xfId="2358" xr:uid="{00000000-0005-0000-0000-000012030000}"/>
    <cellStyle name="Normal 11 2 4 4" xfId="838" xr:uid="{00000000-0005-0000-0000-000013030000}"/>
    <cellStyle name="Normal 11 2 4 4 2" xfId="2790" xr:uid="{00000000-0005-0000-0000-000014030000}"/>
    <cellStyle name="Normal 11 2 4 5" xfId="1464" xr:uid="{00000000-0005-0000-0000-000015030000}"/>
    <cellStyle name="Normal 11 2 4 5 2" xfId="3415" xr:uid="{00000000-0005-0000-0000-000016030000}"/>
    <cellStyle name="Normal 11 2 4 6" xfId="2155" xr:uid="{00000000-0005-0000-0000-000017030000}"/>
    <cellStyle name="Normal 11 2 5" xfId="469" xr:uid="{00000000-0005-0000-0000-000018030000}"/>
    <cellStyle name="Normal 11 2 5 2" xfId="1110" xr:uid="{00000000-0005-0000-0000-000019030000}"/>
    <cellStyle name="Normal 11 2 5 2 2" xfId="3062" xr:uid="{00000000-0005-0000-0000-00001A030000}"/>
    <cellStyle name="Normal 11 2 5 3" xfId="1736" xr:uid="{00000000-0005-0000-0000-00001B030000}"/>
    <cellStyle name="Normal 11 2 5 3 2" xfId="3687" xr:uid="{00000000-0005-0000-0000-00001C030000}"/>
    <cellStyle name="Normal 11 2 5 4" xfId="2427" xr:uid="{00000000-0005-0000-0000-00001D030000}"/>
    <cellStyle name="Normal 11 2 6" xfId="268" xr:uid="{00000000-0005-0000-0000-00001E030000}"/>
    <cellStyle name="Normal 11 2 6 2" xfId="909" xr:uid="{00000000-0005-0000-0000-00001F030000}"/>
    <cellStyle name="Normal 11 2 6 2 2" xfId="2861" xr:uid="{00000000-0005-0000-0000-000020030000}"/>
    <cellStyle name="Normal 11 2 6 3" xfId="1535" xr:uid="{00000000-0005-0000-0000-000021030000}"/>
    <cellStyle name="Normal 11 2 6 3 2" xfId="3486" xr:uid="{00000000-0005-0000-0000-000022030000}"/>
    <cellStyle name="Normal 11 2 6 4" xfId="2226" xr:uid="{00000000-0005-0000-0000-000023030000}"/>
    <cellStyle name="Normal 11 2 7" xfId="706" xr:uid="{00000000-0005-0000-0000-000024030000}"/>
    <cellStyle name="Normal 11 2 7 2" xfId="2658" xr:uid="{00000000-0005-0000-0000-000025030000}"/>
    <cellStyle name="Normal 11 2 8" xfId="1332" xr:uid="{00000000-0005-0000-0000-000026030000}"/>
    <cellStyle name="Normal 11 2 8 2" xfId="3283" xr:uid="{00000000-0005-0000-0000-000027030000}"/>
    <cellStyle name="Normal 11 2 9" xfId="2023" xr:uid="{00000000-0005-0000-0000-000028030000}"/>
    <cellStyle name="Normal 11 3" xfId="88" xr:uid="{00000000-0005-0000-0000-000029030000}"/>
    <cellStyle name="Normal 11 3 2" xfId="159" xr:uid="{00000000-0005-0000-0000-00002A030000}"/>
    <cellStyle name="Normal 11 3 2 2" xfId="563" xr:uid="{00000000-0005-0000-0000-00002B030000}"/>
    <cellStyle name="Normal 11 3 2 2 2" xfId="1204" xr:uid="{00000000-0005-0000-0000-00002C030000}"/>
    <cellStyle name="Normal 11 3 2 2 2 2" xfId="3156" xr:uid="{00000000-0005-0000-0000-00002D030000}"/>
    <cellStyle name="Normal 11 3 2 2 3" xfId="1830" xr:uid="{00000000-0005-0000-0000-00002E030000}"/>
    <cellStyle name="Normal 11 3 2 2 3 2" xfId="3781" xr:uid="{00000000-0005-0000-0000-00002F030000}"/>
    <cellStyle name="Normal 11 3 2 2 4" xfId="2521" xr:uid="{00000000-0005-0000-0000-000030030000}"/>
    <cellStyle name="Normal 11 3 2 3" xfId="362" xr:uid="{00000000-0005-0000-0000-000031030000}"/>
    <cellStyle name="Normal 11 3 2 3 2" xfId="1003" xr:uid="{00000000-0005-0000-0000-000032030000}"/>
    <cellStyle name="Normal 11 3 2 3 2 2" xfId="2955" xr:uid="{00000000-0005-0000-0000-000033030000}"/>
    <cellStyle name="Normal 11 3 2 3 3" xfId="1629" xr:uid="{00000000-0005-0000-0000-000034030000}"/>
    <cellStyle name="Normal 11 3 2 3 3 2" xfId="3580" xr:uid="{00000000-0005-0000-0000-000035030000}"/>
    <cellStyle name="Normal 11 3 2 3 4" xfId="2320" xr:uid="{00000000-0005-0000-0000-000036030000}"/>
    <cellStyle name="Normal 11 3 2 4" xfId="800" xr:uid="{00000000-0005-0000-0000-000037030000}"/>
    <cellStyle name="Normal 11 3 2 4 2" xfId="2752" xr:uid="{00000000-0005-0000-0000-000038030000}"/>
    <cellStyle name="Normal 11 3 2 5" xfId="1426" xr:uid="{00000000-0005-0000-0000-000039030000}"/>
    <cellStyle name="Normal 11 3 2 5 2" xfId="3377" xr:uid="{00000000-0005-0000-0000-00003A030000}"/>
    <cellStyle name="Normal 11 3 2 6" xfId="2117" xr:uid="{00000000-0005-0000-0000-00003B030000}"/>
    <cellStyle name="Normal 11 3 3" xfId="493" xr:uid="{00000000-0005-0000-0000-00003C030000}"/>
    <cellStyle name="Normal 11 3 3 2" xfId="1134" xr:uid="{00000000-0005-0000-0000-00003D030000}"/>
    <cellStyle name="Normal 11 3 3 2 2" xfId="3086" xr:uid="{00000000-0005-0000-0000-00003E030000}"/>
    <cellStyle name="Normal 11 3 3 3" xfId="1760" xr:uid="{00000000-0005-0000-0000-00003F030000}"/>
    <cellStyle name="Normal 11 3 3 3 2" xfId="3711" xr:uid="{00000000-0005-0000-0000-000040030000}"/>
    <cellStyle name="Normal 11 3 3 4" xfId="2451" xr:uid="{00000000-0005-0000-0000-000041030000}"/>
    <cellStyle name="Normal 11 3 4" xfId="292" xr:uid="{00000000-0005-0000-0000-000042030000}"/>
    <cellStyle name="Normal 11 3 4 2" xfId="933" xr:uid="{00000000-0005-0000-0000-000043030000}"/>
    <cellStyle name="Normal 11 3 4 2 2" xfId="2885" xr:uid="{00000000-0005-0000-0000-000044030000}"/>
    <cellStyle name="Normal 11 3 4 3" xfId="1559" xr:uid="{00000000-0005-0000-0000-000045030000}"/>
    <cellStyle name="Normal 11 3 4 3 2" xfId="3510" xr:uid="{00000000-0005-0000-0000-000046030000}"/>
    <cellStyle name="Normal 11 3 4 4" xfId="2250" xr:uid="{00000000-0005-0000-0000-000047030000}"/>
    <cellStyle name="Normal 11 3 5" xfId="730" xr:uid="{00000000-0005-0000-0000-000048030000}"/>
    <cellStyle name="Normal 11 3 5 2" xfId="2682" xr:uid="{00000000-0005-0000-0000-000049030000}"/>
    <cellStyle name="Normal 11 3 6" xfId="1356" xr:uid="{00000000-0005-0000-0000-00004A030000}"/>
    <cellStyle name="Normal 11 3 6 2" xfId="3307" xr:uid="{00000000-0005-0000-0000-00004B030000}"/>
    <cellStyle name="Normal 11 3 7" xfId="2047" xr:uid="{00000000-0005-0000-0000-00004C030000}"/>
    <cellStyle name="Normal 11 4" xfId="129" xr:uid="{00000000-0005-0000-0000-00004D030000}"/>
    <cellStyle name="Normal 11 4 2" xfId="533" xr:uid="{00000000-0005-0000-0000-00004E030000}"/>
    <cellStyle name="Normal 11 4 2 2" xfId="1174" xr:uid="{00000000-0005-0000-0000-00004F030000}"/>
    <cellStyle name="Normal 11 4 2 2 2" xfId="3126" xr:uid="{00000000-0005-0000-0000-000050030000}"/>
    <cellStyle name="Normal 11 4 2 3" xfId="1800" xr:uid="{00000000-0005-0000-0000-000051030000}"/>
    <cellStyle name="Normal 11 4 2 3 2" xfId="3751" xr:uid="{00000000-0005-0000-0000-000052030000}"/>
    <cellStyle name="Normal 11 4 2 4" xfId="2491" xr:uid="{00000000-0005-0000-0000-000053030000}"/>
    <cellStyle name="Normal 11 4 3" xfId="332" xr:uid="{00000000-0005-0000-0000-000054030000}"/>
    <cellStyle name="Normal 11 4 3 2" xfId="973" xr:uid="{00000000-0005-0000-0000-000055030000}"/>
    <cellStyle name="Normal 11 4 3 2 2" xfId="2925" xr:uid="{00000000-0005-0000-0000-000056030000}"/>
    <cellStyle name="Normal 11 4 3 3" xfId="1599" xr:uid="{00000000-0005-0000-0000-000057030000}"/>
    <cellStyle name="Normal 11 4 3 3 2" xfId="3550" xr:uid="{00000000-0005-0000-0000-000058030000}"/>
    <cellStyle name="Normal 11 4 3 4" xfId="2290" xr:uid="{00000000-0005-0000-0000-000059030000}"/>
    <cellStyle name="Normal 11 4 4" xfId="770" xr:uid="{00000000-0005-0000-0000-00005A030000}"/>
    <cellStyle name="Normal 11 4 4 2" xfId="2722" xr:uid="{00000000-0005-0000-0000-00005B030000}"/>
    <cellStyle name="Normal 11 4 5" xfId="1396" xr:uid="{00000000-0005-0000-0000-00005C030000}"/>
    <cellStyle name="Normal 11 4 5 2" xfId="3347" xr:uid="{00000000-0005-0000-0000-00005D030000}"/>
    <cellStyle name="Normal 11 4 6" xfId="2087" xr:uid="{00000000-0005-0000-0000-00005E030000}"/>
    <cellStyle name="Normal 11 5" xfId="191" xr:uid="{00000000-0005-0000-0000-00005F030000}"/>
    <cellStyle name="Normal 11 5 2" xfId="595" xr:uid="{00000000-0005-0000-0000-000060030000}"/>
    <cellStyle name="Normal 11 5 2 2" xfId="1236" xr:uid="{00000000-0005-0000-0000-000061030000}"/>
    <cellStyle name="Normal 11 5 2 2 2" xfId="3188" xr:uid="{00000000-0005-0000-0000-000062030000}"/>
    <cellStyle name="Normal 11 5 2 3" xfId="1862" xr:uid="{00000000-0005-0000-0000-000063030000}"/>
    <cellStyle name="Normal 11 5 2 3 2" xfId="3813" xr:uid="{00000000-0005-0000-0000-000064030000}"/>
    <cellStyle name="Normal 11 5 2 4" xfId="2553" xr:uid="{00000000-0005-0000-0000-000065030000}"/>
    <cellStyle name="Normal 11 5 3" xfId="394" xr:uid="{00000000-0005-0000-0000-000066030000}"/>
    <cellStyle name="Normal 11 5 3 2" xfId="1035" xr:uid="{00000000-0005-0000-0000-000067030000}"/>
    <cellStyle name="Normal 11 5 3 2 2" xfId="2987" xr:uid="{00000000-0005-0000-0000-000068030000}"/>
    <cellStyle name="Normal 11 5 3 3" xfId="1661" xr:uid="{00000000-0005-0000-0000-000069030000}"/>
    <cellStyle name="Normal 11 5 3 3 2" xfId="3612" xr:uid="{00000000-0005-0000-0000-00006A030000}"/>
    <cellStyle name="Normal 11 5 3 4" xfId="2352" xr:uid="{00000000-0005-0000-0000-00006B030000}"/>
    <cellStyle name="Normal 11 5 4" xfId="832" xr:uid="{00000000-0005-0000-0000-00006C030000}"/>
    <cellStyle name="Normal 11 5 4 2" xfId="2784" xr:uid="{00000000-0005-0000-0000-00006D030000}"/>
    <cellStyle name="Normal 11 5 5" xfId="1458" xr:uid="{00000000-0005-0000-0000-00006E030000}"/>
    <cellStyle name="Normal 11 5 5 2" xfId="3409" xr:uid="{00000000-0005-0000-0000-00006F030000}"/>
    <cellStyle name="Normal 11 5 6" xfId="2149" xr:uid="{00000000-0005-0000-0000-000070030000}"/>
    <cellStyle name="Normal 11 6" xfId="463" xr:uid="{00000000-0005-0000-0000-000071030000}"/>
    <cellStyle name="Normal 11 6 2" xfId="1104" xr:uid="{00000000-0005-0000-0000-000072030000}"/>
    <cellStyle name="Normal 11 6 2 2" xfId="3056" xr:uid="{00000000-0005-0000-0000-000073030000}"/>
    <cellStyle name="Normal 11 6 3" xfId="1730" xr:uid="{00000000-0005-0000-0000-000074030000}"/>
    <cellStyle name="Normal 11 6 3 2" xfId="3681" xr:uid="{00000000-0005-0000-0000-000075030000}"/>
    <cellStyle name="Normal 11 6 4" xfId="2421" xr:uid="{00000000-0005-0000-0000-000076030000}"/>
    <cellStyle name="Normal 11 7" xfId="262" xr:uid="{00000000-0005-0000-0000-000077030000}"/>
    <cellStyle name="Normal 11 7 2" xfId="903" xr:uid="{00000000-0005-0000-0000-000078030000}"/>
    <cellStyle name="Normal 11 7 2 2" xfId="2855" xr:uid="{00000000-0005-0000-0000-000079030000}"/>
    <cellStyle name="Normal 11 7 3" xfId="1529" xr:uid="{00000000-0005-0000-0000-00007A030000}"/>
    <cellStyle name="Normal 11 7 3 2" xfId="3480" xr:uid="{00000000-0005-0000-0000-00007B030000}"/>
    <cellStyle name="Normal 11 7 4" xfId="2220" xr:uid="{00000000-0005-0000-0000-00007C030000}"/>
    <cellStyle name="Normal 11 8" xfId="682" xr:uid="{00000000-0005-0000-0000-00007D030000}"/>
    <cellStyle name="Normal 11 9" xfId="700" xr:uid="{00000000-0005-0000-0000-00007E030000}"/>
    <cellStyle name="Normal 11 9 2" xfId="2652" xr:uid="{00000000-0005-0000-0000-00007F030000}"/>
    <cellStyle name="Normal 110" xfId="4088" xr:uid="{00000000-0005-0000-0000-000080030000}"/>
    <cellStyle name="Normal 111" xfId="4099" xr:uid="{00000000-0005-0000-0000-000081030000}"/>
    <cellStyle name="Normal 112" xfId="4100" xr:uid="{00000000-0005-0000-0000-000082030000}"/>
    <cellStyle name="Normal 113" xfId="4104" xr:uid="{00000000-0005-0000-0000-000083030000}"/>
    <cellStyle name="Normal 114" xfId="4098" xr:uid="{00000000-0005-0000-0000-000084030000}"/>
    <cellStyle name="Normal 115" xfId="4101" xr:uid="{00000000-0005-0000-0000-000085030000}"/>
    <cellStyle name="Normal 116" xfId="4093" xr:uid="{00000000-0005-0000-0000-000086030000}"/>
    <cellStyle name="Normal 117" xfId="4086" xr:uid="{00000000-0005-0000-0000-000087030000}"/>
    <cellStyle name="Normal 118" xfId="4090" xr:uid="{00000000-0005-0000-0000-000088030000}"/>
    <cellStyle name="Normal 119" xfId="4085" xr:uid="{00000000-0005-0000-0000-000089030000}"/>
    <cellStyle name="Normal 12" xfId="32" xr:uid="{00000000-0005-0000-0000-00008A030000}"/>
    <cellStyle name="Normal 120" xfId="4094" xr:uid="{00000000-0005-0000-0000-00008B030000}"/>
    <cellStyle name="Normal 121" xfId="4096" xr:uid="{00000000-0005-0000-0000-00008C030000}"/>
    <cellStyle name="Normal 122" xfId="4084" xr:uid="{00000000-0005-0000-0000-00008D030000}"/>
    <cellStyle name="Normal 13" xfId="58" xr:uid="{00000000-0005-0000-0000-00008E030000}"/>
    <cellStyle name="Normal 13 10" xfId="2018" xr:uid="{00000000-0005-0000-0000-00008F030000}"/>
    <cellStyle name="Normal 13 2" xfId="89" xr:uid="{00000000-0005-0000-0000-000090030000}"/>
    <cellStyle name="Normal 13 2 2" xfId="160" xr:uid="{00000000-0005-0000-0000-000091030000}"/>
    <cellStyle name="Normal 13 2 2 2" xfId="564" xr:uid="{00000000-0005-0000-0000-000092030000}"/>
    <cellStyle name="Normal 13 2 2 2 2" xfId="1205" xr:uid="{00000000-0005-0000-0000-000093030000}"/>
    <cellStyle name="Normal 13 2 2 2 2 2" xfId="3157" xr:uid="{00000000-0005-0000-0000-000094030000}"/>
    <cellStyle name="Normal 13 2 2 2 3" xfId="1831" xr:uid="{00000000-0005-0000-0000-000095030000}"/>
    <cellStyle name="Normal 13 2 2 2 3 2" xfId="3782" xr:uid="{00000000-0005-0000-0000-000096030000}"/>
    <cellStyle name="Normal 13 2 2 2 4" xfId="2522" xr:uid="{00000000-0005-0000-0000-000097030000}"/>
    <cellStyle name="Normal 13 2 2 3" xfId="363" xr:uid="{00000000-0005-0000-0000-000098030000}"/>
    <cellStyle name="Normal 13 2 2 3 2" xfId="1004" xr:uid="{00000000-0005-0000-0000-000099030000}"/>
    <cellStyle name="Normal 13 2 2 3 2 2" xfId="2956" xr:uid="{00000000-0005-0000-0000-00009A030000}"/>
    <cellStyle name="Normal 13 2 2 3 3" xfId="1630" xr:uid="{00000000-0005-0000-0000-00009B030000}"/>
    <cellStyle name="Normal 13 2 2 3 3 2" xfId="3581" xr:uid="{00000000-0005-0000-0000-00009C030000}"/>
    <cellStyle name="Normal 13 2 2 3 4" xfId="2321" xr:uid="{00000000-0005-0000-0000-00009D030000}"/>
    <cellStyle name="Normal 13 2 2 4" xfId="801" xr:uid="{00000000-0005-0000-0000-00009E030000}"/>
    <cellStyle name="Normal 13 2 2 4 2" xfId="2753" xr:uid="{00000000-0005-0000-0000-00009F030000}"/>
    <cellStyle name="Normal 13 2 2 5" xfId="1427" xr:uid="{00000000-0005-0000-0000-0000A0030000}"/>
    <cellStyle name="Normal 13 2 2 5 2" xfId="3378" xr:uid="{00000000-0005-0000-0000-0000A1030000}"/>
    <cellStyle name="Normal 13 2 2 6" xfId="2118" xr:uid="{00000000-0005-0000-0000-0000A2030000}"/>
    <cellStyle name="Normal 13 2 3" xfId="494" xr:uid="{00000000-0005-0000-0000-0000A3030000}"/>
    <cellStyle name="Normal 13 2 3 2" xfId="1135" xr:uid="{00000000-0005-0000-0000-0000A4030000}"/>
    <cellStyle name="Normal 13 2 3 2 2" xfId="3087" xr:uid="{00000000-0005-0000-0000-0000A5030000}"/>
    <cellStyle name="Normal 13 2 3 3" xfId="1761" xr:uid="{00000000-0005-0000-0000-0000A6030000}"/>
    <cellStyle name="Normal 13 2 3 3 2" xfId="3712" xr:uid="{00000000-0005-0000-0000-0000A7030000}"/>
    <cellStyle name="Normal 13 2 3 4" xfId="2452" xr:uid="{00000000-0005-0000-0000-0000A8030000}"/>
    <cellStyle name="Normal 13 2 4" xfId="293" xr:uid="{00000000-0005-0000-0000-0000A9030000}"/>
    <cellStyle name="Normal 13 2 4 2" xfId="934" xr:uid="{00000000-0005-0000-0000-0000AA030000}"/>
    <cellStyle name="Normal 13 2 4 2 2" xfId="2886" xr:uid="{00000000-0005-0000-0000-0000AB030000}"/>
    <cellStyle name="Normal 13 2 4 3" xfId="1560" xr:uid="{00000000-0005-0000-0000-0000AC030000}"/>
    <cellStyle name="Normal 13 2 4 3 2" xfId="3511" xr:uid="{00000000-0005-0000-0000-0000AD030000}"/>
    <cellStyle name="Normal 13 2 4 4" xfId="2251" xr:uid="{00000000-0005-0000-0000-0000AE030000}"/>
    <cellStyle name="Normal 13 2 5" xfId="731" xr:uid="{00000000-0005-0000-0000-0000AF030000}"/>
    <cellStyle name="Normal 13 2 5 2" xfId="2683" xr:uid="{00000000-0005-0000-0000-0000B0030000}"/>
    <cellStyle name="Normal 13 2 6" xfId="1357" xr:uid="{00000000-0005-0000-0000-0000B1030000}"/>
    <cellStyle name="Normal 13 2 6 2" xfId="3308" xr:uid="{00000000-0005-0000-0000-0000B2030000}"/>
    <cellStyle name="Normal 13 2 7" xfId="2048" xr:uid="{00000000-0005-0000-0000-0000B3030000}"/>
    <cellStyle name="Normal 13 3" xfId="130" xr:uid="{00000000-0005-0000-0000-0000B4030000}"/>
    <cellStyle name="Normal 13 3 2" xfId="534" xr:uid="{00000000-0005-0000-0000-0000B5030000}"/>
    <cellStyle name="Normal 13 3 2 2" xfId="1175" xr:uid="{00000000-0005-0000-0000-0000B6030000}"/>
    <cellStyle name="Normal 13 3 2 2 2" xfId="3127" xr:uid="{00000000-0005-0000-0000-0000B7030000}"/>
    <cellStyle name="Normal 13 3 2 3" xfId="1801" xr:uid="{00000000-0005-0000-0000-0000B8030000}"/>
    <cellStyle name="Normal 13 3 2 3 2" xfId="3752" xr:uid="{00000000-0005-0000-0000-0000B9030000}"/>
    <cellStyle name="Normal 13 3 2 4" xfId="2492" xr:uid="{00000000-0005-0000-0000-0000BA030000}"/>
    <cellStyle name="Normal 13 3 3" xfId="333" xr:uid="{00000000-0005-0000-0000-0000BB030000}"/>
    <cellStyle name="Normal 13 3 3 2" xfId="974" xr:uid="{00000000-0005-0000-0000-0000BC030000}"/>
    <cellStyle name="Normal 13 3 3 2 2" xfId="2926" xr:uid="{00000000-0005-0000-0000-0000BD030000}"/>
    <cellStyle name="Normal 13 3 3 3" xfId="1600" xr:uid="{00000000-0005-0000-0000-0000BE030000}"/>
    <cellStyle name="Normal 13 3 3 3 2" xfId="3551" xr:uid="{00000000-0005-0000-0000-0000BF030000}"/>
    <cellStyle name="Normal 13 3 3 4" xfId="2291" xr:uid="{00000000-0005-0000-0000-0000C0030000}"/>
    <cellStyle name="Normal 13 3 4" xfId="771" xr:uid="{00000000-0005-0000-0000-0000C1030000}"/>
    <cellStyle name="Normal 13 3 4 2" xfId="2723" xr:uid="{00000000-0005-0000-0000-0000C2030000}"/>
    <cellStyle name="Normal 13 3 5" xfId="1397" xr:uid="{00000000-0005-0000-0000-0000C3030000}"/>
    <cellStyle name="Normal 13 3 5 2" xfId="3348" xr:uid="{00000000-0005-0000-0000-0000C4030000}"/>
    <cellStyle name="Normal 13 3 6" xfId="2088" xr:uid="{00000000-0005-0000-0000-0000C5030000}"/>
    <cellStyle name="Normal 13 4" xfId="192" xr:uid="{00000000-0005-0000-0000-0000C6030000}"/>
    <cellStyle name="Normal 13 4 2" xfId="596" xr:uid="{00000000-0005-0000-0000-0000C7030000}"/>
    <cellStyle name="Normal 13 4 2 2" xfId="1237" xr:uid="{00000000-0005-0000-0000-0000C8030000}"/>
    <cellStyle name="Normal 13 4 2 2 2" xfId="3189" xr:uid="{00000000-0005-0000-0000-0000C9030000}"/>
    <cellStyle name="Normal 13 4 2 3" xfId="1863" xr:uid="{00000000-0005-0000-0000-0000CA030000}"/>
    <cellStyle name="Normal 13 4 2 3 2" xfId="3814" xr:uid="{00000000-0005-0000-0000-0000CB030000}"/>
    <cellStyle name="Normal 13 4 2 4" xfId="2554" xr:uid="{00000000-0005-0000-0000-0000CC030000}"/>
    <cellStyle name="Normal 13 4 3" xfId="395" xr:uid="{00000000-0005-0000-0000-0000CD030000}"/>
    <cellStyle name="Normal 13 4 3 2" xfId="1036" xr:uid="{00000000-0005-0000-0000-0000CE030000}"/>
    <cellStyle name="Normal 13 4 3 2 2" xfId="2988" xr:uid="{00000000-0005-0000-0000-0000CF030000}"/>
    <cellStyle name="Normal 13 4 3 3" xfId="1662" xr:uid="{00000000-0005-0000-0000-0000D0030000}"/>
    <cellStyle name="Normal 13 4 3 3 2" xfId="3613" xr:uid="{00000000-0005-0000-0000-0000D1030000}"/>
    <cellStyle name="Normal 13 4 3 4" xfId="2353" xr:uid="{00000000-0005-0000-0000-0000D2030000}"/>
    <cellStyle name="Normal 13 4 4" xfId="833" xr:uid="{00000000-0005-0000-0000-0000D3030000}"/>
    <cellStyle name="Normal 13 4 4 2" xfId="2785" xr:uid="{00000000-0005-0000-0000-0000D4030000}"/>
    <cellStyle name="Normal 13 4 5" xfId="1459" xr:uid="{00000000-0005-0000-0000-0000D5030000}"/>
    <cellStyle name="Normal 13 4 5 2" xfId="3410" xr:uid="{00000000-0005-0000-0000-0000D6030000}"/>
    <cellStyle name="Normal 13 4 6" xfId="2150" xr:uid="{00000000-0005-0000-0000-0000D7030000}"/>
    <cellStyle name="Normal 13 5" xfId="464" xr:uid="{00000000-0005-0000-0000-0000D8030000}"/>
    <cellStyle name="Normal 13 5 2" xfId="1105" xr:uid="{00000000-0005-0000-0000-0000D9030000}"/>
    <cellStyle name="Normal 13 5 2 2" xfId="3057" xr:uid="{00000000-0005-0000-0000-0000DA030000}"/>
    <cellStyle name="Normal 13 5 3" xfId="1731" xr:uid="{00000000-0005-0000-0000-0000DB030000}"/>
    <cellStyle name="Normal 13 5 3 2" xfId="3682" xr:uid="{00000000-0005-0000-0000-0000DC030000}"/>
    <cellStyle name="Normal 13 5 4" xfId="2422" xr:uid="{00000000-0005-0000-0000-0000DD030000}"/>
    <cellStyle name="Normal 13 6" xfId="263" xr:uid="{00000000-0005-0000-0000-0000DE030000}"/>
    <cellStyle name="Normal 13 6 2" xfId="904" xr:uid="{00000000-0005-0000-0000-0000DF030000}"/>
    <cellStyle name="Normal 13 6 2 2" xfId="2856" xr:uid="{00000000-0005-0000-0000-0000E0030000}"/>
    <cellStyle name="Normal 13 6 3" xfId="1530" xr:uid="{00000000-0005-0000-0000-0000E1030000}"/>
    <cellStyle name="Normal 13 6 3 2" xfId="3481" xr:uid="{00000000-0005-0000-0000-0000E2030000}"/>
    <cellStyle name="Normal 13 6 4" xfId="2221" xr:uid="{00000000-0005-0000-0000-0000E3030000}"/>
    <cellStyle name="Normal 13 7" xfId="683" xr:uid="{00000000-0005-0000-0000-0000E4030000}"/>
    <cellStyle name="Normal 13 8" xfId="701" xr:uid="{00000000-0005-0000-0000-0000E5030000}"/>
    <cellStyle name="Normal 13 8 2" xfId="2653" xr:uid="{00000000-0005-0000-0000-0000E6030000}"/>
    <cellStyle name="Normal 13 9" xfId="696" xr:uid="{00000000-0005-0000-0000-0000E7030000}"/>
    <cellStyle name="Normal 13 9 2" xfId="2648" xr:uid="{00000000-0005-0000-0000-0000E8030000}"/>
    <cellStyle name="Normal 14" xfId="37" xr:uid="{00000000-0005-0000-0000-0000E9030000}"/>
    <cellStyle name="Normal 15" xfId="40" xr:uid="{00000000-0005-0000-0000-0000EA030000}"/>
    <cellStyle name="Normal 16" xfId="43" xr:uid="{00000000-0005-0000-0000-0000EB030000}"/>
    <cellStyle name="Normal 17" xfId="46" xr:uid="{00000000-0005-0000-0000-0000EC030000}"/>
    <cellStyle name="Normal 18" xfId="49" xr:uid="{00000000-0005-0000-0000-0000ED030000}"/>
    <cellStyle name="Normal 19" xfId="50" xr:uid="{00000000-0005-0000-0000-0000EE030000}"/>
    <cellStyle name="Normal 2" xfId="2" xr:uid="{00000000-0005-0000-0000-0000EF030000}"/>
    <cellStyle name="Normal 2 10" xfId="30" xr:uid="{00000000-0005-0000-0000-0000F0030000}"/>
    <cellStyle name="Normal 2 11" xfId="33" xr:uid="{00000000-0005-0000-0000-0000F1030000}"/>
    <cellStyle name="Normal 2 12" xfId="35" xr:uid="{00000000-0005-0000-0000-0000F2030000}"/>
    <cellStyle name="Normal 2 13" xfId="38" xr:uid="{00000000-0005-0000-0000-0000F3030000}"/>
    <cellStyle name="Normal 2 14" xfId="41" xr:uid="{00000000-0005-0000-0000-0000F4030000}"/>
    <cellStyle name="Normal 2 15" xfId="44" xr:uid="{00000000-0005-0000-0000-0000F5030000}"/>
    <cellStyle name="Normal 2 16" xfId="47" xr:uid="{00000000-0005-0000-0000-0000F6030000}"/>
    <cellStyle name="Normal 2 17" xfId="51" xr:uid="{00000000-0005-0000-0000-0000F7030000}"/>
    <cellStyle name="Normal 2 18" xfId="53" xr:uid="{00000000-0005-0000-0000-0000F8030000}"/>
    <cellStyle name="Normal 2 18 2" xfId="689" xr:uid="{00000000-0005-0000-0000-0000F9030000}"/>
    <cellStyle name="Normal 2 19" xfId="3" xr:uid="{00000000-0005-0000-0000-0000FA030000}"/>
    <cellStyle name="Normal 2 2" xfId="5" xr:uid="{00000000-0005-0000-0000-0000FB030000}"/>
    <cellStyle name="Normal 2 20" xfId="85" xr:uid="{00000000-0005-0000-0000-0000FC030000}"/>
    <cellStyle name="Normal 2 20 2" xfId="156" xr:uid="{00000000-0005-0000-0000-0000FD030000}"/>
    <cellStyle name="Normal 2 20 2 2" xfId="560" xr:uid="{00000000-0005-0000-0000-0000FE030000}"/>
    <cellStyle name="Normal 2 20 2 2 2" xfId="1201" xr:uid="{00000000-0005-0000-0000-0000FF030000}"/>
    <cellStyle name="Normal 2 20 2 2 2 2" xfId="3153" xr:uid="{00000000-0005-0000-0000-000000040000}"/>
    <cellStyle name="Normal 2 20 2 2 3" xfId="1827" xr:uid="{00000000-0005-0000-0000-000001040000}"/>
    <cellStyle name="Normal 2 20 2 2 3 2" xfId="3778" xr:uid="{00000000-0005-0000-0000-000002040000}"/>
    <cellStyle name="Normal 2 20 2 2 4" xfId="2518" xr:uid="{00000000-0005-0000-0000-000003040000}"/>
    <cellStyle name="Normal 2 20 2 3" xfId="359" xr:uid="{00000000-0005-0000-0000-000004040000}"/>
    <cellStyle name="Normal 2 20 2 3 2" xfId="1000" xr:uid="{00000000-0005-0000-0000-000005040000}"/>
    <cellStyle name="Normal 2 20 2 3 2 2" xfId="2952" xr:uid="{00000000-0005-0000-0000-000006040000}"/>
    <cellStyle name="Normal 2 20 2 3 3" xfId="1626" xr:uid="{00000000-0005-0000-0000-000007040000}"/>
    <cellStyle name="Normal 2 20 2 3 3 2" xfId="3577" xr:uid="{00000000-0005-0000-0000-000008040000}"/>
    <cellStyle name="Normal 2 20 2 3 4" xfId="2317" xr:uid="{00000000-0005-0000-0000-000009040000}"/>
    <cellStyle name="Normal 2 20 2 4" xfId="797" xr:uid="{00000000-0005-0000-0000-00000A040000}"/>
    <cellStyle name="Normal 2 20 2 4 2" xfId="2749" xr:uid="{00000000-0005-0000-0000-00000B040000}"/>
    <cellStyle name="Normal 2 20 2 5" xfId="1423" xr:uid="{00000000-0005-0000-0000-00000C040000}"/>
    <cellStyle name="Normal 2 20 2 5 2" xfId="3374" xr:uid="{00000000-0005-0000-0000-00000D040000}"/>
    <cellStyle name="Normal 2 20 2 6" xfId="2114" xr:uid="{00000000-0005-0000-0000-00000E040000}"/>
    <cellStyle name="Normal 2 20 3" xfId="490" xr:uid="{00000000-0005-0000-0000-00000F040000}"/>
    <cellStyle name="Normal 2 20 3 2" xfId="1131" xr:uid="{00000000-0005-0000-0000-000010040000}"/>
    <cellStyle name="Normal 2 20 3 2 2" xfId="3083" xr:uid="{00000000-0005-0000-0000-000011040000}"/>
    <cellStyle name="Normal 2 20 3 3" xfId="1757" xr:uid="{00000000-0005-0000-0000-000012040000}"/>
    <cellStyle name="Normal 2 20 3 3 2" xfId="3708" xr:uid="{00000000-0005-0000-0000-000013040000}"/>
    <cellStyle name="Normal 2 20 3 4" xfId="2448" xr:uid="{00000000-0005-0000-0000-000014040000}"/>
    <cellStyle name="Normal 2 20 4" xfId="289" xr:uid="{00000000-0005-0000-0000-000015040000}"/>
    <cellStyle name="Normal 2 20 4 2" xfId="930" xr:uid="{00000000-0005-0000-0000-000016040000}"/>
    <cellStyle name="Normal 2 20 4 2 2" xfId="2882" xr:uid="{00000000-0005-0000-0000-000017040000}"/>
    <cellStyle name="Normal 2 20 4 3" xfId="1556" xr:uid="{00000000-0005-0000-0000-000018040000}"/>
    <cellStyle name="Normal 2 20 4 3 2" xfId="3507" xr:uid="{00000000-0005-0000-0000-000019040000}"/>
    <cellStyle name="Normal 2 20 4 4" xfId="2247" xr:uid="{00000000-0005-0000-0000-00001A040000}"/>
    <cellStyle name="Normal 2 20 5" xfId="727" xr:uid="{00000000-0005-0000-0000-00001B040000}"/>
    <cellStyle name="Normal 2 20 5 2" xfId="2679" xr:uid="{00000000-0005-0000-0000-00001C040000}"/>
    <cellStyle name="Normal 2 20 6" xfId="1353" xr:uid="{00000000-0005-0000-0000-00001D040000}"/>
    <cellStyle name="Normal 2 20 6 2" xfId="3304" xr:uid="{00000000-0005-0000-0000-00001E040000}"/>
    <cellStyle name="Normal 2 20 7" xfId="2044" xr:uid="{00000000-0005-0000-0000-00001F040000}"/>
    <cellStyle name="Normal 2 21" xfId="125" xr:uid="{00000000-0005-0000-0000-000020040000}"/>
    <cellStyle name="Normal 2 21 2" xfId="530" xr:uid="{00000000-0005-0000-0000-000021040000}"/>
    <cellStyle name="Normal 2 21 2 2" xfId="1171" xr:uid="{00000000-0005-0000-0000-000022040000}"/>
    <cellStyle name="Normal 2 21 2 2 2" xfId="3123" xr:uid="{00000000-0005-0000-0000-000023040000}"/>
    <cellStyle name="Normal 2 21 2 3" xfId="1797" xr:uid="{00000000-0005-0000-0000-000024040000}"/>
    <cellStyle name="Normal 2 21 2 3 2" xfId="3748" xr:uid="{00000000-0005-0000-0000-000025040000}"/>
    <cellStyle name="Normal 2 21 2 4" xfId="2488" xr:uid="{00000000-0005-0000-0000-000026040000}"/>
    <cellStyle name="Normal 2 21 3" xfId="329" xr:uid="{00000000-0005-0000-0000-000027040000}"/>
    <cellStyle name="Normal 2 21 3 2" xfId="970" xr:uid="{00000000-0005-0000-0000-000028040000}"/>
    <cellStyle name="Normal 2 21 3 2 2" xfId="2922" xr:uid="{00000000-0005-0000-0000-000029040000}"/>
    <cellStyle name="Normal 2 21 3 3" xfId="1596" xr:uid="{00000000-0005-0000-0000-00002A040000}"/>
    <cellStyle name="Normal 2 21 3 3 2" xfId="3547" xr:uid="{00000000-0005-0000-0000-00002B040000}"/>
    <cellStyle name="Normal 2 21 3 4" xfId="2287" xr:uid="{00000000-0005-0000-0000-00002C040000}"/>
    <cellStyle name="Normal 2 21 4" xfId="767" xr:uid="{00000000-0005-0000-0000-00002D040000}"/>
    <cellStyle name="Normal 2 21 4 2" xfId="2719" xr:uid="{00000000-0005-0000-0000-00002E040000}"/>
    <cellStyle name="Normal 2 21 5" xfId="1393" xr:uid="{00000000-0005-0000-0000-00002F040000}"/>
    <cellStyle name="Normal 2 21 5 2" xfId="3344" xr:uid="{00000000-0005-0000-0000-000030040000}"/>
    <cellStyle name="Normal 2 21 6" xfId="2084" xr:uid="{00000000-0005-0000-0000-000031040000}"/>
    <cellStyle name="Normal 2 22" xfId="188" xr:uid="{00000000-0005-0000-0000-000032040000}"/>
    <cellStyle name="Normal 2 22 2" xfId="592" xr:uid="{00000000-0005-0000-0000-000033040000}"/>
    <cellStyle name="Normal 2 22 2 2" xfId="1233" xr:uid="{00000000-0005-0000-0000-000034040000}"/>
    <cellStyle name="Normal 2 22 2 2 2" xfId="3185" xr:uid="{00000000-0005-0000-0000-000035040000}"/>
    <cellStyle name="Normal 2 22 2 3" xfId="1859" xr:uid="{00000000-0005-0000-0000-000036040000}"/>
    <cellStyle name="Normal 2 22 2 3 2" xfId="3810" xr:uid="{00000000-0005-0000-0000-000037040000}"/>
    <cellStyle name="Normal 2 22 2 4" xfId="2550" xr:uid="{00000000-0005-0000-0000-000038040000}"/>
    <cellStyle name="Normal 2 22 3" xfId="391" xr:uid="{00000000-0005-0000-0000-000039040000}"/>
    <cellStyle name="Normal 2 22 3 2" xfId="1032" xr:uid="{00000000-0005-0000-0000-00003A040000}"/>
    <cellStyle name="Normal 2 22 3 2 2" xfId="2984" xr:uid="{00000000-0005-0000-0000-00003B040000}"/>
    <cellStyle name="Normal 2 22 3 3" xfId="1658" xr:uid="{00000000-0005-0000-0000-00003C040000}"/>
    <cellStyle name="Normal 2 22 3 3 2" xfId="3609" xr:uid="{00000000-0005-0000-0000-00003D040000}"/>
    <cellStyle name="Normal 2 22 3 4" xfId="2349" xr:uid="{00000000-0005-0000-0000-00003E040000}"/>
    <cellStyle name="Normal 2 22 4" xfId="829" xr:uid="{00000000-0005-0000-0000-00003F040000}"/>
    <cellStyle name="Normal 2 22 4 2" xfId="2781" xr:uid="{00000000-0005-0000-0000-000040040000}"/>
    <cellStyle name="Normal 2 22 5" xfId="1455" xr:uid="{00000000-0005-0000-0000-000041040000}"/>
    <cellStyle name="Normal 2 22 5 2" xfId="3406" xr:uid="{00000000-0005-0000-0000-000042040000}"/>
    <cellStyle name="Normal 2 22 6" xfId="2146" xr:uid="{00000000-0005-0000-0000-000043040000}"/>
    <cellStyle name="Normal 2 23" xfId="460" xr:uid="{00000000-0005-0000-0000-000044040000}"/>
    <cellStyle name="Normal 2 23 2" xfId="1101" xr:uid="{00000000-0005-0000-0000-000045040000}"/>
    <cellStyle name="Normal 2 23 2 2" xfId="3053" xr:uid="{00000000-0005-0000-0000-000046040000}"/>
    <cellStyle name="Normal 2 23 3" xfId="1727" xr:uid="{00000000-0005-0000-0000-000047040000}"/>
    <cellStyle name="Normal 2 23 3 2" xfId="3678" xr:uid="{00000000-0005-0000-0000-000048040000}"/>
    <cellStyle name="Normal 2 23 4" xfId="2418" xr:uid="{00000000-0005-0000-0000-000049040000}"/>
    <cellStyle name="Normal 2 24" xfId="259" xr:uid="{00000000-0005-0000-0000-00004A040000}"/>
    <cellStyle name="Normal 2 24 2" xfId="900" xr:uid="{00000000-0005-0000-0000-00004B040000}"/>
    <cellStyle name="Normal 2 24 2 2" xfId="2852" xr:uid="{00000000-0005-0000-0000-00004C040000}"/>
    <cellStyle name="Normal 2 24 3" xfId="1526" xr:uid="{00000000-0005-0000-0000-00004D040000}"/>
    <cellStyle name="Normal 2 24 3 2" xfId="3477" xr:uid="{00000000-0005-0000-0000-00004E040000}"/>
    <cellStyle name="Normal 2 24 4" xfId="2217" xr:uid="{00000000-0005-0000-0000-00004F040000}"/>
    <cellStyle name="Normal 2 25" xfId="692" xr:uid="{00000000-0005-0000-0000-000050040000}"/>
    <cellStyle name="Normal 2 25 2" xfId="2644" xr:uid="{00000000-0005-0000-0000-000051040000}"/>
    <cellStyle name="Normal 2 26" xfId="695" xr:uid="{00000000-0005-0000-0000-000052040000}"/>
    <cellStyle name="Normal 2 26 2" xfId="2647" xr:uid="{00000000-0005-0000-0000-000053040000}"/>
    <cellStyle name="Normal 2 27" xfId="2014" xr:uid="{00000000-0005-0000-0000-000054040000}"/>
    <cellStyle name="Normal 2 28" xfId="4036" xr:uid="{00000000-0005-0000-0000-000055040000}"/>
    <cellStyle name="Normal 2 3" xfId="10" xr:uid="{00000000-0005-0000-0000-000056040000}"/>
    <cellStyle name="Normal 2 4" xfId="13" xr:uid="{00000000-0005-0000-0000-000057040000}"/>
    <cellStyle name="Normal 2 5" xfId="16" xr:uid="{00000000-0005-0000-0000-000058040000}"/>
    <cellStyle name="Normal 2 6" xfId="19" xr:uid="{00000000-0005-0000-0000-000059040000}"/>
    <cellStyle name="Normal 2 7" xfId="22" xr:uid="{00000000-0005-0000-0000-00005A040000}"/>
    <cellStyle name="Normal 2 8" xfId="25" xr:uid="{00000000-0005-0000-0000-00005B040000}"/>
    <cellStyle name="Normal 2 9" xfId="28" xr:uid="{00000000-0005-0000-0000-00005C040000}"/>
    <cellStyle name="Normal 20" xfId="59" xr:uid="{00000000-0005-0000-0000-00005D040000}"/>
    <cellStyle name="Normal 20 10" xfId="693" xr:uid="{00000000-0005-0000-0000-00005E040000}"/>
    <cellStyle name="Normal 20 10 2" xfId="2645" xr:uid="{00000000-0005-0000-0000-00005F040000}"/>
    <cellStyle name="Normal 20 11" xfId="2019" xr:uid="{00000000-0005-0000-0000-000060040000}"/>
    <cellStyle name="Normal 20 2" xfId="64" xr:uid="{00000000-0005-0000-0000-000061040000}"/>
    <cellStyle name="Normal 20 2 2" xfId="95" xr:uid="{00000000-0005-0000-0000-000062040000}"/>
    <cellStyle name="Normal 20 2 2 2" xfId="166" xr:uid="{00000000-0005-0000-0000-000063040000}"/>
    <cellStyle name="Normal 20 2 2 2 2" xfId="570" xr:uid="{00000000-0005-0000-0000-000064040000}"/>
    <cellStyle name="Normal 20 2 2 2 2 2" xfId="1211" xr:uid="{00000000-0005-0000-0000-000065040000}"/>
    <cellStyle name="Normal 20 2 2 2 2 2 2" xfId="3163" xr:uid="{00000000-0005-0000-0000-000066040000}"/>
    <cellStyle name="Normal 20 2 2 2 2 3" xfId="1837" xr:uid="{00000000-0005-0000-0000-000067040000}"/>
    <cellStyle name="Normal 20 2 2 2 2 3 2" xfId="3788" xr:uid="{00000000-0005-0000-0000-000068040000}"/>
    <cellStyle name="Normal 20 2 2 2 2 4" xfId="2528" xr:uid="{00000000-0005-0000-0000-000069040000}"/>
    <cellStyle name="Normal 20 2 2 2 3" xfId="369" xr:uid="{00000000-0005-0000-0000-00006A040000}"/>
    <cellStyle name="Normal 20 2 2 2 3 2" xfId="1010" xr:uid="{00000000-0005-0000-0000-00006B040000}"/>
    <cellStyle name="Normal 20 2 2 2 3 2 2" xfId="2962" xr:uid="{00000000-0005-0000-0000-00006C040000}"/>
    <cellStyle name="Normal 20 2 2 2 3 3" xfId="1636" xr:uid="{00000000-0005-0000-0000-00006D040000}"/>
    <cellStyle name="Normal 20 2 2 2 3 3 2" xfId="3587" xr:uid="{00000000-0005-0000-0000-00006E040000}"/>
    <cellStyle name="Normal 20 2 2 2 3 4" xfId="2327" xr:uid="{00000000-0005-0000-0000-00006F040000}"/>
    <cellStyle name="Normal 20 2 2 2 4" xfId="807" xr:uid="{00000000-0005-0000-0000-000070040000}"/>
    <cellStyle name="Normal 20 2 2 2 4 2" xfId="2759" xr:uid="{00000000-0005-0000-0000-000071040000}"/>
    <cellStyle name="Normal 20 2 2 2 5" xfId="1433" xr:uid="{00000000-0005-0000-0000-000072040000}"/>
    <cellStyle name="Normal 20 2 2 2 5 2" xfId="3384" xr:uid="{00000000-0005-0000-0000-000073040000}"/>
    <cellStyle name="Normal 20 2 2 2 6" xfId="2124" xr:uid="{00000000-0005-0000-0000-000074040000}"/>
    <cellStyle name="Normal 20 2 2 3" xfId="500" xr:uid="{00000000-0005-0000-0000-000075040000}"/>
    <cellStyle name="Normal 20 2 2 3 2" xfId="1141" xr:uid="{00000000-0005-0000-0000-000076040000}"/>
    <cellStyle name="Normal 20 2 2 3 2 2" xfId="3093" xr:uid="{00000000-0005-0000-0000-000077040000}"/>
    <cellStyle name="Normal 20 2 2 3 3" xfId="1767" xr:uid="{00000000-0005-0000-0000-000078040000}"/>
    <cellStyle name="Normal 20 2 2 3 3 2" xfId="3718" xr:uid="{00000000-0005-0000-0000-000079040000}"/>
    <cellStyle name="Normal 20 2 2 3 4" xfId="2458" xr:uid="{00000000-0005-0000-0000-00007A040000}"/>
    <cellStyle name="Normal 20 2 2 4" xfId="299" xr:uid="{00000000-0005-0000-0000-00007B040000}"/>
    <cellStyle name="Normal 20 2 2 4 2" xfId="940" xr:uid="{00000000-0005-0000-0000-00007C040000}"/>
    <cellStyle name="Normal 20 2 2 4 2 2" xfId="2892" xr:uid="{00000000-0005-0000-0000-00007D040000}"/>
    <cellStyle name="Normal 20 2 2 4 3" xfId="1566" xr:uid="{00000000-0005-0000-0000-00007E040000}"/>
    <cellStyle name="Normal 20 2 2 4 3 2" xfId="3517" xr:uid="{00000000-0005-0000-0000-00007F040000}"/>
    <cellStyle name="Normal 20 2 2 4 4" xfId="2257" xr:uid="{00000000-0005-0000-0000-000080040000}"/>
    <cellStyle name="Normal 20 2 2 5" xfId="737" xr:uid="{00000000-0005-0000-0000-000081040000}"/>
    <cellStyle name="Normal 20 2 2 5 2" xfId="2689" xr:uid="{00000000-0005-0000-0000-000082040000}"/>
    <cellStyle name="Normal 20 2 2 6" xfId="1363" xr:uid="{00000000-0005-0000-0000-000083040000}"/>
    <cellStyle name="Normal 20 2 2 6 2" xfId="3314" xr:uid="{00000000-0005-0000-0000-000084040000}"/>
    <cellStyle name="Normal 20 2 2 7" xfId="2054" xr:uid="{00000000-0005-0000-0000-000085040000}"/>
    <cellStyle name="Normal 20 2 3" xfId="136" xr:uid="{00000000-0005-0000-0000-000086040000}"/>
    <cellStyle name="Normal 20 2 3 2" xfId="540" xr:uid="{00000000-0005-0000-0000-000087040000}"/>
    <cellStyle name="Normal 20 2 3 2 2" xfId="1181" xr:uid="{00000000-0005-0000-0000-000088040000}"/>
    <cellStyle name="Normal 20 2 3 2 2 2" xfId="3133" xr:uid="{00000000-0005-0000-0000-000089040000}"/>
    <cellStyle name="Normal 20 2 3 2 3" xfId="1807" xr:uid="{00000000-0005-0000-0000-00008A040000}"/>
    <cellStyle name="Normal 20 2 3 2 3 2" xfId="3758" xr:uid="{00000000-0005-0000-0000-00008B040000}"/>
    <cellStyle name="Normal 20 2 3 2 4" xfId="2498" xr:uid="{00000000-0005-0000-0000-00008C040000}"/>
    <cellStyle name="Normal 20 2 3 3" xfId="339" xr:uid="{00000000-0005-0000-0000-00008D040000}"/>
    <cellStyle name="Normal 20 2 3 3 2" xfId="980" xr:uid="{00000000-0005-0000-0000-00008E040000}"/>
    <cellStyle name="Normal 20 2 3 3 2 2" xfId="2932" xr:uid="{00000000-0005-0000-0000-00008F040000}"/>
    <cellStyle name="Normal 20 2 3 3 3" xfId="1606" xr:uid="{00000000-0005-0000-0000-000090040000}"/>
    <cellStyle name="Normal 20 2 3 3 3 2" xfId="3557" xr:uid="{00000000-0005-0000-0000-000091040000}"/>
    <cellStyle name="Normal 20 2 3 3 4" xfId="2297" xr:uid="{00000000-0005-0000-0000-000092040000}"/>
    <cellStyle name="Normal 20 2 3 4" xfId="777" xr:uid="{00000000-0005-0000-0000-000093040000}"/>
    <cellStyle name="Normal 20 2 3 4 2" xfId="2729" xr:uid="{00000000-0005-0000-0000-000094040000}"/>
    <cellStyle name="Normal 20 2 3 5" xfId="1403" xr:uid="{00000000-0005-0000-0000-000095040000}"/>
    <cellStyle name="Normal 20 2 3 5 2" xfId="3354" xr:uid="{00000000-0005-0000-0000-000096040000}"/>
    <cellStyle name="Normal 20 2 3 6" xfId="2094" xr:uid="{00000000-0005-0000-0000-000097040000}"/>
    <cellStyle name="Normal 20 2 4" xfId="198" xr:uid="{00000000-0005-0000-0000-000098040000}"/>
    <cellStyle name="Normal 20 2 4 2" xfId="602" xr:uid="{00000000-0005-0000-0000-000099040000}"/>
    <cellStyle name="Normal 20 2 4 2 2" xfId="1243" xr:uid="{00000000-0005-0000-0000-00009A040000}"/>
    <cellStyle name="Normal 20 2 4 2 2 2" xfId="3195" xr:uid="{00000000-0005-0000-0000-00009B040000}"/>
    <cellStyle name="Normal 20 2 4 2 3" xfId="1869" xr:uid="{00000000-0005-0000-0000-00009C040000}"/>
    <cellStyle name="Normal 20 2 4 2 3 2" xfId="3820" xr:uid="{00000000-0005-0000-0000-00009D040000}"/>
    <cellStyle name="Normal 20 2 4 2 4" xfId="2560" xr:uid="{00000000-0005-0000-0000-00009E040000}"/>
    <cellStyle name="Normal 20 2 4 3" xfId="401" xr:uid="{00000000-0005-0000-0000-00009F040000}"/>
    <cellStyle name="Normal 20 2 4 3 2" xfId="1042" xr:uid="{00000000-0005-0000-0000-0000A0040000}"/>
    <cellStyle name="Normal 20 2 4 3 2 2" xfId="2994" xr:uid="{00000000-0005-0000-0000-0000A1040000}"/>
    <cellStyle name="Normal 20 2 4 3 3" xfId="1668" xr:uid="{00000000-0005-0000-0000-0000A2040000}"/>
    <cellStyle name="Normal 20 2 4 3 3 2" xfId="3619" xr:uid="{00000000-0005-0000-0000-0000A3040000}"/>
    <cellStyle name="Normal 20 2 4 3 4" xfId="2359" xr:uid="{00000000-0005-0000-0000-0000A4040000}"/>
    <cellStyle name="Normal 20 2 4 4" xfId="839" xr:uid="{00000000-0005-0000-0000-0000A5040000}"/>
    <cellStyle name="Normal 20 2 4 4 2" xfId="2791" xr:uid="{00000000-0005-0000-0000-0000A6040000}"/>
    <cellStyle name="Normal 20 2 4 5" xfId="1465" xr:uid="{00000000-0005-0000-0000-0000A7040000}"/>
    <cellStyle name="Normal 20 2 4 5 2" xfId="3416" xr:uid="{00000000-0005-0000-0000-0000A8040000}"/>
    <cellStyle name="Normal 20 2 4 6" xfId="2156" xr:uid="{00000000-0005-0000-0000-0000A9040000}"/>
    <cellStyle name="Normal 20 2 5" xfId="470" xr:uid="{00000000-0005-0000-0000-0000AA040000}"/>
    <cellStyle name="Normal 20 2 5 2" xfId="1111" xr:uid="{00000000-0005-0000-0000-0000AB040000}"/>
    <cellStyle name="Normal 20 2 5 2 2" xfId="3063" xr:uid="{00000000-0005-0000-0000-0000AC040000}"/>
    <cellStyle name="Normal 20 2 5 3" xfId="1737" xr:uid="{00000000-0005-0000-0000-0000AD040000}"/>
    <cellStyle name="Normal 20 2 5 3 2" xfId="3688" xr:uid="{00000000-0005-0000-0000-0000AE040000}"/>
    <cellStyle name="Normal 20 2 5 4" xfId="2428" xr:uid="{00000000-0005-0000-0000-0000AF040000}"/>
    <cellStyle name="Normal 20 2 6" xfId="269" xr:uid="{00000000-0005-0000-0000-0000B0040000}"/>
    <cellStyle name="Normal 20 2 6 2" xfId="910" xr:uid="{00000000-0005-0000-0000-0000B1040000}"/>
    <cellStyle name="Normal 20 2 6 2 2" xfId="2862" xr:uid="{00000000-0005-0000-0000-0000B2040000}"/>
    <cellStyle name="Normal 20 2 6 3" xfId="1536" xr:uid="{00000000-0005-0000-0000-0000B3040000}"/>
    <cellStyle name="Normal 20 2 6 3 2" xfId="3487" xr:uid="{00000000-0005-0000-0000-0000B4040000}"/>
    <cellStyle name="Normal 20 2 6 4" xfId="2227" xr:uid="{00000000-0005-0000-0000-0000B5040000}"/>
    <cellStyle name="Normal 20 2 7" xfId="707" xr:uid="{00000000-0005-0000-0000-0000B6040000}"/>
    <cellStyle name="Normal 20 2 7 2" xfId="2659" xr:uid="{00000000-0005-0000-0000-0000B7040000}"/>
    <cellStyle name="Normal 20 2 8" xfId="1333" xr:uid="{00000000-0005-0000-0000-0000B8040000}"/>
    <cellStyle name="Normal 20 2 8 2" xfId="3284" xr:uid="{00000000-0005-0000-0000-0000B9040000}"/>
    <cellStyle name="Normal 20 2 9" xfId="2024" xr:uid="{00000000-0005-0000-0000-0000BA040000}"/>
    <cellStyle name="Normal 20 3" xfId="90" xr:uid="{00000000-0005-0000-0000-0000BB040000}"/>
    <cellStyle name="Normal 20 3 2" xfId="161" xr:uid="{00000000-0005-0000-0000-0000BC040000}"/>
    <cellStyle name="Normal 20 3 2 2" xfId="565" xr:uid="{00000000-0005-0000-0000-0000BD040000}"/>
    <cellStyle name="Normal 20 3 2 2 2" xfId="1206" xr:uid="{00000000-0005-0000-0000-0000BE040000}"/>
    <cellStyle name="Normal 20 3 2 2 2 2" xfId="3158" xr:uid="{00000000-0005-0000-0000-0000BF040000}"/>
    <cellStyle name="Normal 20 3 2 2 3" xfId="1832" xr:uid="{00000000-0005-0000-0000-0000C0040000}"/>
    <cellStyle name="Normal 20 3 2 2 3 2" xfId="3783" xr:uid="{00000000-0005-0000-0000-0000C1040000}"/>
    <cellStyle name="Normal 20 3 2 2 4" xfId="2523" xr:uid="{00000000-0005-0000-0000-0000C2040000}"/>
    <cellStyle name="Normal 20 3 2 3" xfId="364" xr:uid="{00000000-0005-0000-0000-0000C3040000}"/>
    <cellStyle name="Normal 20 3 2 3 2" xfId="1005" xr:uid="{00000000-0005-0000-0000-0000C4040000}"/>
    <cellStyle name="Normal 20 3 2 3 2 2" xfId="2957" xr:uid="{00000000-0005-0000-0000-0000C5040000}"/>
    <cellStyle name="Normal 20 3 2 3 3" xfId="1631" xr:uid="{00000000-0005-0000-0000-0000C6040000}"/>
    <cellStyle name="Normal 20 3 2 3 3 2" xfId="3582" xr:uid="{00000000-0005-0000-0000-0000C7040000}"/>
    <cellStyle name="Normal 20 3 2 3 4" xfId="2322" xr:uid="{00000000-0005-0000-0000-0000C8040000}"/>
    <cellStyle name="Normal 20 3 2 4" xfId="802" xr:uid="{00000000-0005-0000-0000-0000C9040000}"/>
    <cellStyle name="Normal 20 3 2 4 2" xfId="2754" xr:uid="{00000000-0005-0000-0000-0000CA040000}"/>
    <cellStyle name="Normal 20 3 2 5" xfId="1428" xr:uid="{00000000-0005-0000-0000-0000CB040000}"/>
    <cellStyle name="Normal 20 3 2 5 2" xfId="3379" xr:uid="{00000000-0005-0000-0000-0000CC040000}"/>
    <cellStyle name="Normal 20 3 2 6" xfId="2119" xr:uid="{00000000-0005-0000-0000-0000CD040000}"/>
    <cellStyle name="Normal 20 3 3" xfId="495" xr:uid="{00000000-0005-0000-0000-0000CE040000}"/>
    <cellStyle name="Normal 20 3 3 2" xfId="1136" xr:uid="{00000000-0005-0000-0000-0000CF040000}"/>
    <cellStyle name="Normal 20 3 3 2 2" xfId="3088" xr:uid="{00000000-0005-0000-0000-0000D0040000}"/>
    <cellStyle name="Normal 20 3 3 3" xfId="1762" xr:uid="{00000000-0005-0000-0000-0000D1040000}"/>
    <cellStyle name="Normal 20 3 3 3 2" xfId="3713" xr:uid="{00000000-0005-0000-0000-0000D2040000}"/>
    <cellStyle name="Normal 20 3 3 4" xfId="2453" xr:uid="{00000000-0005-0000-0000-0000D3040000}"/>
    <cellStyle name="Normal 20 3 4" xfId="294" xr:uid="{00000000-0005-0000-0000-0000D4040000}"/>
    <cellStyle name="Normal 20 3 4 2" xfId="935" xr:uid="{00000000-0005-0000-0000-0000D5040000}"/>
    <cellStyle name="Normal 20 3 4 2 2" xfId="2887" xr:uid="{00000000-0005-0000-0000-0000D6040000}"/>
    <cellStyle name="Normal 20 3 4 3" xfId="1561" xr:uid="{00000000-0005-0000-0000-0000D7040000}"/>
    <cellStyle name="Normal 20 3 4 3 2" xfId="3512" xr:uid="{00000000-0005-0000-0000-0000D8040000}"/>
    <cellStyle name="Normal 20 3 4 4" xfId="2252" xr:uid="{00000000-0005-0000-0000-0000D9040000}"/>
    <cellStyle name="Normal 20 3 5" xfId="732" xr:uid="{00000000-0005-0000-0000-0000DA040000}"/>
    <cellStyle name="Normal 20 3 5 2" xfId="2684" xr:uid="{00000000-0005-0000-0000-0000DB040000}"/>
    <cellStyle name="Normal 20 3 6" xfId="1358" xr:uid="{00000000-0005-0000-0000-0000DC040000}"/>
    <cellStyle name="Normal 20 3 6 2" xfId="3309" xr:uid="{00000000-0005-0000-0000-0000DD040000}"/>
    <cellStyle name="Normal 20 3 7" xfId="2049" xr:uid="{00000000-0005-0000-0000-0000DE040000}"/>
    <cellStyle name="Normal 20 4" xfId="131" xr:uid="{00000000-0005-0000-0000-0000DF040000}"/>
    <cellStyle name="Normal 20 4 2" xfId="535" xr:uid="{00000000-0005-0000-0000-0000E0040000}"/>
    <cellStyle name="Normal 20 4 2 2" xfId="1176" xr:uid="{00000000-0005-0000-0000-0000E1040000}"/>
    <cellStyle name="Normal 20 4 2 2 2" xfId="3128" xr:uid="{00000000-0005-0000-0000-0000E2040000}"/>
    <cellStyle name="Normal 20 4 2 3" xfId="1802" xr:uid="{00000000-0005-0000-0000-0000E3040000}"/>
    <cellStyle name="Normal 20 4 2 3 2" xfId="3753" xr:uid="{00000000-0005-0000-0000-0000E4040000}"/>
    <cellStyle name="Normal 20 4 2 4" xfId="2493" xr:uid="{00000000-0005-0000-0000-0000E5040000}"/>
    <cellStyle name="Normal 20 4 3" xfId="334" xr:uid="{00000000-0005-0000-0000-0000E6040000}"/>
    <cellStyle name="Normal 20 4 3 2" xfId="975" xr:uid="{00000000-0005-0000-0000-0000E7040000}"/>
    <cellStyle name="Normal 20 4 3 2 2" xfId="2927" xr:uid="{00000000-0005-0000-0000-0000E8040000}"/>
    <cellStyle name="Normal 20 4 3 3" xfId="1601" xr:uid="{00000000-0005-0000-0000-0000E9040000}"/>
    <cellStyle name="Normal 20 4 3 3 2" xfId="3552" xr:uid="{00000000-0005-0000-0000-0000EA040000}"/>
    <cellStyle name="Normal 20 4 3 4" xfId="2292" xr:uid="{00000000-0005-0000-0000-0000EB040000}"/>
    <cellStyle name="Normal 20 4 4" xfId="772" xr:uid="{00000000-0005-0000-0000-0000EC040000}"/>
    <cellStyle name="Normal 20 4 4 2" xfId="2724" xr:uid="{00000000-0005-0000-0000-0000ED040000}"/>
    <cellStyle name="Normal 20 4 5" xfId="1398" xr:uid="{00000000-0005-0000-0000-0000EE040000}"/>
    <cellStyle name="Normal 20 4 5 2" xfId="3349" xr:uid="{00000000-0005-0000-0000-0000EF040000}"/>
    <cellStyle name="Normal 20 4 6" xfId="2089" xr:uid="{00000000-0005-0000-0000-0000F0040000}"/>
    <cellStyle name="Normal 20 5" xfId="193" xr:uid="{00000000-0005-0000-0000-0000F1040000}"/>
    <cellStyle name="Normal 20 5 2" xfId="597" xr:uid="{00000000-0005-0000-0000-0000F2040000}"/>
    <cellStyle name="Normal 20 5 2 2" xfId="1238" xr:uid="{00000000-0005-0000-0000-0000F3040000}"/>
    <cellStyle name="Normal 20 5 2 2 2" xfId="3190" xr:uid="{00000000-0005-0000-0000-0000F4040000}"/>
    <cellStyle name="Normal 20 5 2 3" xfId="1864" xr:uid="{00000000-0005-0000-0000-0000F5040000}"/>
    <cellStyle name="Normal 20 5 2 3 2" xfId="3815" xr:uid="{00000000-0005-0000-0000-0000F6040000}"/>
    <cellStyle name="Normal 20 5 2 4" xfId="2555" xr:uid="{00000000-0005-0000-0000-0000F7040000}"/>
    <cellStyle name="Normal 20 5 3" xfId="396" xr:uid="{00000000-0005-0000-0000-0000F8040000}"/>
    <cellStyle name="Normal 20 5 3 2" xfId="1037" xr:uid="{00000000-0005-0000-0000-0000F9040000}"/>
    <cellStyle name="Normal 20 5 3 2 2" xfId="2989" xr:uid="{00000000-0005-0000-0000-0000FA040000}"/>
    <cellStyle name="Normal 20 5 3 3" xfId="1663" xr:uid="{00000000-0005-0000-0000-0000FB040000}"/>
    <cellStyle name="Normal 20 5 3 3 2" xfId="3614" xr:uid="{00000000-0005-0000-0000-0000FC040000}"/>
    <cellStyle name="Normal 20 5 3 4" xfId="2354" xr:uid="{00000000-0005-0000-0000-0000FD040000}"/>
    <cellStyle name="Normal 20 5 4" xfId="834" xr:uid="{00000000-0005-0000-0000-0000FE040000}"/>
    <cellStyle name="Normal 20 5 4 2" xfId="2786" xr:uid="{00000000-0005-0000-0000-0000FF040000}"/>
    <cellStyle name="Normal 20 5 5" xfId="1460" xr:uid="{00000000-0005-0000-0000-000000050000}"/>
    <cellStyle name="Normal 20 5 5 2" xfId="3411" xr:uid="{00000000-0005-0000-0000-000001050000}"/>
    <cellStyle name="Normal 20 5 6" xfId="2151" xr:uid="{00000000-0005-0000-0000-000002050000}"/>
    <cellStyle name="Normal 20 6" xfId="465" xr:uid="{00000000-0005-0000-0000-000003050000}"/>
    <cellStyle name="Normal 20 6 2" xfId="1106" xr:uid="{00000000-0005-0000-0000-000004050000}"/>
    <cellStyle name="Normal 20 6 2 2" xfId="3058" xr:uid="{00000000-0005-0000-0000-000005050000}"/>
    <cellStyle name="Normal 20 6 3" xfId="1732" xr:uid="{00000000-0005-0000-0000-000006050000}"/>
    <cellStyle name="Normal 20 6 3 2" xfId="3683" xr:uid="{00000000-0005-0000-0000-000007050000}"/>
    <cellStyle name="Normal 20 6 4" xfId="2423" xr:uid="{00000000-0005-0000-0000-000008050000}"/>
    <cellStyle name="Normal 20 7" xfId="264" xr:uid="{00000000-0005-0000-0000-000009050000}"/>
    <cellStyle name="Normal 20 7 2" xfId="905" xr:uid="{00000000-0005-0000-0000-00000A050000}"/>
    <cellStyle name="Normal 20 7 2 2" xfId="2857" xr:uid="{00000000-0005-0000-0000-00000B050000}"/>
    <cellStyle name="Normal 20 7 3" xfId="1531" xr:uid="{00000000-0005-0000-0000-00000C050000}"/>
    <cellStyle name="Normal 20 7 3 2" xfId="3482" xr:uid="{00000000-0005-0000-0000-00000D050000}"/>
    <cellStyle name="Normal 20 7 4" xfId="2222" xr:uid="{00000000-0005-0000-0000-00000E050000}"/>
    <cellStyle name="Normal 20 8" xfId="684" xr:uid="{00000000-0005-0000-0000-00000F050000}"/>
    <cellStyle name="Normal 20 9" xfId="702" xr:uid="{00000000-0005-0000-0000-000010050000}"/>
    <cellStyle name="Normal 20 9 2" xfId="2654" xr:uid="{00000000-0005-0000-0000-000011050000}"/>
    <cellStyle name="Normal 21" xfId="60" xr:uid="{00000000-0005-0000-0000-000012050000}"/>
    <cellStyle name="Normal 21 10" xfId="2020" xr:uid="{00000000-0005-0000-0000-000013050000}"/>
    <cellStyle name="Normal 21 2" xfId="91" xr:uid="{00000000-0005-0000-0000-000014050000}"/>
    <cellStyle name="Normal 21 2 2" xfId="162" xr:uid="{00000000-0005-0000-0000-000015050000}"/>
    <cellStyle name="Normal 21 2 2 2" xfId="566" xr:uid="{00000000-0005-0000-0000-000016050000}"/>
    <cellStyle name="Normal 21 2 2 2 2" xfId="1207" xr:uid="{00000000-0005-0000-0000-000017050000}"/>
    <cellStyle name="Normal 21 2 2 2 2 2" xfId="3159" xr:uid="{00000000-0005-0000-0000-000018050000}"/>
    <cellStyle name="Normal 21 2 2 2 3" xfId="1833" xr:uid="{00000000-0005-0000-0000-000019050000}"/>
    <cellStyle name="Normal 21 2 2 2 3 2" xfId="3784" xr:uid="{00000000-0005-0000-0000-00001A050000}"/>
    <cellStyle name="Normal 21 2 2 2 4" xfId="2524" xr:uid="{00000000-0005-0000-0000-00001B050000}"/>
    <cellStyle name="Normal 21 2 2 3" xfId="365" xr:uid="{00000000-0005-0000-0000-00001C050000}"/>
    <cellStyle name="Normal 21 2 2 3 2" xfId="1006" xr:uid="{00000000-0005-0000-0000-00001D050000}"/>
    <cellStyle name="Normal 21 2 2 3 2 2" xfId="2958" xr:uid="{00000000-0005-0000-0000-00001E050000}"/>
    <cellStyle name="Normal 21 2 2 3 3" xfId="1632" xr:uid="{00000000-0005-0000-0000-00001F050000}"/>
    <cellStyle name="Normal 21 2 2 3 3 2" xfId="3583" xr:uid="{00000000-0005-0000-0000-000020050000}"/>
    <cellStyle name="Normal 21 2 2 3 4" xfId="2323" xr:uid="{00000000-0005-0000-0000-000021050000}"/>
    <cellStyle name="Normal 21 2 2 4" xfId="803" xr:uid="{00000000-0005-0000-0000-000022050000}"/>
    <cellStyle name="Normal 21 2 2 4 2" xfId="2755" xr:uid="{00000000-0005-0000-0000-000023050000}"/>
    <cellStyle name="Normal 21 2 2 5" xfId="1429" xr:uid="{00000000-0005-0000-0000-000024050000}"/>
    <cellStyle name="Normal 21 2 2 5 2" xfId="3380" xr:uid="{00000000-0005-0000-0000-000025050000}"/>
    <cellStyle name="Normal 21 2 2 6" xfId="2120" xr:uid="{00000000-0005-0000-0000-000026050000}"/>
    <cellStyle name="Normal 21 2 3" xfId="496" xr:uid="{00000000-0005-0000-0000-000027050000}"/>
    <cellStyle name="Normal 21 2 3 2" xfId="1137" xr:uid="{00000000-0005-0000-0000-000028050000}"/>
    <cellStyle name="Normal 21 2 3 2 2" xfId="3089" xr:uid="{00000000-0005-0000-0000-000029050000}"/>
    <cellStyle name="Normal 21 2 3 3" xfId="1763" xr:uid="{00000000-0005-0000-0000-00002A050000}"/>
    <cellStyle name="Normal 21 2 3 3 2" xfId="3714" xr:uid="{00000000-0005-0000-0000-00002B050000}"/>
    <cellStyle name="Normal 21 2 3 4" xfId="2454" xr:uid="{00000000-0005-0000-0000-00002C050000}"/>
    <cellStyle name="Normal 21 2 4" xfId="295" xr:uid="{00000000-0005-0000-0000-00002D050000}"/>
    <cellStyle name="Normal 21 2 4 2" xfId="936" xr:uid="{00000000-0005-0000-0000-00002E050000}"/>
    <cellStyle name="Normal 21 2 4 2 2" xfId="2888" xr:uid="{00000000-0005-0000-0000-00002F050000}"/>
    <cellStyle name="Normal 21 2 4 3" xfId="1562" xr:uid="{00000000-0005-0000-0000-000030050000}"/>
    <cellStyle name="Normal 21 2 4 3 2" xfId="3513" xr:uid="{00000000-0005-0000-0000-000031050000}"/>
    <cellStyle name="Normal 21 2 4 4" xfId="2253" xr:uid="{00000000-0005-0000-0000-000032050000}"/>
    <cellStyle name="Normal 21 2 5" xfId="733" xr:uid="{00000000-0005-0000-0000-000033050000}"/>
    <cellStyle name="Normal 21 2 5 2" xfId="2685" xr:uid="{00000000-0005-0000-0000-000034050000}"/>
    <cellStyle name="Normal 21 2 6" xfId="1359" xr:uid="{00000000-0005-0000-0000-000035050000}"/>
    <cellStyle name="Normal 21 2 6 2" xfId="3310" xr:uid="{00000000-0005-0000-0000-000036050000}"/>
    <cellStyle name="Normal 21 2 7" xfId="2050" xr:uid="{00000000-0005-0000-0000-000037050000}"/>
    <cellStyle name="Normal 21 3" xfId="132" xr:uid="{00000000-0005-0000-0000-000038050000}"/>
    <cellStyle name="Normal 21 3 2" xfId="536" xr:uid="{00000000-0005-0000-0000-000039050000}"/>
    <cellStyle name="Normal 21 3 2 2" xfId="1177" xr:uid="{00000000-0005-0000-0000-00003A050000}"/>
    <cellStyle name="Normal 21 3 2 2 2" xfId="3129" xr:uid="{00000000-0005-0000-0000-00003B050000}"/>
    <cellStyle name="Normal 21 3 2 3" xfId="1803" xr:uid="{00000000-0005-0000-0000-00003C050000}"/>
    <cellStyle name="Normal 21 3 2 3 2" xfId="3754" xr:uid="{00000000-0005-0000-0000-00003D050000}"/>
    <cellStyle name="Normal 21 3 2 4" xfId="2494" xr:uid="{00000000-0005-0000-0000-00003E050000}"/>
    <cellStyle name="Normal 21 3 3" xfId="335" xr:uid="{00000000-0005-0000-0000-00003F050000}"/>
    <cellStyle name="Normal 21 3 3 2" xfId="976" xr:uid="{00000000-0005-0000-0000-000040050000}"/>
    <cellStyle name="Normal 21 3 3 2 2" xfId="2928" xr:uid="{00000000-0005-0000-0000-000041050000}"/>
    <cellStyle name="Normal 21 3 3 3" xfId="1602" xr:uid="{00000000-0005-0000-0000-000042050000}"/>
    <cellStyle name="Normal 21 3 3 3 2" xfId="3553" xr:uid="{00000000-0005-0000-0000-000043050000}"/>
    <cellStyle name="Normal 21 3 3 4" xfId="2293" xr:uid="{00000000-0005-0000-0000-000044050000}"/>
    <cellStyle name="Normal 21 3 4" xfId="773" xr:uid="{00000000-0005-0000-0000-000045050000}"/>
    <cellStyle name="Normal 21 3 4 2" xfId="2725" xr:uid="{00000000-0005-0000-0000-000046050000}"/>
    <cellStyle name="Normal 21 3 5" xfId="1399" xr:uid="{00000000-0005-0000-0000-000047050000}"/>
    <cellStyle name="Normal 21 3 5 2" xfId="3350" xr:uid="{00000000-0005-0000-0000-000048050000}"/>
    <cellStyle name="Normal 21 3 6" xfId="2090" xr:uid="{00000000-0005-0000-0000-000049050000}"/>
    <cellStyle name="Normal 21 4" xfId="194" xr:uid="{00000000-0005-0000-0000-00004A050000}"/>
    <cellStyle name="Normal 21 4 2" xfId="598" xr:uid="{00000000-0005-0000-0000-00004B050000}"/>
    <cellStyle name="Normal 21 4 2 2" xfId="1239" xr:uid="{00000000-0005-0000-0000-00004C050000}"/>
    <cellStyle name="Normal 21 4 2 2 2" xfId="3191" xr:uid="{00000000-0005-0000-0000-00004D050000}"/>
    <cellStyle name="Normal 21 4 2 3" xfId="1865" xr:uid="{00000000-0005-0000-0000-00004E050000}"/>
    <cellStyle name="Normal 21 4 2 3 2" xfId="3816" xr:uid="{00000000-0005-0000-0000-00004F050000}"/>
    <cellStyle name="Normal 21 4 2 4" xfId="2556" xr:uid="{00000000-0005-0000-0000-000050050000}"/>
    <cellStyle name="Normal 21 4 3" xfId="397" xr:uid="{00000000-0005-0000-0000-000051050000}"/>
    <cellStyle name="Normal 21 4 3 2" xfId="1038" xr:uid="{00000000-0005-0000-0000-000052050000}"/>
    <cellStyle name="Normal 21 4 3 2 2" xfId="2990" xr:uid="{00000000-0005-0000-0000-000053050000}"/>
    <cellStyle name="Normal 21 4 3 3" xfId="1664" xr:uid="{00000000-0005-0000-0000-000054050000}"/>
    <cellStyle name="Normal 21 4 3 3 2" xfId="3615" xr:uid="{00000000-0005-0000-0000-000055050000}"/>
    <cellStyle name="Normal 21 4 3 4" xfId="2355" xr:uid="{00000000-0005-0000-0000-000056050000}"/>
    <cellStyle name="Normal 21 4 4" xfId="835" xr:uid="{00000000-0005-0000-0000-000057050000}"/>
    <cellStyle name="Normal 21 4 4 2" xfId="2787" xr:uid="{00000000-0005-0000-0000-000058050000}"/>
    <cellStyle name="Normal 21 4 5" xfId="1461" xr:uid="{00000000-0005-0000-0000-000059050000}"/>
    <cellStyle name="Normal 21 4 5 2" xfId="3412" xr:uid="{00000000-0005-0000-0000-00005A050000}"/>
    <cellStyle name="Normal 21 4 6" xfId="2152" xr:uid="{00000000-0005-0000-0000-00005B050000}"/>
    <cellStyle name="Normal 21 5" xfId="466" xr:uid="{00000000-0005-0000-0000-00005C050000}"/>
    <cellStyle name="Normal 21 5 2" xfId="1107" xr:uid="{00000000-0005-0000-0000-00005D050000}"/>
    <cellStyle name="Normal 21 5 2 2" xfId="3059" xr:uid="{00000000-0005-0000-0000-00005E050000}"/>
    <cellStyle name="Normal 21 5 3" xfId="1733" xr:uid="{00000000-0005-0000-0000-00005F050000}"/>
    <cellStyle name="Normal 21 5 3 2" xfId="3684" xr:uid="{00000000-0005-0000-0000-000060050000}"/>
    <cellStyle name="Normal 21 5 4" xfId="2424" xr:uid="{00000000-0005-0000-0000-000061050000}"/>
    <cellStyle name="Normal 21 6" xfId="265" xr:uid="{00000000-0005-0000-0000-000062050000}"/>
    <cellStyle name="Normal 21 6 2" xfId="906" xr:uid="{00000000-0005-0000-0000-000063050000}"/>
    <cellStyle name="Normal 21 6 2 2" xfId="2858" xr:uid="{00000000-0005-0000-0000-000064050000}"/>
    <cellStyle name="Normal 21 6 3" xfId="1532" xr:uid="{00000000-0005-0000-0000-000065050000}"/>
    <cellStyle name="Normal 21 6 3 2" xfId="3483" xr:uid="{00000000-0005-0000-0000-000066050000}"/>
    <cellStyle name="Normal 21 6 4" xfId="2223" xr:uid="{00000000-0005-0000-0000-000067050000}"/>
    <cellStyle name="Normal 21 7" xfId="685" xr:uid="{00000000-0005-0000-0000-000068050000}"/>
    <cellStyle name="Normal 21 8" xfId="703" xr:uid="{00000000-0005-0000-0000-000069050000}"/>
    <cellStyle name="Normal 21 8 2" xfId="2655" xr:uid="{00000000-0005-0000-0000-00006A050000}"/>
    <cellStyle name="Normal 21 9" xfId="1329" xr:uid="{00000000-0005-0000-0000-00006B050000}"/>
    <cellStyle name="Normal 21 9 2" xfId="3280" xr:uid="{00000000-0005-0000-0000-00006C050000}"/>
    <cellStyle name="Normal 22" xfId="61" xr:uid="{00000000-0005-0000-0000-00006D050000}"/>
    <cellStyle name="Normal 22 10" xfId="2021" xr:uid="{00000000-0005-0000-0000-00006E050000}"/>
    <cellStyle name="Normal 22 11" xfId="4042" xr:uid="{00000000-0005-0000-0000-00006F050000}"/>
    <cellStyle name="Normal 22 2" xfId="92" xr:uid="{00000000-0005-0000-0000-000070050000}"/>
    <cellStyle name="Normal 22 2 2" xfId="163" xr:uid="{00000000-0005-0000-0000-000071050000}"/>
    <cellStyle name="Normal 22 2 2 2" xfId="567" xr:uid="{00000000-0005-0000-0000-000072050000}"/>
    <cellStyle name="Normal 22 2 2 2 2" xfId="1208" xr:uid="{00000000-0005-0000-0000-000073050000}"/>
    <cellStyle name="Normal 22 2 2 2 2 2" xfId="3160" xr:uid="{00000000-0005-0000-0000-000074050000}"/>
    <cellStyle name="Normal 22 2 2 2 3" xfId="1834" xr:uid="{00000000-0005-0000-0000-000075050000}"/>
    <cellStyle name="Normal 22 2 2 2 3 2" xfId="3785" xr:uid="{00000000-0005-0000-0000-000076050000}"/>
    <cellStyle name="Normal 22 2 2 2 4" xfId="2525" xr:uid="{00000000-0005-0000-0000-000077050000}"/>
    <cellStyle name="Normal 22 2 2 3" xfId="366" xr:uid="{00000000-0005-0000-0000-000078050000}"/>
    <cellStyle name="Normal 22 2 2 3 2" xfId="1007" xr:uid="{00000000-0005-0000-0000-000079050000}"/>
    <cellStyle name="Normal 22 2 2 3 2 2" xfId="2959" xr:uid="{00000000-0005-0000-0000-00007A050000}"/>
    <cellStyle name="Normal 22 2 2 3 3" xfId="1633" xr:uid="{00000000-0005-0000-0000-00007B050000}"/>
    <cellStyle name="Normal 22 2 2 3 3 2" xfId="3584" xr:uid="{00000000-0005-0000-0000-00007C050000}"/>
    <cellStyle name="Normal 22 2 2 3 4" xfId="2324" xr:uid="{00000000-0005-0000-0000-00007D050000}"/>
    <cellStyle name="Normal 22 2 2 4" xfId="804" xr:uid="{00000000-0005-0000-0000-00007E050000}"/>
    <cellStyle name="Normal 22 2 2 4 2" xfId="2756" xr:uid="{00000000-0005-0000-0000-00007F050000}"/>
    <cellStyle name="Normal 22 2 2 5" xfId="1430" xr:uid="{00000000-0005-0000-0000-000080050000}"/>
    <cellStyle name="Normal 22 2 2 5 2" xfId="3381" xr:uid="{00000000-0005-0000-0000-000081050000}"/>
    <cellStyle name="Normal 22 2 2 6" xfId="2121" xr:uid="{00000000-0005-0000-0000-000082050000}"/>
    <cellStyle name="Normal 22 2 3" xfId="497" xr:uid="{00000000-0005-0000-0000-000083050000}"/>
    <cellStyle name="Normal 22 2 3 2" xfId="1138" xr:uid="{00000000-0005-0000-0000-000084050000}"/>
    <cellStyle name="Normal 22 2 3 2 2" xfId="3090" xr:uid="{00000000-0005-0000-0000-000085050000}"/>
    <cellStyle name="Normal 22 2 3 3" xfId="1764" xr:uid="{00000000-0005-0000-0000-000086050000}"/>
    <cellStyle name="Normal 22 2 3 3 2" xfId="3715" xr:uid="{00000000-0005-0000-0000-000087050000}"/>
    <cellStyle name="Normal 22 2 3 4" xfId="2455" xr:uid="{00000000-0005-0000-0000-000088050000}"/>
    <cellStyle name="Normal 22 2 4" xfId="296" xr:uid="{00000000-0005-0000-0000-000089050000}"/>
    <cellStyle name="Normal 22 2 4 2" xfId="937" xr:uid="{00000000-0005-0000-0000-00008A050000}"/>
    <cellStyle name="Normal 22 2 4 2 2" xfId="2889" xr:uid="{00000000-0005-0000-0000-00008B050000}"/>
    <cellStyle name="Normal 22 2 4 3" xfId="1563" xr:uid="{00000000-0005-0000-0000-00008C050000}"/>
    <cellStyle name="Normal 22 2 4 3 2" xfId="3514" xr:uid="{00000000-0005-0000-0000-00008D050000}"/>
    <cellStyle name="Normal 22 2 4 4" xfId="2254" xr:uid="{00000000-0005-0000-0000-00008E050000}"/>
    <cellStyle name="Normal 22 2 5" xfId="734" xr:uid="{00000000-0005-0000-0000-00008F050000}"/>
    <cellStyle name="Normal 22 2 5 2" xfId="2686" xr:uid="{00000000-0005-0000-0000-000090050000}"/>
    <cellStyle name="Normal 22 2 6" xfId="1360" xr:uid="{00000000-0005-0000-0000-000091050000}"/>
    <cellStyle name="Normal 22 2 6 2" xfId="3311" xr:uid="{00000000-0005-0000-0000-000092050000}"/>
    <cellStyle name="Normal 22 2 7" xfId="2051" xr:uid="{00000000-0005-0000-0000-000093050000}"/>
    <cellStyle name="Normal 22 3" xfId="133" xr:uid="{00000000-0005-0000-0000-000094050000}"/>
    <cellStyle name="Normal 22 3 2" xfId="537" xr:uid="{00000000-0005-0000-0000-000095050000}"/>
    <cellStyle name="Normal 22 3 2 2" xfId="1178" xr:uid="{00000000-0005-0000-0000-000096050000}"/>
    <cellStyle name="Normal 22 3 2 2 2" xfId="3130" xr:uid="{00000000-0005-0000-0000-000097050000}"/>
    <cellStyle name="Normal 22 3 2 3" xfId="1804" xr:uid="{00000000-0005-0000-0000-000098050000}"/>
    <cellStyle name="Normal 22 3 2 3 2" xfId="3755" xr:uid="{00000000-0005-0000-0000-000099050000}"/>
    <cellStyle name="Normal 22 3 2 4" xfId="2495" xr:uid="{00000000-0005-0000-0000-00009A050000}"/>
    <cellStyle name="Normal 22 3 3" xfId="336" xr:uid="{00000000-0005-0000-0000-00009B050000}"/>
    <cellStyle name="Normal 22 3 3 2" xfId="977" xr:uid="{00000000-0005-0000-0000-00009C050000}"/>
    <cellStyle name="Normal 22 3 3 2 2" xfId="2929" xr:uid="{00000000-0005-0000-0000-00009D050000}"/>
    <cellStyle name="Normal 22 3 3 3" xfId="1603" xr:uid="{00000000-0005-0000-0000-00009E050000}"/>
    <cellStyle name="Normal 22 3 3 3 2" xfId="3554" xr:uid="{00000000-0005-0000-0000-00009F050000}"/>
    <cellStyle name="Normal 22 3 3 4" xfId="2294" xr:uid="{00000000-0005-0000-0000-0000A0050000}"/>
    <cellStyle name="Normal 22 3 4" xfId="774" xr:uid="{00000000-0005-0000-0000-0000A1050000}"/>
    <cellStyle name="Normal 22 3 4 2" xfId="2726" xr:uid="{00000000-0005-0000-0000-0000A2050000}"/>
    <cellStyle name="Normal 22 3 5" xfId="1400" xr:uid="{00000000-0005-0000-0000-0000A3050000}"/>
    <cellStyle name="Normal 22 3 5 2" xfId="3351" xr:uid="{00000000-0005-0000-0000-0000A4050000}"/>
    <cellStyle name="Normal 22 3 6" xfId="2091" xr:uid="{00000000-0005-0000-0000-0000A5050000}"/>
    <cellStyle name="Normal 22 4" xfId="195" xr:uid="{00000000-0005-0000-0000-0000A6050000}"/>
    <cellStyle name="Normal 22 4 2" xfId="599" xr:uid="{00000000-0005-0000-0000-0000A7050000}"/>
    <cellStyle name="Normal 22 4 2 2" xfId="1240" xr:uid="{00000000-0005-0000-0000-0000A8050000}"/>
    <cellStyle name="Normal 22 4 2 2 2" xfId="3192" xr:uid="{00000000-0005-0000-0000-0000A9050000}"/>
    <cellStyle name="Normal 22 4 2 3" xfId="1866" xr:uid="{00000000-0005-0000-0000-0000AA050000}"/>
    <cellStyle name="Normal 22 4 2 3 2" xfId="3817" xr:uid="{00000000-0005-0000-0000-0000AB050000}"/>
    <cellStyle name="Normal 22 4 2 4" xfId="2557" xr:uid="{00000000-0005-0000-0000-0000AC050000}"/>
    <cellStyle name="Normal 22 4 3" xfId="398" xr:uid="{00000000-0005-0000-0000-0000AD050000}"/>
    <cellStyle name="Normal 22 4 3 2" xfId="1039" xr:uid="{00000000-0005-0000-0000-0000AE050000}"/>
    <cellStyle name="Normal 22 4 3 2 2" xfId="2991" xr:uid="{00000000-0005-0000-0000-0000AF050000}"/>
    <cellStyle name="Normal 22 4 3 3" xfId="1665" xr:uid="{00000000-0005-0000-0000-0000B0050000}"/>
    <cellStyle name="Normal 22 4 3 3 2" xfId="3616" xr:uid="{00000000-0005-0000-0000-0000B1050000}"/>
    <cellStyle name="Normal 22 4 3 4" xfId="2356" xr:uid="{00000000-0005-0000-0000-0000B2050000}"/>
    <cellStyle name="Normal 22 4 4" xfId="836" xr:uid="{00000000-0005-0000-0000-0000B3050000}"/>
    <cellStyle name="Normal 22 4 4 2" xfId="2788" xr:uid="{00000000-0005-0000-0000-0000B4050000}"/>
    <cellStyle name="Normal 22 4 5" xfId="1462" xr:uid="{00000000-0005-0000-0000-0000B5050000}"/>
    <cellStyle name="Normal 22 4 5 2" xfId="3413" xr:uid="{00000000-0005-0000-0000-0000B6050000}"/>
    <cellStyle name="Normal 22 4 6" xfId="2153" xr:uid="{00000000-0005-0000-0000-0000B7050000}"/>
    <cellStyle name="Normal 22 5" xfId="467" xr:uid="{00000000-0005-0000-0000-0000B8050000}"/>
    <cellStyle name="Normal 22 5 2" xfId="1108" xr:uid="{00000000-0005-0000-0000-0000B9050000}"/>
    <cellStyle name="Normal 22 5 2 2" xfId="3060" xr:uid="{00000000-0005-0000-0000-0000BA050000}"/>
    <cellStyle name="Normal 22 5 3" xfId="1734" xr:uid="{00000000-0005-0000-0000-0000BB050000}"/>
    <cellStyle name="Normal 22 5 3 2" xfId="3685" xr:uid="{00000000-0005-0000-0000-0000BC050000}"/>
    <cellStyle name="Normal 22 5 4" xfId="2425" xr:uid="{00000000-0005-0000-0000-0000BD050000}"/>
    <cellStyle name="Normal 22 6" xfId="266" xr:uid="{00000000-0005-0000-0000-0000BE050000}"/>
    <cellStyle name="Normal 22 6 2" xfId="907" xr:uid="{00000000-0005-0000-0000-0000BF050000}"/>
    <cellStyle name="Normal 22 6 2 2" xfId="2859" xr:uid="{00000000-0005-0000-0000-0000C0050000}"/>
    <cellStyle name="Normal 22 6 3" xfId="1533" xr:uid="{00000000-0005-0000-0000-0000C1050000}"/>
    <cellStyle name="Normal 22 6 3 2" xfId="3484" xr:uid="{00000000-0005-0000-0000-0000C2050000}"/>
    <cellStyle name="Normal 22 6 4" xfId="2224" xr:uid="{00000000-0005-0000-0000-0000C3050000}"/>
    <cellStyle name="Normal 22 7" xfId="704" xr:uid="{00000000-0005-0000-0000-0000C4050000}"/>
    <cellStyle name="Normal 22 7 2" xfId="2656" xr:uid="{00000000-0005-0000-0000-0000C5050000}"/>
    <cellStyle name="Normal 22 8" xfId="1330" xr:uid="{00000000-0005-0000-0000-0000C6050000}"/>
    <cellStyle name="Normal 22 8 2" xfId="3281" xr:uid="{00000000-0005-0000-0000-0000C7050000}"/>
    <cellStyle name="Normal 22 9" xfId="1984" xr:uid="{00000000-0005-0000-0000-0000C8050000}"/>
    <cellStyle name="Normal 22 9 2" xfId="3935" xr:uid="{00000000-0005-0000-0000-0000C9050000}"/>
    <cellStyle name="Normal 23" xfId="62" xr:uid="{00000000-0005-0000-0000-0000CA050000}"/>
    <cellStyle name="Normal 23 10" xfId="2022" xr:uid="{00000000-0005-0000-0000-0000CB050000}"/>
    <cellStyle name="Normal 23 11" xfId="4043" xr:uid="{00000000-0005-0000-0000-0000CC050000}"/>
    <cellStyle name="Normal 23 2" xfId="93" xr:uid="{00000000-0005-0000-0000-0000CD050000}"/>
    <cellStyle name="Normal 23 2 2" xfId="164" xr:uid="{00000000-0005-0000-0000-0000CE050000}"/>
    <cellStyle name="Normal 23 2 2 2" xfId="568" xr:uid="{00000000-0005-0000-0000-0000CF050000}"/>
    <cellStyle name="Normal 23 2 2 2 2" xfId="1209" xr:uid="{00000000-0005-0000-0000-0000D0050000}"/>
    <cellStyle name="Normal 23 2 2 2 2 2" xfId="3161" xr:uid="{00000000-0005-0000-0000-0000D1050000}"/>
    <cellStyle name="Normal 23 2 2 2 3" xfId="1835" xr:uid="{00000000-0005-0000-0000-0000D2050000}"/>
    <cellStyle name="Normal 23 2 2 2 3 2" xfId="3786" xr:uid="{00000000-0005-0000-0000-0000D3050000}"/>
    <cellStyle name="Normal 23 2 2 2 4" xfId="2526" xr:uid="{00000000-0005-0000-0000-0000D4050000}"/>
    <cellStyle name="Normal 23 2 2 3" xfId="367" xr:uid="{00000000-0005-0000-0000-0000D5050000}"/>
    <cellStyle name="Normal 23 2 2 3 2" xfId="1008" xr:uid="{00000000-0005-0000-0000-0000D6050000}"/>
    <cellStyle name="Normal 23 2 2 3 2 2" xfId="2960" xr:uid="{00000000-0005-0000-0000-0000D7050000}"/>
    <cellStyle name="Normal 23 2 2 3 3" xfId="1634" xr:uid="{00000000-0005-0000-0000-0000D8050000}"/>
    <cellStyle name="Normal 23 2 2 3 3 2" xfId="3585" xr:uid="{00000000-0005-0000-0000-0000D9050000}"/>
    <cellStyle name="Normal 23 2 2 3 4" xfId="2325" xr:uid="{00000000-0005-0000-0000-0000DA050000}"/>
    <cellStyle name="Normal 23 2 2 4" xfId="805" xr:uid="{00000000-0005-0000-0000-0000DB050000}"/>
    <cellStyle name="Normal 23 2 2 4 2" xfId="2757" xr:uid="{00000000-0005-0000-0000-0000DC050000}"/>
    <cellStyle name="Normal 23 2 2 5" xfId="1431" xr:uid="{00000000-0005-0000-0000-0000DD050000}"/>
    <cellStyle name="Normal 23 2 2 5 2" xfId="3382" xr:uid="{00000000-0005-0000-0000-0000DE050000}"/>
    <cellStyle name="Normal 23 2 2 6" xfId="2122" xr:uid="{00000000-0005-0000-0000-0000DF050000}"/>
    <cellStyle name="Normal 23 2 3" xfId="498" xr:uid="{00000000-0005-0000-0000-0000E0050000}"/>
    <cellStyle name="Normal 23 2 3 2" xfId="1139" xr:uid="{00000000-0005-0000-0000-0000E1050000}"/>
    <cellStyle name="Normal 23 2 3 2 2" xfId="3091" xr:uid="{00000000-0005-0000-0000-0000E2050000}"/>
    <cellStyle name="Normal 23 2 3 3" xfId="1765" xr:uid="{00000000-0005-0000-0000-0000E3050000}"/>
    <cellStyle name="Normal 23 2 3 3 2" xfId="3716" xr:uid="{00000000-0005-0000-0000-0000E4050000}"/>
    <cellStyle name="Normal 23 2 3 4" xfId="2456" xr:uid="{00000000-0005-0000-0000-0000E5050000}"/>
    <cellStyle name="Normal 23 2 4" xfId="297" xr:uid="{00000000-0005-0000-0000-0000E6050000}"/>
    <cellStyle name="Normal 23 2 4 2" xfId="938" xr:uid="{00000000-0005-0000-0000-0000E7050000}"/>
    <cellStyle name="Normal 23 2 4 2 2" xfId="2890" xr:uid="{00000000-0005-0000-0000-0000E8050000}"/>
    <cellStyle name="Normal 23 2 4 3" xfId="1564" xr:uid="{00000000-0005-0000-0000-0000E9050000}"/>
    <cellStyle name="Normal 23 2 4 3 2" xfId="3515" xr:uid="{00000000-0005-0000-0000-0000EA050000}"/>
    <cellStyle name="Normal 23 2 4 4" xfId="2255" xr:uid="{00000000-0005-0000-0000-0000EB050000}"/>
    <cellStyle name="Normal 23 2 5" xfId="735" xr:uid="{00000000-0005-0000-0000-0000EC050000}"/>
    <cellStyle name="Normal 23 2 5 2" xfId="2687" xr:uid="{00000000-0005-0000-0000-0000ED050000}"/>
    <cellStyle name="Normal 23 2 6" xfId="1361" xr:uid="{00000000-0005-0000-0000-0000EE050000}"/>
    <cellStyle name="Normal 23 2 6 2" xfId="3312" xr:uid="{00000000-0005-0000-0000-0000EF050000}"/>
    <cellStyle name="Normal 23 2 7" xfId="2052" xr:uid="{00000000-0005-0000-0000-0000F0050000}"/>
    <cellStyle name="Normal 23 3" xfId="134" xr:uid="{00000000-0005-0000-0000-0000F1050000}"/>
    <cellStyle name="Normal 23 3 2" xfId="538" xr:uid="{00000000-0005-0000-0000-0000F2050000}"/>
    <cellStyle name="Normal 23 3 2 2" xfId="1179" xr:uid="{00000000-0005-0000-0000-0000F3050000}"/>
    <cellStyle name="Normal 23 3 2 2 2" xfId="3131" xr:uid="{00000000-0005-0000-0000-0000F4050000}"/>
    <cellStyle name="Normal 23 3 2 3" xfId="1805" xr:uid="{00000000-0005-0000-0000-0000F5050000}"/>
    <cellStyle name="Normal 23 3 2 3 2" xfId="3756" xr:uid="{00000000-0005-0000-0000-0000F6050000}"/>
    <cellStyle name="Normal 23 3 2 4" xfId="2496" xr:uid="{00000000-0005-0000-0000-0000F7050000}"/>
    <cellStyle name="Normal 23 3 3" xfId="337" xr:uid="{00000000-0005-0000-0000-0000F8050000}"/>
    <cellStyle name="Normal 23 3 3 2" xfId="978" xr:uid="{00000000-0005-0000-0000-0000F9050000}"/>
    <cellStyle name="Normal 23 3 3 2 2" xfId="2930" xr:uid="{00000000-0005-0000-0000-0000FA050000}"/>
    <cellStyle name="Normal 23 3 3 3" xfId="1604" xr:uid="{00000000-0005-0000-0000-0000FB050000}"/>
    <cellStyle name="Normal 23 3 3 3 2" xfId="3555" xr:uid="{00000000-0005-0000-0000-0000FC050000}"/>
    <cellStyle name="Normal 23 3 3 4" xfId="2295" xr:uid="{00000000-0005-0000-0000-0000FD050000}"/>
    <cellStyle name="Normal 23 3 4" xfId="775" xr:uid="{00000000-0005-0000-0000-0000FE050000}"/>
    <cellStyle name="Normal 23 3 4 2" xfId="2727" xr:uid="{00000000-0005-0000-0000-0000FF050000}"/>
    <cellStyle name="Normal 23 3 5" xfId="1401" xr:uid="{00000000-0005-0000-0000-000000060000}"/>
    <cellStyle name="Normal 23 3 5 2" xfId="3352" xr:uid="{00000000-0005-0000-0000-000001060000}"/>
    <cellStyle name="Normal 23 3 6" xfId="2092" xr:uid="{00000000-0005-0000-0000-000002060000}"/>
    <cellStyle name="Normal 23 4" xfId="196" xr:uid="{00000000-0005-0000-0000-000003060000}"/>
    <cellStyle name="Normal 23 4 2" xfId="600" xr:uid="{00000000-0005-0000-0000-000004060000}"/>
    <cellStyle name="Normal 23 4 2 2" xfId="1241" xr:uid="{00000000-0005-0000-0000-000005060000}"/>
    <cellStyle name="Normal 23 4 2 2 2" xfId="3193" xr:uid="{00000000-0005-0000-0000-000006060000}"/>
    <cellStyle name="Normal 23 4 2 3" xfId="1867" xr:uid="{00000000-0005-0000-0000-000007060000}"/>
    <cellStyle name="Normal 23 4 2 3 2" xfId="3818" xr:uid="{00000000-0005-0000-0000-000008060000}"/>
    <cellStyle name="Normal 23 4 2 4" xfId="2558" xr:uid="{00000000-0005-0000-0000-000009060000}"/>
    <cellStyle name="Normal 23 4 3" xfId="399" xr:uid="{00000000-0005-0000-0000-00000A060000}"/>
    <cellStyle name="Normal 23 4 3 2" xfId="1040" xr:uid="{00000000-0005-0000-0000-00000B060000}"/>
    <cellStyle name="Normal 23 4 3 2 2" xfId="2992" xr:uid="{00000000-0005-0000-0000-00000C060000}"/>
    <cellStyle name="Normal 23 4 3 3" xfId="1666" xr:uid="{00000000-0005-0000-0000-00000D060000}"/>
    <cellStyle name="Normal 23 4 3 3 2" xfId="3617" xr:uid="{00000000-0005-0000-0000-00000E060000}"/>
    <cellStyle name="Normal 23 4 3 4" xfId="2357" xr:uid="{00000000-0005-0000-0000-00000F060000}"/>
    <cellStyle name="Normal 23 4 4" xfId="837" xr:uid="{00000000-0005-0000-0000-000010060000}"/>
    <cellStyle name="Normal 23 4 4 2" xfId="2789" xr:uid="{00000000-0005-0000-0000-000011060000}"/>
    <cellStyle name="Normal 23 4 5" xfId="1463" xr:uid="{00000000-0005-0000-0000-000012060000}"/>
    <cellStyle name="Normal 23 4 5 2" xfId="3414" xr:uid="{00000000-0005-0000-0000-000013060000}"/>
    <cellStyle name="Normal 23 4 6" xfId="2154" xr:uid="{00000000-0005-0000-0000-000014060000}"/>
    <cellStyle name="Normal 23 5" xfId="468" xr:uid="{00000000-0005-0000-0000-000015060000}"/>
    <cellStyle name="Normal 23 5 2" xfId="1109" xr:uid="{00000000-0005-0000-0000-000016060000}"/>
    <cellStyle name="Normal 23 5 2 2" xfId="3061" xr:uid="{00000000-0005-0000-0000-000017060000}"/>
    <cellStyle name="Normal 23 5 3" xfId="1735" xr:uid="{00000000-0005-0000-0000-000018060000}"/>
    <cellStyle name="Normal 23 5 3 2" xfId="3686" xr:uid="{00000000-0005-0000-0000-000019060000}"/>
    <cellStyle name="Normal 23 5 4" xfId="2426" xr:uid="{00000000-0005-0000-0000-00001A060000}"/>
    <cellStyle name="Normal 23 6" xfId="267" xr:uid="{00000000-0005-0000-0000-00001B060000}"/>
    <cellStyle name="Normal 23 6 2" xfId="908" xr:uid="{00000000-0005-0000-0000-00001C060000}"/>
    <cellStyle name="Normal 23 6 2 2" xfId="2860" xr:uid="{00000000-0005-0000-0000-00001D060000}"/>
    <cellStyle name="Normal 23 6 3" xfId="1534" xr:uid="{00000000-0005-0000-0000-00001E060000}"/>
    <cellStyle name="Normal 23 6 3 2" xfId="3485" xr:uid="{00000000-0005-0000-0000-00001F060000}"/>
    <cellStyle name="Normal 23 6 4" xfId="2225" xr:uid="{00000000-0005-0000-0000-000020060000}"/>
    <cellStyle name="Normal 23 7" xfId="705" xr:uid="{00000000-0005-0000-0000-000021060000}"/>
    <cellStyle name="Normal 23 7 2" xfId="2657" xr:uid="{00000000-0005-0000-0000-000022060000}"/>
    <cellStyle name="Normal 23 8" xfId="1331" xr:uid="{00000000-0005-0000-0000-000023060000}"/>
    <cellStyle name="Normal 23 8 2" xfId="3282" xr:uid="{00000000-0005-0000-0000-000024060000}"/>
    <cellStyle name="Normal 23 9" xfId="1976" xr:uid="{00000000-0005-0000-0000-000025060000}"/>
    <cellStyle name="Normal 23 9 2" xfId="3927" xr:uid="{00000000-0005-0000-0000-000026060000}"/>
    <cellStyle name="Normal 24" xfId="65" xr:uid="{00000000-0005-0000-0000-000027060000}"/>
    <cellStyle name="Normal 24 10" xfId="4073" xr:uid="{00000000-0005-0000-0000-000028060000}"/>
    <cellStyle name="Normal 24 2" xfId="96" xr:uid="{00000000-0005-0000-0000-000029060000}"/>
    <cellStyle name="Normal 24 2 2" xfId="167" xr:uid="{00000000-0005-0000-0000-00002A060000}"/>
    <cellStyle name="Normal 24 2 2 2" xfId="571" xr:uid="{00000000-0005-0000-0000-00002B060000}"/>
    <cellStyle name="Normal 24 2 2 2 2" xfId="1212" xr:uid="{00000000-0005-0000-0000-00002C060000}"/>
    <cellStyle name="Normal 24 2 2 2 2 2" xfId="3164" xr:uid="{00000000-0005-0000-0000-00002D060000}"/>
    <cellStyle name="Normal 24 2 2 2 3" xfId="1838" xr:uid="{00000000-0005-0000-0000-00002E060000}"/>
    <cellStyle name="Normal 24 2 2 2 3 2" xfId="3789" xr:uid="{00000000-0005-0000-0000-00002F060000}"/>
    <cellStyle name="Normal 24 2 2 2 4" xfId="2529" xr:uid="{00000000-0005-0000-0000-000030060000}"/>
    <cellStyle name="Normal 24 2 2 3" xfId="370" xr:uid="{00000000-0005-0000-0000-000031060000}"/>
    <cellStyle name="Normal 24 2 2 3 2" xfId="1011" xr:uid="{00000000-0005-0000-0000-000032060000}"/>
    <cellStyle name="Normal 24 2 2 3 2 2" xfId="2963" xr:uid="{00000000-0005-0000-0000-000033060000}"/>
    <cellStyle name="Normal 24 2 2 3 3" xfId="1637" xr:uid="{00000000-0005-0000-0000-000034060000}"/>
    <cellStyle name="Normal 24 2 2 3 3 2" xfId="3588" xr:uid="{00000000-0005-0000-0000-000035060000}"/>
    <cellStyle name="Normal 24 2 2 3 4" xfId="2328" xr:uid="{00000000-0005-0000-0000-000036060000}"/>
    <cellStyle name="Normal 24 2 2 4" xfId="808" xr:uid="{00000000-0005-0000-0000-000037060000}"/>
    <cellStyle name="Normal 24 2 2 4 2" xfId="2760" xr:uid="{00000000-0005-0000-0000-000038060000}"/>
    <cellStyle name="Normal 24 2 2 5" xfId="1434" xr:uid="{00000000-0005-0000-0000-000039060000}"/>
    <cellStyle name="Normal 24 2 2 5 2" xfId="3385" xr:uid="{00000000-0005-0000-0000-00003A060000}"/>
    <cellStyle name="Normal 24 2 2 6" xfId="2125" xr:uid="{00000000-0005-0000-0000-00003B060000}"/>
    <cellStyle name="Normal 24 2 3" xfId="501" xr:uid="{00000000-0005-0000-0000-00003C060000}"/>
    <cellStyle name="Normal 24 2 3 2" xfId="1142" xr:uid="{00000000-0005-0000-0000-00003D060000}"/>
    <cellStyle name="Normal 24 2 3 2 2" xfId="3094" xr:uid="{00000000-0005-0000-0000-00003E060000}"/>
    <cellStyle name="Normal 24 2 3 3" xfId="1768" xr:uid="{00000000-0005-0000-0000-00003F060000}"/>
    <cellStyle name="Normal 24 2 3 3 2" xfId="3719" xr:uid="{00000000-0005-0000-0000-000040060000}"/>
    <cellStyle name="Normal 24 2 3 4" xfId="2459" xr:uid="{00000000-0005-0000-0000-000041060000}"/>
    <cellStyle name="Normal 24 2 4" xfId="300" xr:uid="{00000000-0005-0000-0000-000042060000}"/>
    <cellStyle name="Normal 24 2 4 2" xfId="941" xr:uid="{00000000-0005-0000-0000-000043060000}"/>
    <cellStyle name="Normal 24 2 4 2 2" xfId="2893" xr:uid="{00000000-0005-0000-0000-000044060000}"/>
    <cellStyle name="Normal 24 2 4 3" xfId="1567" xr:uid="{00000000-0005-0000-0000-000045060000}"/>
    <cellStyle name="Normal 24 2 4 3 2" xfId="3518" xr:uid="{00000000-0005-0000-0000-000046060000}"/>
    <cellStyle name="Normal 24 2 4 4" xfId="2258" xr:uid="{00000000-0005-0000-0000-000047060000}"/>
    <cellStyle name="Normal 24 2 5" xfId="738" xr:uid="{00000000-0005-0000-0000-000048060000}"/>
    <cellStyle name="Normal 24 2 5 2" xfId="2690" xr:uid="{00000000-0005-0000-0000-000049060000}"/>
    <cellStyle name="Normal 24 2 6" xfId="1364" xr:uid="{00000000-0005-0000-0000-00004A060000}"/>
    <cellStyle name="Normal 24 2 6 2" xfId="3315" xr:uid="{00000000-0005-0000-0000-00004B060000}"/>
    <cellStyle name="Normal 24 2 7" xfId="2055" xr:uid="{00000000-0005-0000-0000-00004C060000}"/>
    <cellStyle name="Normal 24 3" xfId="137" xr:uid="{00000000-0005-0000-0000-00004D060000}"/>
    <cellStyle name="Normal 24 3 2" xfId="541" xr:uid="{00000000-0005-0000-0000-00004E060000}"/>
    <cellStyle name="Normal 24 3 2 2" xfId="1182" xr:uid="{00000000-0005-0000-0000-00004F060000}"/>
    <cellStyle name="Normal 24 3 2 2 2" xfId="3134" xr:uid="{00000000-0005-0000-0000-000050060000}"/>
    <cellStyle name="Normal 24 3 2 3" xfId="1808" xr:uid="{00000000-0005-0000-0000-000051060000}"/>
    <cellStyle name="Normal 24 3 2 3 2" xfId="3759" xr:uid="{00000000-0005-0000-0000-000052060000}"/>
    <cellStyle name="Normal 24 3 2 4" xfId="2499" xr:uid="{00000000-0005-0000-0000-000053060000}"/>
    <cellStyle name="Normal 24 3 3" xfId="340" xr:uid="{00000000-0005-0000-0000-000054060000}"/>
    <cellStyle name="Normal 24 3 3 2" xfId="981" xr:uid="{00000000-0005-0000-0000-000055060000}"/>
    <cellStyle name="Normal 24 3 3 2 2" xfId="2933" xr:uid="{00000000-0005-0000-0000-000056060000}"/>
    <cellStyle name="Normal 24 3 3 3" xfId="1607" xr:uid="{00000000-0005-0000-0000-000057060000}"/>
    <cellStyle name="Normal 24 3 3 3 2" xfId="3558" xr:uid="{00000000-0005-0000-0000-000058060000}"/>
    <cellStyle name="Normal 24 3 3 4" xfId="2298" xr:uid="{00000000-0005-0000-0000-000059060000}"/>
    <cellStyle name="Normal 24 3 4" xfId="778" xr:uid="{00000000-0005-0000-0000-00005A060000}"/>
    <cellStyle name="Normal 24 3 4 2" xfId="2730" xr:uid="{00000000-0005-0000-0000-00005B060000}"/>
    <cellStyle name="Normal 24 3 5" xfId="1404" xr:uid="{00000000-0005-0000-0000-00005C060000}"/>
    <cellStyle name="Normal 24 3 5 2" xfId="3355" xr:uid="{00000000-0005-0000-0000-00005D060000}"/>
    <cellStyle name="Normal 24 3 6" xfId="2095" xr:uid="{00000000-0005-0000-0000-00005E060000}"/>
    <cellStyle name="Normal 24 4" xfId="199" xr:uid="{00000000-0005-0000-0000-00005F060000}"/>
    <cellStyle name="Normal 24 4 2" xfId="603" xr:uid="{00000000-0005-0000-0000-000060060000}"/>
    <cellStyle name="Normal 24 4 2 2" xfId="1244" xr:uid="{00000000-0005-0000-0000-000061060000}"/>
    <cellStyle name="Normal 24 4 2 2 2" xfId="3196" xr:uid="{00000000-0005-0000-0000-000062060000}"/>
    <cellStyle name="Normal 24 4 2 3" xfId="1870" xr:uid="{00000000-0005-0000-0000-000063060000}"/>
    <cellStyle name="Normal 24 4 2 3 2" xfId="3821" xr:uid="{00000000-0005-0000-0000-000064060000}"/>
    <cellStyle name="Normal 24 4 2 4" xfId="2561" xr:uid="{00000000-0005-0000-0000-000065060000}"/>
    <cellStyle name="Normal 24 4 3" xfId="402" xr:uid="{00000000-0005-0000-0000-000066060000}"/>
    <cellStyle name="Normal 24 4 3 2" xfId="1043" xr:uid="{00000000-0005-0000-0000-000067060000}"/>
    <cellStyle name="Normal 24 4 3 2 2" xfId="2995" xr:uid="{00000000-0005-0000-0000-000068060000}"/>
    <cellStyle name="Normal 24 4 3 3" xfId="1669" xr:uid="{00000000-0005-0000-0000-000069060000}"/>
    <cellStyle name="Normal 24 4 3 3 2" xfId="3620" xr:uid="{00000000-0005-0000-0000-00006A060000}"/>
    <cellStyle name="Normal 24 4 3 4" xfId="2360" xr:uid="{00000000-0005-0000-0000-00006B060000}"/>
    <cellStyle name="Normal 24 4 4" xfId="840" xr:uid="{00000000-0005-0000-0000-00006C060000}"/>
    <cellStyle name="Normal 24 4 4 2" xfId="2792" xr:uid="{00000000-0005-0000-0000-00006D060000}"/>
    <cellStyle name="Normal 24 4 5" xfId="1466" xr:uid="{00000000-0005-0000-0000-00006E060000}"/>
    <cellStyle name="Normal 24 4 5 2" xfId="3417" xr:uid="{00000000-0005-0000-0000-00006F060000}"/>
    <cellStyle name="Normal 24 4 6" xfId="2157" xr:uid="{00000000-0005-0000-0000-000070060000}"/>
    <cellStyle name="Normal 24 5" xfId="471" xr:uid="{00000000-0005-0000-0000-000071060000}"/>
    <cellStyle name="Normal 24 5 2" xfId="1112" xr:uid="{00000000-0005-0000-0000-000072060000}"/>
    <cellStyle name="Normal 24 5 2 2" xfId="3064" xr:uid="{00000000-0005-0000-0000-000073060000}"/>
    <cellStyle name="Normal 24 5 3" xfId="1738" xr:uid="{00000000-0005-0000-0000-000074060000}"/>
    <cellStyle name="Normal 24 5 3 2" xfId="3689" xr:uid="{00000000-0005-0000-0000-000075060000}"/>
    <cellStyle name="Normal 24 5 4" xfId="2429" xr:uid="{00000000-0005-0000-0000-000076060000}"/>
    <cellStyle name="Normal 24 6" xfId="270" xr:uid="{00000000-0005-0000-0000-000077060000}"/>
    <cellStyle name="Normal 24 6 2" xfId="911" xr:uid="{00000000-0005-0000-0000-000078060000}"/>
    <cellStyle name="Normal 24 6 2 2" xfId="2863" xr:uid="{00000000-0005-0000-0000-000079060000}"/>
    <cellStyle name="Normal 24 6 3" xfId="1537" xr:uid="{00000000-0005-0000-0000-00007A060000}"/>
    <cellStyle name="Normal 24 6 3 2" xfId="3488" xr:uid="{00000000-0005-0000-0000-00007B060000}"/>
    <cellStyle name="Normal 24 6 4" xfId="2228" xr:uid="{00000000-0005-0000-0000-00007C060000}"/>
    <cellStyle name="Normal 24 7" xfId="708" xr:uid="{00000000-0005-0000-0000-00007D060000}"/>
    <cellStyle name="Normal 24 7 2" xfId="2660" xr:uid="{00000000-0005-0000-0000-00007E060000}"/>
    <cellStyle name="Normal 24 8" xfId="1334" xr:uid="{00000000-0005-0000-0000-00007F060000}"/>
    <cellStyle name="Normal 24 8 2" xfId="3285" xr:uid="{00000000-0005-0000-0000-000080060000}"/>
    <cellStyle name="Normal 24 9" xfId="2025" xr:uid="{00000000-0005-0000-0000-000081060000}"/>
    <cellStyle name="Normal 25" xfId="66" xr:uid="{00000000-0005-0000-0000-000082060000}"/>
    <cellStyle name="Normal 25 10" xfId="4074" xr:uid="{00000000-0005-0000-0000-000083060000}"/>
    <cellStyle name="Normal 25 2" xfId="97" xr:uid="{00000000-0005-0000-0000-000084060000}"/>
    <cellStyle name="Normal 25 2 2" xfId="168" xr:uid="{00000000-0005-0000-0000-000085060000}"/>
    <cellStyle name="Normal 25 2 2 2" xfId="572" xr:uid="{00000000-0005-0000-0000-000086060000}"/>
    <cellStyle name="Normal 25 2 2 2 2" xfId="1213" xr:uid="{00000000-0005-0000-0000-000087060000}"/>
    <cellStyle name="Normal 25 2 2 2 2 2" xfId="3165" xr:uid="{00000000-0005-0000-0000-000088060000}"/>
    <cellStyle name="Normal 25 2 2 2 3" xfId="1839" xr:uid="{00000000-0005-0000-0000-000089060000}"/>
    <cellStyle name="Normal 25 2 2 2 3 2" xfId="3790" xr:uid="{00000000-0005-0000-0000-00008A060000}"/>
    <cellStyle name="Normal 25 2 2 2 4" xfId="2530" xr:uid="{00000000-0005-0000-0000-00008B060000}"/>
    <cellStyle name="Normal 25 2 2 3" xfId="371" xr:uid="{00000000-0005-0000-0000-00008C060000}"/>
    <cellStyle name="Normal 25 2 2 3 2" xfId="1012" xr:uid="{00000000-0005-0000-0000-00008D060000}"/>
    <cellStyle name="Normal 25 2 2 3 2 2" xfId="2964" xr:uid="{00000000-0005-0000-0000-00008E060000}"/>
    <cellStyle name="Normal 25 2 2 3 3" xfId="1638" xr:uid="{00000000-0005-0000-0000-00008F060000}"/>
    <cellStyle name="Normal 25 2 2 3 3 2" xfId="3589" xr:uid="{00000000-0005-0000-0000-000090060000}"/>
    <cellStyle name="Normal 25 2 2 3 4" xfId="2329" xr:uid="{00000000-0005-0000-0000-000091060000}"/>
    <cellStyle name="Normal 25 2 2 4" xfId="809" xr:uid="{00000000-0005-0000-0000-000092060000}"/>
    <cellStyle name="Normal 25 2 2 4 2" xfId="2761" xr:uid="{00000000-0005-0000-0000-000093060000}"/>
    <cellStyle name="Normal 25 2 2 5" xfId="1435" xr:uid="{00000000-0005-0000-0000-000094060000}"/>
    <cellStyle name="Normal 25 2 2 5 2" xfId="3386" xr:uid="{00000000-0005-0000-0000-000095060000}"/>
    <cellStyle name="Normal 25 2 2 6" xfId="2126" xr:uid="{00000000-0005-0000-0000-000096060000}"/>
    <cellStyle name="Normal 25 2 3" xfId="502" xr:uid="{00000000-0005-0000-0000-000097060000}"/>
    <cellStyle name="Normal 25 2 3 2" xfId="1143" xr:uid="{00000000-0005-0000-0000-000098060000}"/>
    <cellStyle name="Normal 25 2 3 2 2" xfId="3095" xr:uid="{00000000-0005-0000-0000-000099060000}"/>
    <cellStyle name="Normal 25 2 3 3" xfId="1769" xr:uid="{00000000-0005-0000-0000-00009A060000}"/>
    <cellStyle name="Normal 25 2 3 3 2" xfId="3720" xr:uid="{00000000-0005-0000-0000-00009B060000}"/>
    <cellStyle name="Normal 25 2 3 4" xfId="2460" xr:uid="{00000000-0005-0000-0000-00009C060000}"/>
    <cellStyle name="Normal 25 2 4" xfId="301" xr:uid="{00000000-0005-0000-0000-00009D060000}"/>
    <cellStyle name="Normal 25 2 4 2" xfId="942" xr:uid="{00000000-0005-0000-0000-00009E060000}"/>
    <cellStyle name="Normal 25 2 4 2 2" xfId="2894" xr:uid="{00000000-0005-0000-0000-00009F060000}"/>
    <cellStyle name="Normal 25 2 4 3" xfId="1568" xr:uid="{00000000-0005-0000-0000-0000A0060000}"/>
    <cellStyle name="Normal 25 2 4 3 2" xfId="3519" xr:uid="{00000000-0005-0000-0000-0000A1060000}"/>
    <cellStyle name="Normal 25 2 4 4" xfId="2259" xr:uid="{00000000-0005-0000-0000-0000A2060000}"/>
    <cellStyle name="Normal 25 2 5" xfId="739" xr:uid="{00000000-0005-0000-0000-0000A3060000}"/>
    <cellStyle name="Normal 25 2 5 2" xfId="2691" xr:uid="{00000000-0005-0000-0000-0000A4060000}"/>
    <cellStyle name="Normal 25 2 6" xfId="1365" xr:uid="{00000000-0005-0000-0000-0000A5060000}"/>
    <cellStyle name="Normal 25 2 6 2" xfId="3316" xr:uid="{00000000-0005-0000-0000-0000A6060000}"/>
    <cellStyle name="Normal 25 2 7" xfId="2056" xr:uid="{00000000-0005-0000-0000-0000A7060000}"/>
    <cellStyle name="Normal 25 3" xfId="138" xr:uid="{00000000-0005-0000-0000-0000A8060000}"/>
    <cellStyle name="Normal 25 3 2" xfId="542" xr:uid="{00000000-0005-0000-0000-0000A9060000}"/>
    <cellStyle name="Normal 25 3 2 2" xfId="1183" xr:uid="{00000000-0005-0000-0000-0000AA060000}"/>
    <cellStyle name="Normal 25 3 2 2 2" xfId="3135" xr:uid="{00000000-0005-0000-0000-0000AB060000}"/>
    <cellStyle name="Normal 25 3 2 3" xfId="1809" xr:uid="{00000000-0005-0000-0000-0000AC060000}"/>
    <cellStyle name="Normal 25 3 2 3 2" xfId="3760" xr:uid="{00000000-0005-0000-0000-0000AD060000}"/>
    <cellStyle name="Normal 25 3 2 4" xfId="2500" xr:uid="{00000000-0005-0000-0000-0000AE060000}"/>
    <cellStyle name="Normal 25 3 3" xfId="341" xr:uid="{00000000-0005-0000-0000-0000AF060000}"/>
    <cellStyle name="Normal 25 3 3 2" xfId="982" xr:uid="{00000000-0005-0000-0000-0000B0060000}"/>
    <cellStyle name="Normal 25 3 3 2 2" xfId="2934" xr:uid="{00000000-0005-0000-0000-0000B1060000}"/>
    <cellStyle name="Normal 25 3 3 3" xfId="1608" xr:uid="{00000000-0005-0000-0000-0000B2060000}"/>
    <cellStyle name="Normal 25 3 3 3 2" xfId="3559" xr:uid="{00000000-0005-0000-0000-0000B3060000}"/>
    <cellStyle name="Normal 25 3 3 4" xfId="2299" xr:uid="{00000000-0005-0000-0000-0000B4060000}"/>
    <cellStyle name="Normal 25 3 4" xfId="779" xr:uid="{00000000-0005-0000-0000-0000B5060000}"/>
    <cellStyle name="Normal 25 3 4 2" xfId="2731" xr:uid="{00000000-0005-0000-0000-0000B6060000}"/>
    <cellStyle name="Normal 25 3 5" xfId="1405" xr:uid="{00000000-0005-0000-0000-0000B7060000}"/>
    <cellStyle name="Normal 25 3 5 2" xfId="3356" xr:uid="{00000000-0005-0000-0000-0000B8060000}"/>
    <cellStyle name="Normal 25 3 6" xfId="2096" xr:uid="{00000000-0005-0000-0000-0000B9060000}"/>
    <cellStyle name="Normal 25 4" xfId="200" xr:uid="{00000000-0005-0000-0000-0000BA060000}"/>
    <cellStyle name="Normal 25 4 2" xfId="604" xr:uid="{00000000-0005-0000-0000-0000BB060000}"/>
    <cellStyle name="Normal 25 4 2 2" xfId="1245" xr:uid="{00000000-0005-0000-0000-0000BC060000}"/>
    <cellStyle name="Normal 25 4 2 2 2" xfId="3197" xr:uid="{00000000-0005-0000-0000-0000BD060000}"/>
    <cellStyle name="Normal 25 4 2 3" xfId="1871" xr:uid="{00000000-0005-0000-0000-0000BE060000}"/>
    <cellStyle name="Normal 25 4 2 3 2" xfId="3822" xr:uid="{00000000-0005-0000-0000-0000BF060000}"/>
    <cellStyle name="Normal 25 4 2 4" xfId="2562" xr:uid="{00000000-0005-0000-0000-0000C0060000}"/>
    <cellStyle name="Normal 25 4 3" xfId="403" xr:uid="{00000000-0005-0000-0000-0000C1060000}"/>
    <cellStyle name="Normal 25 4 3 2" xfId="1044" xr:uid="{00000000-0005-0000-0000-0000C2060000}"/>
    <cellStyle name="Normal 25 4 3 2 2" xfId="2996" xr:uid="{00000000-0005-0000-0000-0000C3060000}"/>
    <cellStyle name="Normal 25 4 3 3" xfId="1670" xr:uid="{00000000-0005-0000-0000-0000C4060000}"/>
    <cellStyle name="Normal 25 4 3 3 2" xfId="3621" xr:uid="{00000000-0005-0000-0000-0000C5060000}"/>
    <cellStyle name="Normal 25 4 3 4" xfId="2361" xr:uid="{00000000-0005-0000-0000-0000C6060000}"/>
    <cellStyle name="Normal 25 4 4" xfId="841" xr:uid="{00000000-0005-0000-0000-0000C7060000}"/>
    <cellStyle name="Normal 25 4 4 2" xfId="2793" xr:uid="{00000000-0005-0000-0000-0000C8060000}"/>
    <cellStyle name="Normal 25 4 5" xfId="1467" xr:uid="{00000000-0005-0000-0000-0000C9060000}"/>
    <cellStyle name="Normal 25 4 5 2" xfId="3418" xr:uid="{00000000-0005-0000-0000-0000CA060000}"/>
    <cellStyle name="Normal 25 4 6" xfId="2158" xr:uid="{00000000-0005-0000-0000-0000CB060000}"/>
    <cellStyle name="Normal 25 5" xfId="472" xr:uid="{00000000-0005-0000-0000-0000CC060000}"/>
    <cellStyle name="Normal 25 5 2" xfId="1113" xr:uid="{00000000-0005-0000-0000-0000CD060000}"/>
    <cellStyle name="Normal 25 5 2 2" xfId="3065" xr:uid="{00000000-0005-0000-0000-0000CE060000}"/>
    <cellStyle name="Normal 25 5 3" xfId="1739" xr:uid="{00000000-0005-0000-0000-0000CF060000}"/>
    <cellStyle name="Normal 25 5 3 2" xfId="3690" xr:uid="{00000000-0005-0000-0000-0000D0060000}"/>
    <cellStyle name="Normal 25 5 4" xfId="2430" xr:uid="{00000000-0005-0000-0000-0000D1060000}"/>
    <cellStyle name="Normal 25 6" xfId="271" xr:uid="{00000000-0005-0000-0000-0000D2060000}"/>
    <cellStyle name="Normal 25 6 2" xfId="912" xr:uid="{00000000-0005-0000-0000-0000D3060000}"/>
    <cellStyle name="Normal 25 6 2 2" xfId="2864" xr:uid="{00000000-0005-0000-0000-0000D4060000}"/>
    <cellStyle name="Normal 25 6 3" xfId="1538" xr:uid="{00000000-0005-0000-0000-0000D5060000}"/>
    <cellStyle name="Normal 25 6 3 2" xfId="3489" xr:uid="{00000000-0005-0000-0000-0000D6060000}"/>
    <cellStyle name="Normal 25 6 4" xfId="2229" xr:uid="{00000000-0005-0000-0000-0000D7060000}"/>
    <cellStyle name="Normal 25 7" xfId="709" xr:uid="{00000000-0005-0000-0000-0000D8060000}"/>
    <cellStyle name="Normal 25 7 2" xfId="2661" xr:uid="{00000000-0005-0000-0000-0000D9060000}"/>
    <cellStyle name="Normal 25 8" xfId="1335" xr:uid="{00000000-0005-0000-0000-0000DA060000}"/>
    <cellStyle name="Normal 25 8 2" xfId="3286" xr:uid="{00000000-0005-0000-0000-0000DB060000}"/>
    <cellStyle name="Normal 25 9" xfId="2026" xr:uid="{00000000-0005-0000-0000-0000DC060000}"/>
    <cellStyle name="Normal 26" xfId="67" xr:uid="{00000000-0005-0000-0000-0000DD060000}"/>
    <cellStyle name="Normal 26 10" xfId="4075" xr:uid="{00000000-0005-0000-0000-0000DE060000}"/>
    <cellStyle name="Normal 26 2" xfId="98" xr:uid="{00000000-0005-0000-0000-0000DF060000}"/>
    <cellStyle name="Normal 26 2 2" xfId="169" xr:uid="{00000000-0005-0000-0000-0000E0060000}"/>
    <cellStyle name="Normal 26 2 2 2" xfId="573" xr:uid="{00000000-0005-0000-0000-0000E1060000}"/>
    <cellStyle name="Normal 26 2 2 2 2" xfId="1214" xr:uid="{00000000-0005-0000-0000-0000E2060000}"/>
    <cellStyle name="Normal 26 2 2 2 2 2" xfId="3166" xr:uid="{00000000-0005-0000-0000-0000E3060000}"/>
    <cellStyle name="Normal 26 2 2 2 3" xfId="1840" xr:uid="{00000000-0005-0000-0000-0000E4060000}"/>
    <cellStyle name="Normal 26 2 2 2 3 2" xfId="3791" xr:uid="{00000000-0005-0000-0000-0000E5060000}"/>
    <cellStyle name="Normal 26 2 2 2 4" xfId="2531" xr:uid="{00000000-0005-0000-0000-0000E6060000}"/>
    <cellStyle name="Normal 26 2 2 3" xfId="372" xr:uid="{00000000-0005-0000-0000-0000E7060000}"/>
    <cellStyle name="Normal 26 2 2 3 2" xfId="1013" xr:uid="{00000000-0005-0000-0000-0000E8060000}"/>
    <cellStyle name="Normal 26 2 2 3 2 2" xfId="2965" xr:uid="{00000000-0005-0000-0000-0000E9060000}"/>
    <cellStyle name="Normal 26 2 2 3 3" xfId="1639" xr:uid="{00000000-0005-0000-0000-0000EA060000}"/>
    <cellStyle name="Normal 26 2 2 3 3 2" xfId="3590" xr:uid="{00000000-0005-0000-0000-0000EB060000}"/>
    <cellStyle name="Normal 26 2 2 3 4" xfId="2330" xr:uid="{00000000-0005-0000-0000-0000EC060000}"/>
    <cellStyle name="Normal 26 2 2 4" xfId="810" xr:uid="{00000000-0005-0000-0000-0000ED060000}"/>
    <cellStyle name="Normal 26 2 2 4 2" xfId="2762" xr:uid="{00000000-0005-0000-0000-0000EE060000}"/>
    <cellStyle name="Normal 26 2 2 5" xfId="1436" xr:uid="{00000000-0005-0000-0000-0000EF060000}"/>
    <cellStyle name="Normal 26 2 2 5 2" xfId="3387" xr:uid="{00000000-0005-0000-0000-0000F0060000}"/>
    <cellStyle name="Normal 26 2 2 6" xfId="2127" xr:uid="{00000000-0005-0000-0000-0000F1060000}"/>
    <cellStyle name="Normal 26 2 3" xfId="503" xr:uid="{00000000-0005-0000-0000-0000F2060000}"/>
    <cellStyle name="Normal 26 2 3 2" xfId="1144" xr:uid="{00000000-0005-0000-0000-0000F3060000}"/>
    <cellStyle name="Normal 26 2 3 2 2" xfId="3096" xr:uid="{00000000-0005-0000-0000-0000F4060000}"/>
    <cellStyle name="Normal 26 2 3 3" xfId="1770" xr:uid="{00000000-0005-0000-0000-0000F5060000}"/>
    <cellStyle name="Normal 26 2 3 3 2" xfId="3721" xr:uid="{00000000-0005-0000-0000-0000F6060000}"/>
    <cellStyle name="Normal 26 2 3 4" xfId="2461" xr:uid="{00000000-0005-0000-0000-0000F7060000}"/>
    <cellStyle name="Normal 26 2 4" xfId="302" xr:uid="{00000000-0005-0000-0000-0000F8060000}"/>
    <cellStyle name="Normal 26 2 4 2" xfId="943" xr:uid="{00000000-0005-0000-0000-0000F9060000}"/>
    <cellStyle name="Normal 26 2 4 2 2" xfId="2895" xr:uid="{00000000-0005-0000-0000-0000FA060000}"/>
    <cellStyle name="Normal 26 2 4 3" xfId="1569" xr:uid="{00000000-0005-0000-0000-0000FB060000}"/>
    <cellStyle name="Normal 26 2 4 3 2" xfId="3520" xr:uid="{00000000-0005-0000-0000-0000FC060000}"/>
    <cellStyle name="Normal 26 2 4 4" xfId="2260" xr:uid="{00000000-0005-0000-0000-0000FD060000}"/>
    <cellStyle name="Normal 26 2 5" xfId="740" xr:uid="{00000000-0005-0000-0000-0000FE060000}"/>
    <cellStyle name="Normal 26 2 5 2" xfId="2692" xr:uid="{00000000-0005-0000-0000-0000FF060000}"/>
    <cellStyle name="Normal 26 2 6" xfId="1366" xr:uid="{00000000-0005-0000-0000-000000070000}"/>
    <cellStyle name="Normal 26 2 6 2" xfId="3317" xr:uid="{00000000-0005-0000-0000-000001070000}"/>
    <cellStyle name="Normal 26 2 7" xfId="2057" xr:uid="{00000000-0005-0000-0000-000002070000}"/>
    <cellStyle name="Normal 26 3" xfId="139" xr:uid="{00000000-0005-0000-0000-000003070000}"/>
    <cellStyle name="Normal 26 3 2" xfId="543" xr:uid="{00000000-0005-0000-0000-000004070000}"/>
    <cellStyle name="Normal 26 3 2 2" xfId="1184" xr:uid="{00000000-0005-0000-0000-000005070000}"/>
    <cellStyle name="Normal 26 3 2 2 2" xfId="3136" xr:uid="{00000000-0005-0000-0000-000006070000}"/>
    <cellStyle name="Normal 26 3 2 3" xfId="1810" xr:uid="{00000000-0005-0000-0000-000007070000}"/>
    <cellStyle name="Normal 26 3 2 3 2" xfId="3761" xr:uid="{00000000-0005-0000-0000-000008070000}"/>
    <cellStyle name="Normal 26 3 2 4" xfId="2501" xr:uid="{00000000-0005-0000-0000-000009070000}"/>
    <cellStyle name="Normal 26 3 3" xfId="342" xr:uid="{00000000-0005-0000-0000-00000A070000}"/>
    <cellStyle name="Normal 26 3 3 2" xfId="983" xr:uid="{00000000-0005-0000-0000-00000B070000}"/>
    <cellStyle name="Normal 26 3 3 2 2" xfId="2935" xr:uid="{00000000-0005-0000-0000-00000C070000}"/>
    <cellStyle name="Normal 26 3 3 3" xfId="1609" xr:uid="{00000000-0005-0000-0000-00000D070000}"/>
    <cellStyle name="Normal 26 3 3 3 2" xfId="3560" xr:uid="{00000000-0005-0000-0000-00000E070000}"/>
    <cellStyle name="Normal 26 3 3 4" xfId="2300" xr:uid="{00000000-0005-0000-0000-00000F070000}"/>
    <cellStyle name="Normal 26 3 4" xfId="780" xr:uid="{00000000-0005-0000-0000-000010070000}"/>
    <cellStyle name="Normal 26 3 4 2" xfId="2732" xr:uid="{00000000-0005-0000-0000-000011070000}"/>
    <cellStyle name="Normal 26 3 5" xfId="1406" xr:uid="{00000000-0005-0000-0000-000012070000}"/>
    <cellStyle name="Normal 26 3 5 2" xfId="3357" xr:uid="{00000000-0005-0000-0000-000013070000}"/>
    <cellStyle name="Normal 26 3 6" xfId="2097" xr:uid="{00000000-0005-0000-0000-000014070000}"/>
    <cellStyle name="Normal 26 4" xfId="201" xr:uid="{00000000-0005-0000-0000-000015070000}"/>
    <cellStyle name="Normal 26 4 2" xfId="605" xr:uid="{00000000-0005-0000-0000-000016070000}"/>
    <cellStyle name="Normal 26 4 2 2" xfId="1246" xr:uid="{00000000-0005-0000-0000-000017070000}"/>
    <cellStyle name="Normal 26 4 2 2 2" xfId="3198" xr:uid="{00000000-0005-0000-0000-000018070000}"/>
    <cellStyle name="Normal 26 4 2 3" xfId="1872" xr:uid="{00000000-0005-0000-0000-000019070000}"/>
    <cellStyle name="Normal 26 4 2 3 2" xfId="3823" xr:uid="{00000000-0005-0000-0000-00001A070000}"/>
    <cellStyle name="Normal 26 4 2 4" xfId="2563" xr:uid="{00000000-0005-0000-0000-00001B070000}"/>
    <cellStyle name="Normal 26 4 3" xfId="404" xr:uid="{00000000-0005-0000-0000-00001C070000}"/>
    <cellStyle name="Normal 26 4 3 2" xfId="1045" xr:uid="{00000000-0005-0000-0000-00001D070000}"/>
    <cellStyle name="Normal 26 4 3 2 2" xfId="2997" xr:uid="{00000000-0005-0000-0000-00001E070000}"/>
    <cellStyle name="Normal 26 4 3 3" xfId="1671" xr:uid="{00000000-0005-0000-0000-00001F070000}"/>
    <cellStyle name="Normal 26 4 3 3 2" xfId="3622" xr:uid="{00000000-0005-0000-0000-000020070000}"/>
    <cellStyle name="Normal 26 4 3 4" xfId="2362" xr:uid="{00000000-0005-0000-0000-000021070000}"/>
    <cellStyle name="Normal 26 4 4" xfId="842" xr:uid="{00000000-0005-0000-0000-000022070000}"/>
    <cellStyle name="Normal 26 4 4 2" xfId="2794" xr:uid="{00000000-0005-0000-0000-000023070000}"/>
    <cellStyle name="Normal 26 4 5" xfId="1468" xr:uid="{00000000-0005-0000-0000-000024070000}"/>
    <cellStyle name="Normal 26 4 5 2" xfId="3419" xr:uid="{00000000-0005-0000-0000-000025070000}"/>
    <cellStyle name="Normal 26 4 6" xfId="2159" xr:uid="{00000000-0005-0000-0000-000026070000}"/>
    <cellStyle name="Normal 26 5" xfId="473" xr:uid="{00000000-0005-0000-0000-000027070000}"/>
    <cellStyle name="Normal 26 5 2" xfId="1114" xr:uid="{00000000-0005-0000-0000-000028070000}"/>
    <cellStyle name="Normal 26 5 2 2" xfId="3066" xr:uid="{00000000-0005-0000-0000-000029070000}"/>
    <cellStyle name="Normal 26 5 3" xfId="1740" xr:uid="{00000000-0005-0000-0000-00002A070000}"/>
    <cellStyle name="Normal 26 5 3 2" xfId="3691" xr:uid="{00000000-0005-0000-0000-00002B070000}"/>
    <cellStyle name="Normal 26 5 4" xfId="2431" xr:uid="{00000000-0005-0000-0000-00002C070000}"/>
    <cellStyle name="Normal 26 6" xfId="272" xr:uid="{00000000-0005-0000-0000-00002D070000}"/>
    <cellStyle name="Normal 26 6 2" xfId="913" xr:uid="{00000000-0005-0000-0000-00002E070000}"/>
    <cellStyle name="Normal 26 6 2 2" xfId="2865" xr:uid="{00000000-0005-0000-0000-00002F070000}"/>
    <cellStyle name="Normal 26 6 3" xfId="1539" xr:uid="{00000000-0005-0000-0000-000030070000}"/>
    <cellStyle name="Normal 26 6 3 2" xfId="3490" xr:uid="{00000000-0005-0000-0000-000031070000}"/>
    <cellStyle name="Normal 26 6 4" xfId="2230" xr:uid="{00000000-0005-0000-0000-000032070000}"/>
    <cellStyle name="Normal 26 7" xfId="710" xr:uid="{00000000-0005-0000-0000-000033070000}"/>
    <cellStyle name="Normal 26 7 2" xfId="2662" xr:uid="{00000000-0005-0000-0000-000034070000}"/>
    <cellStyle name="Normal 26 8" xfId="1336" xr:uid="{00000000-0005-0000-0000-000035070000}"/>
    <cellStyle name="Normal 26 8 2" xfId="3287" xr:uid="{00000000-0005-0000-0000-000036070000}"/>
    <cellStyle name="Normal 26 9" xfId="2027" xr:uid="{00000000-0005-0000-0000-000037070000}"/>
    <cellStyle name="Normal 27" xfId="70" xr:uid="{00000000-0005-0000-0000-000038070000}"/>
    <cellStyle name="Normal 27 10" xfId="4076" xr:uid="{00000000-0005-0000-0000-000039070000}"/>
    <cellStyle name="Normal 27 2" xfId="101" xr:uid="{00000000-0005-0000-0000-00003A070000}"/>
    <cellStyle name="Normal 27 2 2" xfId="172" xr:uid="{00000000-0005-0000-0000-00003B070000}"/>
    <cellStyle name="Normal 27 2 2 2" xfId="576" xr:uid="{00000000-0005-0000-0000-00003C070000}"/>
    <cellStyle name="Normal 27 2 2 2 2" xfId="1217" xr:uid="{00000000-0005-0000-0000-00003D070000}"/>
    <cellStyle name="Normal 27 2 2 2 2 2" xfId="3169" xr:uid="{00000000-0005-0000-0000-00003E070000}"/>
    <cellStyle name="Normal 27 2 2 2 3" xfId="1843" xr:uid="{00000000-0005-0000-0000-00003F070000}"/>
    <cellStyle name="Normal 27 2 2 2 3 2" xfId="3794" xr:uid="{00000000-0005-0000-0000-000040070000}"/>
    <cellStyle name="Normal 27 2 2 2 4" xfId="2534" xr:uid="{00000000-0005-0000-0000-000041070000}"/>
    <cellStyle name="Normal 27 2 2 3" xfId="375" xr:uid="{00000000-0005-0000-0000-000042070000}"/>
    <cellStyle name="Normal 27 2 2 3 2" xfId="1016" xr:uid="{00000000-0005-0000-0000-000043070000}"/>
    <cellStyle name="Normal 27 2 2 3 2 2" xfId="2968" xr:uid="{00000000-0005-0000-0000-000044070000}"/>
    <cellStyle name="Normal 27 2 2 3 3" xfId="1642" xr:uid="{00000000-0005-0000-0000-000045070000}"/>
    <cellStyle name="Normal 27 2 2 3 3 2" xfId="3593" xr:uid="{00000000-0005-0000-0000-000046070000}"/>
    <cellStyle name="Normal 27 2 2 3 4" xfId="2333" xr:uid="{00000000-0005-0000-0000-000047070000}"/>
    <cellStyle name="Normal 27 2 2 4" xfId="813" xr:uid="{00000000-0005-0000-0000-000048070000}"/>
    <cellStyle name="Normal 27 2 2 4 2" xfId="2765" xr:uid="{00000000-0005-0000-0000-000049070000}"/>
    <cellStyle name="Normal 27 2 2 5" xfId="1439" xr:uid="{00000000-0005-0000-0000-00004A070000}"/>
    <cellStyle name="Normal 27 2 2 5 2" xfId="3390" xr:uid="{00000000-0005-0000-0000-00004B070000}"/>
    <cellStyle name="Normal 27 2 2 6" xfId="2130" xr:uid="{00000000-0005-0000-0000-00004C070000}"/>
    <cellStyle name="Normal 27 2 3" xfId="506" xr:uid="{00000000-0005-0000-0000-00004D070000}"/>
    <cellStyle name="Normal 27 2 3 2" xfId="1147" xr:uid="{00000000-0005-0000-0000-00004E070000}"/>
    <cellStyle name="Normal 27 2 3 2 2" xfId="3099" xr:uid="{00000000-0005-0000-0000-00004F070000}"/>
    <cellStyle name="Normal 27 2 3 3" xfId="1773" xr:uid="{00000000-0005-0000-0000-000050070000}"/>
    <cellStyle name="Normal 27 2 3 3 2" xfId="3724" xr:uid="{00000000-0005-0000-0000-000051070000}"/>
    <cellStyle name="Normal 27 2 3 4" xfId="2464" xr:uid="{00000000-0005-0000-0000-000052070000}"/>
    <cellStyle name="Normal 27 2 4" xfId="305" xr:uid="{00000000-0005-0000-0000-000053070000}"/>
    <cellStyle name="Normal 27 2 4 2" xfId="946" xr:uid="{00000000-0005-0000-0000-000054070000}"/>
    <cellStyle name="Normal 27 2 4 2 2" xfId="2898" xr:uid="{00000000-0005-0000-0000-000055070000}"/>
    <cellStyle name="Normal 27 2 4 3" xfId="1572" xr:uid="{00000000-0005-0000-0000-000056070000}"/>
    <cellStyle name="Normal 27 2 4 3 2" xfId="3523" xr:uid="{00000000-0005-0000-0000-000057070000}"/>
    <cellStyle name="Normal 27 2 4 4" xfId="2263" xr:uid="{00000000-0005-0000-0000-000058070000}"/>
    <cellStyle name="Normal 27 2 5" xfId="743" xr:uid="{00000000-0005-0000-0000-000059070000}"/>
    <cellStyle name="Normal 27 2 5 2" xfId="2695" xr:uid="{00000000-0005-0000-0000-00005A070000}"/>
    <cellStyle name="Normal 27 2 6" xfId="1369" xr:uid="{00000000-0005-0000-0000-00005B070000}"/>
    <cellStyle name="Normal 27 2 6 2" xfId="3320" xr:uid="{00000000-0005-0000-0000-00005C070000}"/>
    <cellStyle name="Normal 27 2 7" xfId="2060" xr:uid="{00000000-0005-0000-0000-00005D070000}"/>
    <cellStyle name="Normal 27 3" xfId="142" xr:uid="{00000000-0005-0000-0000-00005E070000}"/>
    <cellStyle name="Normal 27 3 2" xfId="546" xr:uid="{00000000-0005-0000-0000-00005F070000}"/>
    <cellStyle name="Normal 27 3 2 2" xfId="1187" xr:uid="{00000000-0005-0000-0000-000060070000}"/>
    <cellStyle name="Normal 27 3 2 2 2" xfId="3139" xr:uid="{00000000-0005-0000-0000-000061070000}"/>
    <cellStyle name="Normal 27 3 2 3" xfId="1813" xr:uid="{00000000-0005-0000-0000-000062070000}"/>
    <cellStyle name="Normal 27 3 2 3 2" xfId="3764" xr:uid="{00000000-0005-0000-0000-000063070000}"/>
    <cellStyle name="Normal 27 3 2 4" xfId="2504" xr:uid="{00000000-0005-0000-0000-000064070000}"/>
    <cellStyle name="Normal 27 3 3" xfId="345" xr:uid="{00000000-0005-0000-0000-000065070000}"/>
    <cellStyle name="Normal 27 3 3 2" xfId="986" xr:uid="{00000000-0005-0000-0000-000066070000}"/>
    <cellStyle name="Normal 27 3 3 2 2" xfId="2938" xr:uid="{00000000-0005-0000-0000-000067070000}"/>
    <cellStyle name="Normal 27 3 3 3" xfId="1612" xr:uid="{00000000-0005-0000-0000-000068070000}"/>
    <cellStyle name="Normal 27 3 3 3 2" xfId="3563" xr:uid="{00000000-0005-0000-0000-000069070000}"/>
    <cellStyle name="Normal 27 3 3 4" xfId="2303" xr:uid="{00000000-0005-0000-0000-00006A070000}"/>
    <cellStyle name="Normal 27 3 4" xfId="783" xr:uid="{00000000-0005-0000-0000-00006B070000}"/>
    <cellStyle name="Normal 27 3 4 2" xfId="2735" xr:uid="{00000000-0005-0000-0000-00006C070000}"/>
    <cellStyle name="Normal 27 3 5" xfId="1409" xr:uid="{00000000-0005-0000-0000-00006D070000}"/>
    <cellStyle name="Normal 27 3 5 2" xfId="3360" xr:uid="{00000000-0005-0000-0000-00006E070000}"/>
    <cellStyle name="Normal 27 3 6" xfId="2100" xr:uid="{00000000-0005-0000-0000-00006F070000}"/>
    <cellStyle name="Normal 27 4" xfId="204" xr:uid="{00000000-0005-0000-0000-000070070000}"/>
    <cellStyle name="Normal 27 4 2" xfId="608" xr:uid="{00000000-0005-0000-0000-000071070000}"/>
    <cellStyle name="Normal 27 4 2 2" xfId="1249" xr:uid="{00000000-0005-0000-0000-000072070000}"/>
    <cellStyle name="Normal 27 4 2 2 2" xfId="3201" xr:uid="{00000000-0005-0000-0000-000073070000}"/>
    <cellStyle name="Normal 27 4 2 3" xfId="1875" xr:uid="{00000000-0005-0000-0000-000074070000}"/>
    <cellStyle name="Normal 27 4 2 3 2" xfId="3826" xr:uid="{00000000-0005-0000-0000-000075070000}"/>
    <cellStyle name="Normal 27 4 2 4" xfId="2566" xr:uid="{00000000-0005-0000-0000-000076070000}"/>
    <cellStyle name="Normal 27 4 3" xfId="407" xr:uid="{00000000-0005-0000-0000-000077070000}"/>
    <cellStyle name="Normal 27 4 3 2" xfId="1048" xr:uid="{00000000-0005-0000-0000-000078070000}"/>
    <cellStyle name="Normal 27 4 3 2 2" xfId="3000" xr:uid="{00000000-0005-0000-0000-000079070000}"/>
    <cellStyle name="Normal 27 4 3 3" xfId="1674" xr:uid="{00000000-0005-0000-0000-00007A070000}"/>
    <cellStyle name="Normal 27 4 3 3 2" xfId="3625" xr:uid="{00000000-0005-0000-0000-00007B070000}"/>
    <cellStyle name="Normal 27 4 3 4" xfId="2365" xr:uid="{00000000-0005-0000-0000-00007C070000}"/>
    <cellStyle name="Normal 27 4 4" xfId="845" xr:uid="{00000000-0005-0000-0000-00007D070000}"/>
    <cellStyle name="Normal 27 4 4 2" xfId="2797" xr:uid="{00000000-0005-0000-0000-00007E070000}"/>
    <cellStyle name="Normal 27 4 5" xfId="1471" xr:uid="{00000000-0005-0000-0000-00007F070000}"/>
    <cellStyle name="Normal 27 4 5 2" xfId="3422" xr:uid="{00000000-0005-0000-0000-000080070000}"/>
    <cellStyle name="Normal 27 4 6" xfId="2162" xr:uid="{00000000-0005-0000-0000-000081070000}"/>
    <cellStyle name="Normal 27 5" xfId="476" xr:uid="{00000000-0005-0000-0000-000082070000}"/>
    <cellStyle name="Normal 27 5 2" xfId="1117" xr:uid="{00000000-0005-0000-0000-000083070000}"/>
    <cellStyle name="Normal 27 5 2 2" xfId="3069" xr:uid="{00000000-0005-0000-0000-000084070000}"/>
    <cellStyle name="Normal 27 5 3" xfId="1743" xr:uid="{00000000-0005-0000-0000-000085070000}"/>
    <cellStyle name="Normal 27 5 3 2" xfId="3694" xr:uid="{00000000-0005-0000-0000-000086070000}"/>
    <cellStyle name="Normal 27 5 4" xfId="2434" xr:uid="{00000000-0005-0000-0000-000087070000}"/>
    <cellStyle name="Normal 27 6" xfId="275" xr:uid="{00000000-0005-0000-0000-000088070000}"/>
    <cellStyle name="Normal 27 6 2" xfId="916" xr:uid="{00000000-0005-0000-0000-000089070000}"/>
    <cellStyle name="Normal 27 6 2 2" xfId="2868" xr:uid="{00000000-0005-0000-0000-00008A070000}"/>
    <cellStyle name="Normal 27 6 3" xfId="1542" xr:uid="{00000000-0005-0000-0000-00008B070000}"/>
    <cellStyle name="Normal 27 6 3 2" xfId="3493" xr:uid="{00000000-0005-0000-0000-00008C070000}"/>
    <cellStyle name="Normal 27 6 4" xfId="2233" xr:uid="{00000000-0005-0000-0000-00008D070000}"/>
    <cellStyle name="Normal 27 7" xfId="713" xr:uid="{00000000-0005-0000-0000-00008E070000}"/>
    <cellStyle name="Normal 27 7 2" xfId="2665" xr:uid="{00000000-0005-0000-0000-00008F070000}"/>
    <cellStyle name="Normal 27 8" xfId="1339" xr:uid="{00000000-0005-0000-0000-000090070000}"/>
    <cellStyle name="Normal 27 8 2" xfId="3290" xr:uid="{00000000-0005-0000-0000-000091070000}"/>
    <cellStyle name="Normal 27 9" xfId="2030" xr:uid="{00000000-0005-0000-0000-000092070000}"/>
    <cellStyle name="Normal 28" xfId="71" xr:uid="{00000000-0005-0000-0000-000093070000}"/>
    <cellStyle name="Normal 28 10" xfId="2031" xr:uid="{00000000-0005-0000-0000-000094070000}"/>
    <cellStyle name="Normal 28 11" xfId="4077" xr:uid="{00000000-0005-0000-0000-000095070000}"/>
    <cellStyle name="Normal 28 2" xfId="102" xr:uid="{00000000-0005-0000-0000-000096070000}"/>
    <cellStyle name="Normal 28 2 2" xfId="173" xr:uid="{00000000-0005-0000-0000-000097070000}"/>
    <cellStyle name="Normal 28 2 2 2" xfId="577" xr:uid="{00000000-0005-0000-0000-000098070000}"/>
    <cellStyle name="Normal 28 2 2 2 2" xfId="1218" xr:uid="{00000000-0005-0000-0000-000099070000}"/>
    <cellStyle name="Normal 28 2 2 2 2 2" xfId="3170" xr:uid="{00000000-0005-0000-0000-00009A070000}"/>
    <cellStyle name="Normal 28 2 2 2 3" xfId="1844" xr:uid="{00000000-0005-0000-0000-00009B070000}"/>
    <cellStyle name="Normal 28 2 2 2 3 2" xfId="3795" xr:uid="{00000000-0005-0000-0000-00009C070000}"/>
    <cellStyle name="Normal 28 2 2 2 4" xfId="2535" xr:uid="{00000000-0005-0000-0000-00009D070000}"/>
    <cellStyle name="Normal 28 2 2 3" xfId="376" xr:uid="{00000000-0005-0000-0000-00009E070000}"/>
    <cellStyle name="Normal 28 2 2 3 2" xfId="1017" xr:uid="{00000000-0005-0000-0000-00009F070000}"/>
    <cellStyle name="Normal 28 2 2 3 2 2" xfId="2969" xr:uid="{00000000-0005-0000-0000-0000A0070000}"/>
    <cellStyle name="Normal 28 2 2 3 3" xfId="1643" xr:uid="{00000000-0005-0000-0000-0000A1070000}"/>
    <cellStyle name="Normal 28 2 2 3 3 2" xfId="3594" xr:uid="{00000000-0005-0000-0000-0000A2070000}"/>
    <cellStyle name="Normal 28 2 2 3 4" xfId="2334" xr:uid="{00000000-0005-0000-0000-0000A3070000}"/>
    <cellStyle name="Normal 28 2 2 4" xfId="814" xr:uid="{00000000-0005-0000-0000-0000A4070000}"/>
    <cellStyle name="Normal 28 2 2 4 2" xfId="2766" xr:uid="{00000000-0005-0000-0000-0000A5070000}"/>
    <cellStyle name="Normal 28 2 2 5" xfId="1440" xr:uid="{00000000-0005-0000-0000-0000A6070000}"/>
    <cellStyle name="Normal 28 2 2 5 2" xfId="3391" xr:uid="{00000000-0005-0000-0000-0000A7070000}"/>
    <cellStyle name="Normal 28 2 2 6" xfId="2131" xr:uid="{00000000-0005-0000-0000-0000A8070000}"/>
    <cellStyle name="Normal 28 2 3" xfId="507" xr:uid="{00000000-0005-0000-0000-0000A9070000}"/>
    <cellStyle name="Normal 28 2 3 2" xfId="1148" xr:uid="{00000000-0005-0000-0000-0000AA070000}"/>
    <cellStyle name="Normal 28 2 3 2 2" xfId="3100" xr:uid="{00000000-0005-0000-0000-0000AB070000}"/>
    <cellStyle name="Normal 28 2 3 3" xfId="1774" xr:uid="{00000000-0005-0000-0000-0000AC070000}"/>
    <cellStyle name="Normal 28 2 3 3 2" xfId="3725" xr:uid="{00000000-0005-0000-0000-0000AD070000}"/>
    <cellStyle name="Normal 28 2 3 4" xfId="2465" xr:uid="{00000000-0005-0000-0000-0000AE070000}"/>
    <cellStyle name="Normal 28 2 4" xfId="306" xr:uid="{00000000-0005-0000-0000-0000AF070000}"/>
    <cellStyle name="Normal 28 2 4 2" xfId="947" xr:uid="{00000000-0005-0000-0000-0000B0070000}"/>
    <cellStyle name="Normal 28 2 4 2 2" xfId="2899" xr:uid="{00000000-0005-0000-0000-0000B1070000}"/>
    <cellStyle name="Normal 28 2 4 3" xfId="1573" xr:uid="{00000000-0005-0000-0000-0000B2070000}"/>
    <cellStyle name="Normal 28 2 4 3 2" xfId="3524" xr:uid="{00000000-0005-0000-0000-0000B3070000}"/>
    <cellStyle name="Normal 28 2 4 4" xfId="2264" xr:uid="{00000000-0005-0000-0000-0000B4070000}"/>
    <cellStyle name="Normal 28 2 5" xfId="744" xr:uid="{00000000-0005-0000-0000-0000B5070000}"/>
    <cellStyle name="Normal 28 2 5 2" xfId="2696" xr:uid="{00000000-0005-0000-0000-0000B6070000}"/>
    <cellStyle name="Normal 28 2 6" xfId="1370" xr:uid="{00000000-0005-0000-0000-0000B7070000}"/>
    <cellStyle name="Normal 28 2 6 2" xfId="3321" xr:uid="{00000000-0005-0000-0000-0000B8070000}"/>
    <cellStyle name="Normal 28 2 7" xfId="2061" xr:uid="{00000000-0005-0000-0000-0000B9070000}"/>
    <cellStyle name="Normal 28 3" xfId="143" xr:uid="{00000000-0005-0000-0000-0000BA070000}"/>
    <cellStyle name="Normal 28 3 2" xfId="547" xr:uid="{00000000-0005-0000-0000-0000BB070000}"/>
    <cellStyle name="Normal 28 3 2 2" xfId="1188" xr:uid="{00000000-0005-0000-0000-0000BC070000}"/>
    <cellStyle name="Normal 28 3 2 2 2" xfId="3140" xr:uid="{00000000-0005-0000-0000-0000BD070000}"/>
    <cellStyle name="Normal 28 3 2 3" xfId="1814" xr:uid="{00000000-0005-0000-0000-0000BE070000}"/>
    <cellStyle name="Normal 28 3 2 3 2" xfId="3765" xr:uid="{00000000-0005-0000-0000-0000BF070000}"/>
    <cellStyle name="Normal 28 3 2 4" xfId="2505" xr:uid="{00000000-0005-0000-0000-0000C0070000}"/>
    <cellStyle name="Normal 28 3 3" xfId="346" xr:uid="{00000000-0005-0000-0000-0000C1070000}"/>
    <cellStyle name="Normal 28 3 3 2" xfId="987" xr:uid="{00000000-0005-0000-0000-0000C2070000}"/>
    <cellStyle name="Normal 28 3 3 2 2" xfId="2939" xr:uid="{00000000-0005-0000-0000-0000C3070000}"/>
    <cellStyle name="Normal 28 3 3 3" xfId="1613" xr:uid="{00000000-0005-0000-0000-0000C4070000}"/>
    <cellStyle name="Normal 28 3 3 3 2" xfId="3564" xr:uid="{00000000-0005-0000-0000-0000C5070000}"/>
    <cellStyle name="Normal 28 3 3 4" xfId="2304" xr:uid="{00000000-0005-0000-0000-0000C6070000}"/>
    <cellStyle name="Normal 28 3 4" xfId="784" xr:uid="{00000000-0005-0000-0000-0000C7070000}"/>
    <cellStyle name="Normal 28 3 4 2" xfId="2736" xr:uid="{00000000-0005-0000-0000-0000C8070000}"/>
    <cellStyle name="Normal 28 3 5" xfId="1410" xr:uid="{00000000-0005-0000-0000-0000C9070000}"/>
    <cellStyle name="Normal 28 3 5 2" xfId="3361" xr:uid="{00000000-0005-0000-0000-0000CA070000}"/>
    <cellStyle name="Normal 28 3 6" xfId="2101" xr:uid="{00000000-0005-0000-0000-0000CB070000}"/>
    <cellStyle name="Normal 28 4" xfId="205" xr:uid="{00000000-0005-0000-0000-0000CC070000}"/>
    <cellStyle name="Normal 28 4 2" xfId="609" xr:uid="{00000000-0005-0000-0000-0000CD070000}"/>
    <cellStyle name="Normal 28 4 2 2" xfId="1250" xr:uid="{00000000-0005-0000-0000-0000CE070000}"/>
    <cellStyle name="Normal 28 4 2 2 2" xfId="3202" xr:uid="{00000000-0005-0000-0000-0000CF070000}"/>
    <cellStyle name="Normal 28 4 2 3" xfId="1876" xr:uid="{00000000-0005-0000-0000-0000D0070000}"/>
    <cellStyle name="Normal 28 4 2 3 2" xfId="3827" xr:uid="{00000000-0005-0000-0000-0000D1070000}"/>
    <cellStyle name="Normal 28 4 2 4" xfId="2567" xr:uid="{00000000-0005-0000-0000-0000D2070000}"/>
    <cellStyle name="Normal 28 4 3" xfId="408" xr:uid="{00000000-0005-0000-0000-0000D3070000}"/>
    <cellStyle name="Normal 28 4 3 2" xfId="1049" xr:uid="{00000000-0005-0000-0000-0000D4070000}"/>
    <cellStyle name="Normal 28 4 3 2 2" xfId="3001" xr:uid="{00000000-0005-0000-0000-0000D5070000}"/>
    <cellStyle name="Normal 28 4 3 3" xfId="1675" xr:uid="{00000000-0005-0000-0000-0000D6070000}"/>
    <cellStyle name="Normal 28 4 3 3 2" xfId="3626" xr:uid="{00000000-0005-0000-0000-0000D7070000}"/>
    <cellStyle name="Normal 28 4 3 4" xfId="2366" xr:uid="{00000000-0005-0000-0000-0000D8070000}"/>
    <cellStyle name="Normal 28 4 4" xfId="846" xr:uid="{00000000-0005-0000-0000-0000D9070000}"/>
    <cellStyle name="Normal 28 4 4 2" xfId="2798" xr:uid="{00000000-0005-0000-0000-0000DA070000}"/>
    <cellStyle name="Normal 28 4 5" xfId="1472" xr:uid="{00000000-0005-0000-0000-0000DB070000}"/>
    <cellStyle name="Normal 28 4 5 2" xfId="3423" xr:uid="{00000000-0005-0000-0000-0000DC070000}"/>
    <cellStyle name="Normal 28 4 6" xfId="2163" xr:uid="{00000000-0005-0000-0000-0000DD070000}"/>
    <cellStyle name="Normal 28 5" xfId="477" xr:uid="{00000000-0005-0000-0000-0000DE070000}"/>
    <cellStyle name="Normal 28 5 2" xfId="1118" xr:uid="{00000000-0005-0000-0000-0000DF070000}"/>
    <cellStyle name="Normal 28 5 2 2" xfId="3070" xr:uid="{00000000-0005-0000-0000-0000E0070000}"/>
    <cellStyle name="Normal 28 5 3" xfId="1744" xr:uid="{00000000-0005-0000-0000-0000E1070000}"/>
    <cellStyle name="Normal 28 5 3 2" xfId="3695" xr:uid="{00000000-0005-0000-0000-0000E2070000}"/>
    <cellStyle name="Normal 28 5 4" xfId="2435" xr:uid="{00000000-0005-0000-0000-0000E3070000}"/>
    <cellStyle name="Normal 28 6" xfId="276" xr:uid="{00000000-0005-0000-0000-0000E4070000}"/>
    <cellStyle name="Normal 28 6 2" xfId="917" xr:uid="{00000000-0005-0000-0000-0000E5070000}"/>
    <cellStyle name="Normal 28 6 2 2" xfId="2869" xr:uid="{00000000-0005-0000-0000-0000E6070000}"/>
    <cellStyle name="Normal 28 6 3" xfId="1543" xr:uid="{00000000-0005-0000-0000-0000E7070000}"/>
    <cellStyle name="Normal 28 6 3 2" xfId="3494" xr:uid="{00000000-0005-0000-0000-0000E8070000}"/>
    <cellStyle name="Normal 28 6 4" xfId="2234" xr:uid="{00000000-0005-0000-0000-0000E9070000}"/>
    <cellStyle name="Normal 28 7" xfId="714" xr:uid="{00000000-0005-0000-0000-0000EA070000}"/>
    <cellStyle name="Normal 28 7 2" xfId="2666" xr:uid="{00000000-0005-0000-0000-0000EB070000}"/>
    <cellStyle name="Normal 28 8" xfId="1340" xr:uid="{00000000-0005-0000-0000-0000EC070000}"/>
    <cellStyle name="Normal 28 8 2" xfId="3291" xr:uid="{00000000-0005-0000-0000-0000ED070000}"/>
    <cellStyle name="Normal 28 9" xfId="1992" xr:uid="{00000000-0005-0000-0000-0000EE070000}"/>
    <cellStyle name="Normal 28 9 2" xfId="3943" xr:uid="{00000000-0005-0000-0000-0000EF070000}"/>
    <cellStyle name="Normal 29" xfId="72" xr:uid="{00000000-0005-0000-0000-0000F0070000}"/>
    <cellStyle name="Normal 29 10" xfId="4078" xr:uid="{00000000-0005-0000-0000-0000F1070000}"/>
    <cellStyle name="Normal 29 2" xfId="103" xr:uid="{00000000-0005-0000-0000-0000F2070000}"/>
    <cellStyle name="Normal 29 2 2" xfId="174" xr:uid="{00000000-0005-0000-0000-0000F3070000}"/>
    <cellStyle name="Normal 29 2 2 2" xfId="578" xr:uid="{00000000-0005-0000-0000-0000F4070000}"/>
    <cellStyle name="Normal 29 2 2 2 2" xfId="1219" xr:uid="{00000000-0005-0000-0000-0000F5070000}"/>
    <cellStyle name="Normal 29 2 2 2 2 2" xfId="3171" xr:uid="{00000000-0005-0000-0000-0000F6070000}"/>
    <cellStyle name="Normal 29 2 2 2 3" xfId="1845" xr:uid="{00000000-0005-0000-0000-0000F7070000}"/>
    <cellStyle name="Normal 29 2 2 2 3 2" xfId="3796" xr:uid="{00000000-0005-0000-0000-0000F8070000}"/>
    <cellStyle name="Normal 29 2 2 2 4" xfId="2536" xr:uid="{00000000-0005-0000-0000-0000F9070000}"/>
    <cellStyle name="Normal 29 2 2 3" xfId="377" xr:uid="{00000000-0005-0000-0000-0000FA070000}"/>
    <cellStyle name="Normal 29 2 2 3 2" xfId="1018" xr:uid="{00000000-0005-0000-0000-0000FB070000}"/>
    <cellStyle name="Normal 29 2 2 3 2 2" xfId="2970" xr:uid="{00000000-0005-0000-0000-0000FC070000}"/>
    <cellStyle name="Normal 29 2 2 3 3" xfId="1644" xr:uid="{00000000-0005-0000-0000-0000FD070000}"/>
    <cellStyle name="Normal 29 2 2 3 3 2" xfId="3595" xr:uid="{00000000-0005-0000-0000-0000FE070000}"/>
    <cellStyle name="Normal 29 2 2 3 4" xfId="2335" xr:uid="{00000000-0005-0000-0000-0000FF070000}"/>
    <cellStyle name="Normal 29 2 2 4" xfId="815" xr:uid="{00000000-0005-0000-0000-000000080000}"/>
    <cellStyle name="Normal 29 2 2 4 2" xfId="2767" xr:uid="{00000000-0005-0000-0000-000001080000}"/>
    <cellStyle name="Normal 29 2 2 5" xfId="1441" xr:uid="{00000000-0005-0000-0000-000002080000}"/>
    <cellStyle name="Normal 29 2 2 5 2" xfId="3392" xr:uid="{00000000-0005-0000-0000-000003080000}"/>
    <cellStyle name="Normal 29 2 2 6" xfId="2132" xr:uid="{00000000-0005-0000-0000-000004080000}"/>
    <cellStyle name="Normal 29 2 3" xfId="508" xr:uid="{00000000-0005-0000-0000-000005080000}"/>
    <cellStyle name="Normal 29 2 3 2" xfId="1149" xr:uid="{00000000-0005-0000-0000-000006080000}"/>
    <cellStyle name="Normal 29 2 3 2 2" xfId="3101" xr:uid="{00000000-0005-0000-0000-000007080000}"/>
    <cellStyle name="Normal 29 2 3 3" xfId="1775" xr:uid="{00000000-0005-0000-0000-000008080000}"/>
    <cellStyle name="Normal 29 2 3 3 2" xfId="3726" xr:uid="{00000000-0005-0000-0000-000009080000}"/>
    <cellStyle name="Normal 29 2 3 4" xfId="2466" xr:uid="{00000000-0005-0000-0000-00000A080000}"/>
    <cellStyle name="Normal 29 2 4" xfId="307" xr:uid="{00000000-0005-0000-0000-00000B080000}"/>
    <cellStyle name="Normal 29 2 4 2" xfId="948" xr:uid="{00000000-0005-0000-0000-00000C080000}"/>
    <cellStyle name="Normal 29 2 4 2 2" xfId="2900" xr:uid="{00000000-0005-0000-0000-00000D080000}"/>
    <cellStyle name="Normal 29 2 4 3" xfId="1574" xr:uid="{00000000-0005-0000-0000-00000E080000}"/>
    <cellStyle name="Normal 29 2 4 3 2" xfId="3525" xr:uid="{00000000-0005-0000-0000-00000F080000}"/>
    <cellStyle name="Normal 29 2 4 4" xfId="2265" xr:uid="{00000000-0005-0000-0000-000010080000}"/>
    <cellStyle name="Normal 29 2 5" xfId="745" xr:uid="{00000000-0005-0000-0000-000011080000}"/>
    <cellStyle name="Normal 29 2 5 2" xfId="2697" xr:uid="{00000000-0005-0000-0000-000012080000}"/>
    <cellStyle name="Normal 29 2 6" xfId="1371" xr:uid="{00000000-0005-0000-0000-000013080000}"/>
    <cellStyle name="Normal 29 2 6 2" xfId="3322" xr:uid="{00000000-0005-0000-0000-000014080000}"/>
    <cellStyle name="Normal 29 2 7" xfId="2062" xr:uid="{00000000-0005-0000-0000-000015080000}"/>
    <cellStyle name="Normal 29 3" xfId="144" xr:uid="{00000000-0005-0000-0000-000016080000}"/>
    <cellStyle name="Normal 29 3 2" xfId="548" xr:uid="{00000000-0005-0000-0000-000017080000}"/>
    <cellStyle name="Normal 29 3 2 2" xfId="1189" xr:uid="{00000000-0005-0000-0000-000018080000}"/>
    <cellStyle name="Normal 29 3 2 2 2" xfId="3141" xr:uid="{00000000-0005-0000-0000-000019080000}"/>
    <cellStyle name="Normal 29 3 2 3" xfId="1815" xr:uid="{00000000-0005-0000-0000-00001A080000}"/>
    <cellStyle name="Normal 29 3 2 3 2" xfId="3766" xr:uid="{00000000-0005-0000-0000-00001B080000}"/>
    <cellStyle name="Normal 29 3 2 4" xfId="2506" xr:uid="{00000000-0005-0000-0000-00001C080000}"/>
    <cellStyle name="Normal 29 3 3" xfId="347" xr:uid="{00000000-0005-0000-0000-00001D080000}"/>
    <cellStyle name="Normal 29 3 3 2" xfId="988" xr:uid="{00000000-0005-0000-0000-00001E080000}"/>
    <cellStyle name="Normal 29 3 3 2 2" xfId="2940" xr:uid="{00000000-0005-0000-0000-00001F080000}"/>
    <cellStyle name="Normal 29 3 3 3" xfId="1614" xr:uid="{00000000-0005-0000-0000-000020080000}"/>
    <cellStyle name="Normal 29 3 3 3 2" xfId="3565" xr:uid="{00000000-0005-0000-0000-000021080000}"/>
    <cellStyle name="Normal 29 3 3 4" xfId="2305" xr:uid="{00000000-0005-0000-0000-000022080000}"/>
    <cellStyle name="Normal 29 3 4" xfId="785" xr:uid="{00000000-0005-0000-0000-000023080000}"/>
    <cellStyle name="Normal 29 3 4 2" xfId="2737" xr:uid="{00000000-0005-0000-0000-000024080000}"/>
    <cellStyle name="Normal 29 3 5" xfId="1411" xr:uid="{00000000-0005-0000-0000-000025080000}"/>
    <cellStyle name="Normal 29 3 5 2" xfId="3362" xr:uid="{00000000-0005-0000-0000-000026080000}"/>
    <cellStyle name="Normal 29 3 6" xfId="2102" xr:uid="{00000000-0005-0000-0000-000027080000}"/>
    <cellStyle name="Normal 29 4" xfId="206" xr:uid="{00000000-0005-0000-0000-000028080000}"/>
    <cellStyle name="Normal 29 4 2" xfId="610" xr:uid="{00000000-0005-0000-0000-000029080000}"/>
    <cellStyle name="Normal 29 4 2 2" xfId="1251" xr:uid="{00000000-0005-0000-0000-00002A080000}"/>
    <cellStyle name="Normal 29 4 2 2 2" xfId="3203" xr:uid="{00000000-0005-0000-0000-00002B080000}"/>
    <cellStyle name="Normal 29 4 2 3" xfId="1877" xr:uid="{00000000-0005-0000-0000-00002C080000}"/>
    <cellStyle name="Normal 29 4 2 3 2" xfId="3828" xr:uid="{00000000-0005-0000-0000-00002D080000}"/>
    <cellStyle name="Normal 29 4 2 4" xfId="2568" xr:uid="{00000000-0005-0000-0000-00002E080000}"/>
    <cellStyle name="Normal 29 4 3" xfId="409" xr:uid="{00000000-0005-0000-0000-00002F080000}"/>
    <cellStyle name="Normal 29 4 3 2" xfId="1050" xr:uid="{00000000-0005-0000-0000-000030080000}"/>
    <cellStyle name="Normal 29 4 3 2 2" xfId="3002" xr:uid="{00000000-0005-0000-0000-000031080000}"/>
    <cellStyle name="Normal 29 4 3 3" xfId="1676" xr:uid="{00000000-0005-0000-0000-000032080000}"/>
    <cellStyle name="Normal 29 4 3 3 2" xfId="3627" xr:uid="{00000000-0005-0000-0000-000033080000}"/>
    <cellStyle name="Normal 29 4 3 4" xfId="2367" xr:uid="{00000000-0005-0000-0000-000034080000}"/>
    <cellStyle name="Normal 29 4 4" xfId="847" xr:uid="{00000000-0005-0000-0000-000035080000}"/>
    <cellStyle name="Normal 29 4 4 2" xfId="2799" xr:uid="{00000000-0005-0000-0000-000036080000}"/>
    <cellStyle name="Normal 29 4 5" xfId="1473" xr:uid="{00000000-0005-0000-0000-000037080000}"/>
    <cellStyle name="Normal 29 4 5 2" xfId="3424" xr:uid="{00000000-0005-0000-0000-000038080000}"/>
    <cellStyle name="Normal 29 4 6" xfId="2164" xr:uid="{00000000-0005-0000-0000-000039080000}"/>
    <cellStyle name="Normal 29 5" xfId="478" xr:uid="{00000000-0005-0000-0000-00003A080000}"/>
    <cellStyle name="Normal 29 5 2" xfId="1119" xr:uid="{00000000-0005-0000-0000-00003B080000}"/>
    <cellStyle name="Normal 29 5 2 2" xfId="3071" xr:uid="{00000000-0005-0000-0000-00003C080000}"/>
    <cellStyle name="Normal 29 5 3" xfId="1745" xr:uid="{00000000-0005-0000-0000-00003D080000}"/>
    <cellStyle name="Normal 29 5 3 2" xfId="3696" xr:uid="{00000000-0005-0000-0000-00003E080000}"/>
    <cellStyle name="Normal 29 5 4" xfId="2436" xr:uid="{00000000-0005-0000-0000-00003F080000}"/>
    <cellStyle name="Normal 29 6" xfId="277" xr:uid="{00000000-0005-0000-0000-000040080000}"/>
    <cellStyle name="Normal 29 6 2" xfId="918" xr:uid="{00000000-0005-0000-0000-000041080000}"/>
    <cellStyle name="Normal 29 6 2 2" xfId="2870" xr:uid="{00000000-0005-0000-0000-000042080000}"/>
    <cellStyle name="Normal 29 6 3" xfId="1544" xr:uid="{00000000-0005-0000-0000-000043080000}"/>
    <cellStyle name="Normal 29 6 3 2" xfId="3495" xr:uid="{00000000-0005-0000-0000-000044080000}"/>
    <cellStyle name="Normal 29 6 4" xfId="2235" xr:uid="{00000000-0005-0000-0000-000045080000}"/>
    <cellStyle name="Normal 29 7" xfId="715" xr:uid="{00000000-0005-0000-0000-000046080000}"/>
    <cellStyle name="Normal 29 7 2" xfId="2667" xr:uid="{00000000-0005-0000-0000-000047080000}"/>
    <cellStyle name="Normal 29 8" xfId="1341" xr:uid="{00000000-0005-0000-0000-000048080000}"/>
    <cellStyle name="Normal 29 8 2" xfId="3292" xr:uid="{00000000-0005-0000-0000-000049080000}"/>
    <cellStyle name="Normal 29 9" xfId="2032" xr:uid="{00000000-0005-0000-0000-00004A080000}"/>
    <cellStyle name="Normal 3" xfId="8" xr:uid="{00000000-0005-0000-0000-00004B080000}"/>
    <cellStyle name="Normal 3 10" xfId="218" xr:uid="{00000000-0005-0000-0000-00004C080000}"/>
    <cellStyle name="Normal 3 10 2" xfId="622" xr:uid="{00000000-0005-0000-0000-00004D080000}"/>
    <cellStyle name="Normal 3 10 2 2" xfId="1263" xr:uid="{00000000-0005-0000-0000-00004E080000}"/>
    <cellStyle name="Normal 3 10 2 2 2" xfId="3215" xr:uid="{00000000-0005-0000-0000-00004F080000}"/>
    <cellStyle name="Normal 3 10 2 3" xfId="1889" xr:uid="{00000000-0005-0000-0000-000050080000}"/>
    <cellStyle name="Normal 3 10 2 3 2" xfId="3840" xr:uid="{00000000-0005-0000-0000-000051080000}"/>
    <cellStyle name="Normal 3 10 2 4" xfId="2580" xr:uid="{00000000-0005-0000-0000-000052080000}"/>
    <cellStyle name="Normal 3 10 3" xfId="421" xr:uid="{00000000-0005-0000-0000-000053080000}"/>
    <cellStyle name="Normal 3 10 3 2" xfId="1062" xr:uid="{00000000-0005-0000-0000-000054080000}"/>
    <cellStyle name="Normal 3 10 3 2 2" xfId="3014" xr:uid="{00000000-0005-0000-0000-000055080000}"/>
    <cellStyle name="Normal 3 10 3 3" xfId="1688" xr:uid="{00000000-0005-0000-0000-000056080000}"/>
    <cellStyle name="Normal 3 10 3 3 2" xfId="3639" xr:uid="{00000000-0005-0000-0000-000057080000}"/>
    <cellStyle name="Normal 3 10 3 4" xfId="2379" xr:uid="{00000000-0005-0000-0000-000058080000}"/>
    <cellStyle name="Normal 3 10 4" xfId="859" xr:uid="{00000000-0005-0000-0000-000059080000}"/>
    <cellStyle name="Normal 3 10 4 2" xfId="2811" xr:uid="{00000000-0005-0000-0000-00005A080000}"/>
    <cellStyle name="Normal 3 10 5" xfId="1485" xr:uid="{00000000-0005-0000-0000-00005B080000}"/>
    <cellStyle name="Normal 3 10 5 2" xfId="3436" xr:uid="{00000000-0005-0000-0000-00005C080000}"/>
    <cellStyle name="Normal 3 10 6" xfId="2176" xr:uid="{00000000-0005-0000-0000-00005D080000}"/>
    <cellStyle name="Normal 3 11" xfId="221" xr:uid="{00000000-0005-0000-0000-00005E080000}"/>
    <cellStyle name="Normal 3 11 2" xfId="625" xr:uid="{00000000-0005-0000-0000-00005F080000}"/>
    <cellStyle name="Normal 3 11 2 2" xfId="1266" xr:uid="{00000000-0005-0000-0000-000060080000}"/>
    <cellStyle name="Normal 3 11 2 2 2" xfId="3218" xr:uid="{00000000-0005-0000-0000-000061080000}"/>
    <cellStyle name="Normal 3 11 2 3" xfId="1892" xr:uid="{00000000-0005-0000-0000-000062080000}"/>
    <cellStyle name="Normal 3 11 2 3 2" xfId="3843" xr:uid="{00000000-0005-0000-0000-000063080000}"/>
    <cellStyle name="Normal 3 11 2 4" xfId="2583" xr:uid="{00000000-0005-0000-0000-000064080000}"/>
    <cellStyle name="Normal 3 11 3" xfId="424" xr:uid="{00000000-0005-0000-0000-000065080000}"/>
    <cellStyle name="Normal 3 11 3 2" xfId="1065" xr:uid="{00000000-0005-0000-0000-000066080000}"/>
    <cellStyle name="Normal 3 11 3 2 2" xfId="3017" xr:uid="{00000000-0005-0000-0000-000067080000}"/>
    <cellStyle name="Normal 3 11 3 3" xfId="1691" xr:uid="{00000000-0005-0000-0000-000068080000}"/>
    <cellStyle name="Normal 3 11 3 3 2" xfId="3642" xr:uid="{00000000-0005-0000-0000-000069080000}"/>
    <cellStyle name="Normal 3 11 3 4" xfId="2382" xr:uid="{00000000-0005-0000-0000-00006A080000}"/>
    <cellStyle name="Normal 3 11 4" xfId="862" xr:uid="{00000000-0005-0000-0000-00006B080000}"/>
    <cellStyle name="Normal 3 11 4 2" xfId="2814" xr:uid="{00000000-0005-0000-0000-00006C080000}"/>
    <cellStyle name="Normal 3 11 5" xfId="1488" xr:uid="{00000000-0005-0000-0000-00006D080000}"/>
    <cellStyle name="Normal 3 11 5 2" xfId="3439" xr:uid="{00000000-0005-0000-0000-00006E080000}"/>
    <cellStyle name="Normal 3 11 6" xfId="2179" xr:uid="{00000000-0005-0000-0000-00006F080000}"/>
    <cellStyle name="Normal 3 12" xfId="226" xr:uid="{00000000-0005-0000-0000-000070080000}"/>
    <cellStyle name="Normal 3 12 2" xfId="630" xr:uid="{00000000-0005-0000-0000-000071080000}"/>
    <cellStyle name="Normal 3 12 2 2" xfId="1271" xr:uid="{00000000-0005-0000-0000-000072080000}"/>
    <cellStyle name="Normal 3 12 2 2 2" xfId="3223" xr:uid="{00000000-0005-0000-0000-000073080000}"/>
    <cellStyle name="Normal 3 12 2 3" xfId="1897" xr:uid="{00000000-0005-0000-0000-000074080000}"/>
    <cellStyle name="Normal 3 12 2 3 2" xfId="3848" xr:uid="{00000000-0005-0000-0000-000075080000}"/>
    <cellStyle name="Normal 3 12 2 4" xfId="2588" xr:uid="{00000000-0005-0000-0000-000076080000}"/>
    <cellStyle name="Normal 3 12 3" xfId="429" xr:uid="{00000000-0005-0000-0000-000077080000}"/>
    <cellStyle name="Normal 3 12 3 2" xfId="1070" xr:uid="{00000000-0005-0000-0000-000078080000}"/>
    <cellStyle name="Normal 3 12 3 2 2" xfId="3022" xr:uid="{00000000-0005-0000-0000-000079080000}"/>
    <cellStyle name="Normal 3 12 3 3" xfId="1696" xr:uid="{00000000-0005-0000-0000-00007A080000}"/>
    <cellStyle name="Normal 3 12 3 3 2" xfId="3647" xr:uid="{00000000-0005-0000-0000-00007B080000}"/>
    <cellStyle name="Normal 3 12 3 4" xfId="2387" xr:uid="{00000000-0005-0000-0000-00007C080000}"/>
    <cellStyle name="Normal 3 12 4" xfId="867" xr:uid="{00000000-0005-0000-0000-00007D080000}"/>
    <cellStyle name="Normal 3 12 4 2" xfId="2819" xr:uid="{00000000-0005-0000-0000-00007E080000}"/>
    <cellStyle name="Normal 3 12 5" xfId="1493" xr:uid="{00000000-0005-0000-0000-00007F080000}"/>
    <cellStyle name="Normal 3 12 5 2" xfId="3444" xr:uid="{00000000-0005-0000-0000-000080080000}"/>
    <cellStyle name="Normal 3 12 6" xfId="1990" xr:uid="{00000000-0005-0000-0000-000081080000}"/>
    <cellStyle name="Normal 3 12 6 2" xfId="3941" xr:uid="{00000000-0005-0000-0000-000082080000}"/>
    <cellStyle name="Normal 3 12 7" xfId="2184" xr:uid="{00000000-0005-0000-0000-000083080000}"/>
    <cellStyle name="Normal 3 13" xfId="229" xr:uid="{00000000-0005-0000-0000-000084080000}"/>
    <cellStyle name="Normal 3 13 2" xfId="633" xr:uid="{00000000-0005-0000-0000-000085080000}"/>
    <cellStyle name="Normal 3 13 2 2" xfId="1274" xr:uid="{00000000-0005-0000-0000-000086080000}"/>
    <cellStyle name="Normal 3 13 2 2 2" xfId="3226" xr:uid="{00000000-0005-0000-0000-000087080000}"/>
    <cellStyle name="Normal 3 13 2 3" xfId="1900" xr:uid="{00000000-0005-0000-0000-000088080000}"/>
    <cellStyle name="Normal 3 13 2 3 2" xfId="3851" xr:uid="{00000000-0005-0000-0000-000089080000}"/>
    <cellStyle name="Normal 3 13 2 4" xfId="2591" xr:uid="{00000000-0005-0000-0000-00008A080000}"/>
    <cellStyle name="Normal 3 13 3" xfId="432" xr:uid="{00000000-0005-0000-0000-00008B080000}"/>
    <cellStyle name="Normal 3 13 3 2" xfId="1073" xr:uid="{00000000-0005-0000-0000-00008C080000}"/>
    <cellStyle name="Normal 3 13 3 2 2" xfId="3025" xr:uid="{00000000-0005-0000-0000-00008D080000}"/>
    <cellStyle name="Normal 3 13 3 3" xfId="1699" xr:uid="{00000000-0005-0000-0000-00008E080000}"/>
    <cellStyle name="Normal 3 13 3 3 2" xfId="3650" xr:uid="{00000000-0005-0000-0000-00008F080000}"/>
    <cellStyle name="Normal 3 13 3 4" xfId="2390" xr:uid="{00000000-0005-0000-0000-000090080000}"/>
    <cellStyle name="Normal 3 13 4" xfId="870" xr:uid="{00000000-0005-0000-0000-000091080000}"/>
    <cellStyle name="Normal 3 13 4 2" xfId="2822" xr:uid="{00000000-0005-0000-0000-000092080000}"/>
    <cellStyle name="Normal 3 13 5" xfId="1496" xr:uid="{00000000-0005-0000-0000-000093080000}"/>
    <cellStyle name="Normal 3 13 5 2" xfId="3447" xr:uid="{00000000-0005-0000-0000-000094080000}"/>
    <cellStyle name="Normal 3 13 6" xfId="2187" xr:uid="{00000000-0005-0000-0000-000095080000}"/>
    <cellStyle name="Normal 3 14" xfId="235" xr:uid="{00000000-0005-0000-0000-000096080000}"/>
    <cellStyle name="Normal 3 14 2" xfId="639" xr:uid="{00000000-0005-0000-0000-000097080000}"/>
    <cellStyle name="Normal 3 14 2 2" xfId="1280" xr:uid="{00000000-0005-0000-0000-000098080000}"/>
    <cellStyle name="Normal 3 14 2 2 2" xfId="3232" xr:uid="{00000000-0005-0000-0000-000099080000}"/>
    <cellStyle name="Normal 3 14 2 3" xfId="1906" xr:uid="{00000000-0005-0000-0000-00009A080000}"/>
    <cellStyle name="Normal 3 14 2 3 2" xfId="3857" xr:uid="{00000000-0005-0000-0000-00009B080000}"/>
    <cellStyle name="Normal 3 14 2 4" xfId="2597" xr:uid="{00000000-0005-0000-0000-00009C080000}"/>
    <cellStyle name="Normal 3 14 3" xfId="438" xr:uid="{00000000-0005-0000-0000-00009D080000}"/>
    <cellStyle name="Normal 3 14 3 2" xfId="1079" xr:uid="{00000000-0005-0000-0000-00009E080000}"/>
    <cellStyle name="Normal 3 14 3 2 2" xfId="3031" xr:uid="{00000000-0005-0000-0000-00009F080000}"/>
    <cellStyle name="Normal 3 14 3 3" xfId="1705" xr:uid="{00000000-0005-0000-0000-0000A0080000}"/>
    <cellStyle name="Normal 3 14 3 3 2" xfId="3656" xr:uid="{00000000-0005-0000-0000-0000A1080000}"/>
    <cellStyle name="Normal 3 14 3 4" xfId="2396" xr:uid="{00000000-0005-0000-0000-0000A2080000}"/>
    <cellStyle name="Normal 3 14 4" xfId="876" xr:uid="{00000000-0005-0000-0000-0000A3080000}"/>
    <cellStyle name="Normal 3 14 4 2" xfId="2828" xr:uid="{00000000-0005-0000-0000-0000A4080000}"/>
    <cellStyle name="Normal 3 14 5" xfId="1502" xr:uid="{00000000-0005-0000-0000-0000A5080000}"/>
    <cellStyle name="Normal 3 14 5 2" xfId="3453" xr:uid="{00000000-0005-0000-0000-0000A6080000}"/>
    <cellStyle name="Normal 3 14 6" xfId="2193" xr:uid="{00000000-0005-0000-0000-0000A7080000}"/>
    <cellStyle name="Normal 3 15" xfId="238" xr:uid="{00000000-0005-0000-0000-0000A8080000}"/>
    <cellStyle name="Normal 3 15 2" xfId="642" xr:uid="{00000000-0005-0000-0000-0000A9080000}"/>
    <cellStyle name="Normal 3 15 2 2" xfId="1283" xr:uid="{00000000-0005-0000-0000-0000AA080000}"/>
    <cellStyle name="Normal 3 15 2 2 2" xfId="3235" xr:uid="{00000000-0005-0000-0000-0000AB080000}"/>
    <cellStyle name="Normal 3 15 2 3" xfId="1909" xr:uid="{00000000-0005-0000-0000-0000AC080000}"/>
    <cellStyle name="Normal 3 15 2 3 2" xfId="3860" xr:uid="{00000000-0005-0000-0000-0000AD080000}"/>
    <cellStyle name="Normal 3 15 2 4" xfId="2600" xr:uid="{00000000-0005-0000-0000-0000AE080000}"/>
    <cellStyle name="Normal 3 15 3" xfId="441" xr:uid="{00000000-0005-0000-0000-0000AF080000}"/>
    <cellStyle name="Normal 3 15 3 2" xfId="1082" xr:uid="{00000000-0005-0000-0000-0000B0080000}"/>
    <cellStyle name="Normal 3 15 3 2 2" xfId="3034" xr:uid="{00000000-0005-0000-0000-0000B1080000}"/>
    <cellStyle name="Normal 3 15 3 3" xfId="1708" xr:uid="{00000000-0005-0000-0000-0000B2080000}"/>
    <cellStyle name="Normal 3 15 3 3 2" xfId="3659" xr:uid="{00000000-0005-0000-0000-0000B3080000}"/>
    <cellStyle name="Normal 3 15 3 4" xfId="2399" xr:uid="{00000000-0005-0000-0000-0000B4080000}"/>
    <cellStyle name="Normal 3 15 4" xfId="879" xr:uid="{00000000-0005-0000-0000-0000B5080000}"/>
    <cellStyle name="Normal 3 15 4 2" xfId="2831" xr:uid="{00000000-0005-0000-0000-0000B6080000}"/>
    <cellStyle name="Normal 3 15 5" xfId="1505" xr:uid="{00000000-0005-0000-0000-0000B7080000}"/>
    <cellStyle name="Normal 3 15 5 2" xfId="3456" xr:uid="{00000000-0005-0000-0000-0000B8080000}"/>
    <cellStyle name="Normal 3 15 6" xfId="1977" xr:uid="{00000000-0005-0000-0000-0000B9080000}"/>
    <cellStyle name="Normal 3 15 6 2" xfId="3928" xr:uid="{00000000-0005-0000-0000-0000BA080000}"/>
    <cellStyle name="Normal 3 15 7" xfId="2196" xr:uid="{00000000-0005-0000-0000-0000BB080000}"/>
    <cellStyle name="Normal 3 16" xfId="242" xr:uid="{00000000-0005-0000-0000-0000BC080000}"/>
    <cellStyle name="Normal 3 16 2" xfId="646" xr:uid="{00000000-0005-0000-0000-0000BD080000}"/>
    <cellStyle name="Normal 3 16 2 2" xfId="1287" xr:uid="{00000000-0005-0000-0000-0000BE080000}"/>
    <cellStyle name="Normal 3 16 2 2 2" xfId="3239" xr:uid="{00000000-0005-0000-0000-0000BF080000}"/>
    <cellStyle name="Normal 3 16 2 3" xfId="1913" xr:uid="{00000000-0005-0000-0000-0000C0080000}"/>
    <cellStyle name="Normal 3 16 2 3 2" xfId="3864" xr:uid="{00000000-0005-0000-0000-0000C1080000}"/>
    <cellStyle name="Normal 3 16 2 4" xfId="2604" xr:uid="{00000000-0005-0000-0000-0000C2080000}"/>
    <cellStyle name="Normal 3 16 3" xfId="445" xr:uid="{00000000-0005-0000-0000-0000C3080000}"/>
    <cellStyle name="Normal 3 16 3 2" xfId="1086" xr:uid="{00000000-0005-0000-0000-0000C4080000}"/>
    <cellStyle name="Normal 3 16 3 2 2" xfId="3038" xr:uid="{00000000-0005-0000-0000-0000C5080000}"/>
    <cellStyle name="Normal 3 16 3 3" xfId="1712" xr:uid="{00000000-0005-0000-0000-0000C6080000}"/>
    <cellStyle name="Normal 3 16 3 3 2" xfId="3663" xr:uid="{00000000-0005-0000-0000-0000C7080000}"/>
    <cellStyle name="Normal 3 16 3 4" xfId="2403" xr:uid="{00000000-0005-0000-0000-0000C8080000}"/>
    <cellStyle name="Normal 3 16 4" xfId="883" xr:uid="{00000000-0005-0000-0000-0000C9080000}"/>
    <cellStyle name="Normal 3 16 4 2" xfId="2835" xr:uid="{00000000-0005-0000-0000-0000CA080000}"/>
    <cellStyle name="Normal 3 16 5" xfId="1509" xr:uid="{00000000-0005-0000-0000-0000CB080000}"/>
    <cellStyle name="Normal 3 16 5 2" xfId="3460" xr:uid="{00000000-0005-0000-0000-0000CC080000}"/>
    <cellStyle name="Normal 3 16 6" xfId="1997" xr:uid="{00000000-0005-0000-0000-0000CD080000}"/>
    <cellStyle name="Normal 3 16 6 2" xfId="3948" xr:uid="{00000000-0005-0000-0000-0000CE080000}"/>
    <cellStyle name="Normal 3 16 7" xfId="2200" xr:uid="{00000000-0005-0000-0000-0000CF080000}"/>
    <cellStyle name="Normal 3 17" xfId="246" xr:uid="{00000000-0005-0000-0000-0000D0080000}"/>
    <cellStyle name="Normal 3 17 2" xfId="650" xr:uid="{00000000-0005-0000-0000-0000D1080000}"/>
    <cellStyle name="Normal 3 17 2 2" xfId="1291" xr:uid="{00000000-0005-0000-0000-0000D2080000}"/>
    <cellStyle name="Normal 3 17 2 2 2" xfId="3243" xr:uid="{00000000-0005-0000-0000-0000D3080000}"/>
    <cellStyle name="Normal 3 17 2 3" xfId="1917" xr:uid="{00000000-0005-0000-0000-0000D4080000}"/>
    <cellStyle name="Normal 3 17 2 3 2" xfId="3868" xr:uid="{00000000-0005-0000-0000-0000D5080000}"/>
    <cellStyle name="Normal 3 17 2 4" xfId="2608" xr:uid="{00000000-0005-0000-0000-0000D6080000}"/>
    <cellStyle name="Normal 3 17 3" xfId="449" xr:uid="{00000000-0005-0000-0000-0000D7080000}"/>
    <cellStyle name="Normal 3 17 3 2" xfId="1090" xr:uid="{00000000-0005-0000-0000-0000D8080000}"/>
    <cellStyle name="Normal 3 17 3 2 2" xfId="3042" xr:uid="{00000000-0005-0000-0000-0000D9080000}"/>
    <cellStyle name="Normal 3 17 3 3" xfId="1716" xr:uid="{00000000-0005-0000-0000-0000DA080000}"/>
    <cellStyle name="Normal 3 17 3 3 2" xfId="3667" xr:uid="{00000000-0005-0000-0000-0000DB080000}"/>
    <cellStyle name="Normal 3 17 3 4" xfId="2407" xr:uid="{00000000-0005-0000-0000-0000DC080000}"/>
    <cellStyle name="Normal 3 17 4" xfId="887" xr:uid="{00000000-0005-0000-0000-0000DD080000}"/>
    <cellStyle name="Normal 3 17 4 2" xfId="2839" xr:uid="{00000000-0005-0000-0000-0000DE080000}"/>
    <cellStyle name="Normal 3 17 5" xfId="1513" xr:uid="{00000000-0005-0000-0000-0000DF080000}"/>
    <cellStyle name="Normal 3 17 5 2" xfId="3464" xr:uid="{00000000-0005-0000-0000-0000E0080000}"/>
    <cellStyle name="Normal 3 17 6" xfId="2204" xr:uid="{00000000-0005-0000-0000-0000E1080000}"/>
    <cellStyle name="Normal 3 18" xfId="249" xr:uid="{00000000-0005-0000-0000-0000E2080000}"/>
    <cellStyle name="Normal 3 18 2" xfId="653" xr:uid="{00000000-0005-0000-0000-0000E3080000}"/>
    <cellStyle name="Normal 3 18 2 2" xfId="1294" xr:uid="{00000000-0005-0000-0000-0000E4080000}"/>
    <cellStyle name="Normal 3 18 2 2 2" xfId="3246" xr:uid="{00000000-0005-0000-0000-0000E5080000}"/>
    <cellStyle name="Normal 3 18 2 3" xfId="1920" xr:uid="{00000000-0005-0000-0000-0000E6080000}"/>
    <cellStyle name="Normal 3 18 2 3 2" xfId="3871" xr:uid="{00000000-0005-0000-0000-0000E7080000}"/>
    <cellStyle name="Normal 3 18 2 4" xfId="2611" xr:uid="{00000000-0005-0000-0000-0000E8080000}"/>
    <cellStyle name="Normal 3 18 3" xfId="452" xr:uid="{00000000-0005-0000-0000-0000E9080000}"/>
    <cellStyle name="Normal 3 18 3 2" xfId="1093" xr:uid="{00000000-0005-0000-0000-0000EA080000}"/>
    <cellStyle name="Normal 3 18 3 2 2" xfId="3045" xr:uid="{00000000-0005-0000-0000-0000EB080000}"/>
    <cellStyle name="Normal 3 18 3 3" xfId="1719" xr:uid="{00000000-0005-0000-0000-0000EC080000}"/>
    <cellStyle name="Normal 3 18 3 3 2" xfId="3670" xr:uid="{00000000-0005-0000-0000-0000ED080000}"/>
    <cellStyle name="Normal 3 18 3 4" xfId="2410" xr:uid="{00000000-0005-0000-0000-0000EE080000}"/>
    <cellStyle name="Normal 3 18 4" xfId="890" xr:uid="{00000000-0005-0000-0000-0000EF080000}"/>
    <cellStyle name="Normal 3 18 4 2" xfId="2842" xr:uid="{00000000-0005-0000-0000-0000F0080000}"/>
    <cellStyle name="Normal 3 18 5" xfId="1516" xr:uid="{00000000-0005-0000-0000-0000F1080000}"/>
    <cellStyle name="Normal 3 18 5 2" xfId="3467" xr:uid="{00000000-0005-0000-0000-0000F2080000}"/>
    <cellStyle name="Normal 3 18 6" xfId="1999" xr:uid="{00000000-0005-0000-0000-0000F3080000}"/>
    <cellStyle name="Normal 3 18 6 2" xfId="3950" xr:uid="{00000000-0005-0000-0000-0000F4080000}"/>
    <cellStyle name="Normal 3 18 7" xfId="2207" xr:uid="{00000000-0005-0000-0000-0000F5080000}"/>
    <cellStyle name="Normal 3 19" xfId="252" xr:uid="{00000000-0005-0000-0000-0000F6080000}"/>
    <cellStyle name="Normal 3 19 2" xfId="656" xr:uid="{00000000-0005-0000-0000-0000F7080000}"/>
    <cellStyle name="Normal 3 19 2 2" xfId="1297" xr:uid="{00000000-0005-0000-0000-0000F8080000}"/>
    <cellStyle name="Normal 3 19 2 2 2" xfId="3249" xr:uid="{00000000-0005-0000-0000-0000F9080000}"/>
    <cellStyle name="Normal 3 19 2 3" xfId="1923" xr:uid="{00000000-0005-0000-0000-0000FA080000}"/>
    <cellStyle name="Normal 3 19 2 3 2" xfId="3874" xr:uid="{00000000-0005-0000-0000-0000FB080000}"/>
    <cellStyle name="Normal 3 19 2 4" xfId="2614" xr:uid="{00000000-0005-0000-0000-0000FC080000}"/>
    <cellStyle name="Normal 3 19 3" xfId="455" xr:uid="{00000000-0005-0000-0000-0000FD080000}"/>
    <cellStyle name="Normal 3 19 3 2" xfId="1096" xr:uid="{00000000-0005-0000-0000-0000FE080000}"/>
    <cellStyle name="Normal 3 19 3 2 2" xfId="3048" xr:uid="{00000000-0005-0000-0000-0000FF080000}"/>
    <cellStyle name="Normal 3 19 3 3" xfId="1722" xr:uid="{00000000-0005-0000-0000-000000090000}"/>
    <cellStyle name="Normal 3 19 3 3 2" xfId="3673" xr:uid="{00000000-0005-0000-0000-000001090000}"/>
    <cellStyle name="Normal 3 19 3 4" xfId="2413" xr:uid="{00000000-0005-0000-0000-000002090000}"/>
    <cellStyle name="Normal 3 19 4" xfId="893" xr:uid="{00000000-0005-0000-0000-000003090000}"/>
    <cellStyle name="Normal 3 19 4 2" xfId="2845" xr:uid="{00000000-0005-0000-0000-000004090000}"/>
    <cellStyle name="Normal 3 19 5" xfId="1519" xr:uid="{00000000-0005-0000-0000-000005090000}"/>
    <cellStyle name="Normal 3 19 5 2" xfId="3470" xr:uid="{00000000-0005-0000-0000-000006090000}"/>
    <cellStyle name="Normal 3 19 6" xfId="2210" xr:uid="{00000000-0005-0000-0000-000007090000}"/>
    <cellStyle name="Normal 3 2" xfId="68" xr:uid="{00000000-0005-0000-0000-000008090000}"/>
    <cellStyle name="Normal 3 2 2" xfId="99" xr:uid="{00000000-0005-0000-0000-000009090000}"/>
    <cellStyle name="Normal 3 2 2 2" xfId="170" xr:uid="{00000000-0005-0000-0000-00000A090000}"/>
    <cellStyle name="Normal 3 2 2 2 2" xfId="574" xr:uid="{00000000-0005-0000-0000-00000B090000}"/>
    <cellStyle name="Normal 3 2 2 2 2 2" xfId="1215" xr:uid="{00000000-0005-0000-0000-00000C090000}"/>
    <cellStyle name="Normal 3 2 2 2 2 2 2" xfId="3167" xr:uid="{00000000-0005-0000-0000-00000D090000}"/>
    <cellStyle name="Normal 3 2 2 2 2 3" xfId="1841" xr:uid="{00000000-0005-0000-0000-00000E090000}"/>
    <cellStyle name="Normal 3 2 2 2 2 3 2" xfId="3792" xr:uid="{00000000-0005-0000-0000-00000F090000}"/>
    <cellStyle name="Normal 3 2 2 2 2 4" xfId="2532" xr:uid="{00000000-0005-0000-0000-000010090000}"/>
    <cellStyle name="Normal 3 2 2 2 3" xfId="373" xr:uid="{00000000-0005-0000-0000-000011090000}"/>
    <cellStyle name="Normal 3 2 2 2 3 2" xfId="1014" xr:uid="{00000000-0005-0000-0000-000012090000}"/>
    <cellStyle name="Normal 3 2 2 2 3 2 2" xfId="2966" xr:uid="{00000000-0005-0000-0000-000013090000}"/>
    <cellStyle name="Normal 3 2 2 2 3 3" xfId="1640" xr:uid="{00000000-0005-0000-0000-000014090000}"/>
    <cellStyle name="Normal 3 2 2 2 3 3 2" xfId="3591" xr:uid="{00000000-0005-0000-0000-000015090000}"/>
    <cellStyle name="Normal 3 2 2 2 3 4" xfId="2331" xr:uid="{00000000-0005-0000-0000-000016090000}"/>
    <cellStyle name="Normal 3 2 2 2 4" xfId="811" xr:uid="{00000000-0005-0000-0000-000017090000}"/>
    <cellStyle name="Normal 3 2 2 2 4 2" xfId="2763" xr:uid="{00000000-0005-0000-0000-000018090000}"/>
    <cellStyle name="Normal 3 2 2 2 5" xfId="1437" xr:uid="{00000000-0005-0000-0000-000019090000}"/>
    <cellStyle name="Normal 3 2 2 2 5 2" xfId="3388" xr:uid="{00000000-0005-0000-0000-00001A090000}"/>
    <cellStyle name="Normal 3 2 2 2 6" xfId="2128" xr:uid="{00000000-0005-0000-0000-00001B090000}"/>
    <cellStyle name="Normal 3 2 2 3" xfId="504" xr:uid="{00000000-0005-0000-0000-00001C090000}"/>
    <cellStyle name="Normal 3 2 2 3 2" xfId="1145" xr:uid="{00000000-0005-0000-0000-00001D090000}"/>
    <cellStyle name="Normal 3 2 2 3 2 2" xfId="3097" xr:uid="{00000000-0005-0000-0000-00001E090000}"/>
    <cellStyle name="Normal 3 2 2 3 3" xfId="1771" xr:uid="{00000000-0005-0000-0000-00001F090000}"/>
    <cellStyle name="Normal 3 2 2 3 3 2" xfId="3722" xr:uid="{00000000-0005-0000-0000-000020090000}"/>
    <cellStyle name="Normal 3 2 2 3 4" xfId="2462" xr:uid="{00000000-0005-0000-0000-000021090000}"/>
    <cellStyle name="Normal 3 2 2 4" xfId="303" xr:uid="{00000000-0005-0000-0000-000022090000}"/>
    <cellStyle name="Normal 3 2 2 4 2" xfId="944" xr:uid="{00000000-0005-0000-0000-000023090000}"/>
    <cellStyle name="Normal 3 2 2 4 2 2" xfId="2896" xr:uid="{00000000-0005-0000-0000-000024090000}"/>
    <cellStyle name="Normal 3 2 2 4 3" xfId="1570" xr:uid="{00000000-0005-0000-0000-000025090000}"/>
    <cellStyle name="Normal 3 2 2 4 3 2" xfId="3521" xr:uid="{00000000-0005-0000-0000-000026090000}"/>
    <cellStyle name="Normal 3 2 2 4 4" xfId="2261" xr:uid="{00000000-0005-0000-0000-000027090000}"/>
    <cellStyle name="Normal 3 2 2 5" xfId="741" xr:uid="{00000000-0005-0000-0000-000028090000}"/>
    <cellStyle name="Normal 3 2 2 5 2" xfId="2693" xr:uid="{00000000-0005-0000-0000-000029090000}"/>
    <cellStyle name="Normal 3 2 2 6" xfId="1367" xr:uid="{00000000-0005-0000-0000-00002A090000}"/>
    <cellStyle name="Normal 3 2 2 6 2" xfId="3318" xr:uid="{00000000-0005-0000-0000-00002B090000}"/>
    <cellStyle name="Normal 3 2 2 7" xfId="2058" xr:uid="{00000000-0005-0000-0000-00002C090000}"/>
    <cellStyle name="Normal 3 2 3" xfId="140" xr:uid="{00000000-0005-0000-0000-00002D090000}"/>
    <cellStyle name="Normal 3 2 3 2" xfId="544" xr:uid="{00000000-0005-0000-0000-00002E090000}"/>
    <cellStyle name="Normal 3 2 3 2 2" xfId="1185" xr:uid="{00000000-0005-0000-0000-00002F090000}"/>
    <cellStyle name="Normal 3 2 3 2 2 2" xfId="3137" xr:uid="{00000000-0005-0000-0000-000030090000}"/>
    <cellStyle name="Normal 3 2 3 2 3" xfId="1811" xr:uid="{00000000-0005-0000-0000-000031090000}"/>
    <cellStyle name="Normal 3 2 3 2 3 2" xfId="3762" xr:uid="{00000000-0005-0000-0000-000032090000}"/>
    <cellStyle name="Normal 3 2 3 2 4" xfId="2502" xr:uid="{00000000-0005-0000-0000-000033090000}"/>
    <cellStyle name="Normal 3 2 3 3" xfId="343" xr:uid="{00000000-0005-0000-0000-000034090000}"/>
    <cellStyle name="Normal 3 2 3 3 2" xfId="984" xr:uid="{00000000-0005-0000-0000-000035090000}"/>
    <cellStyle name="Normal 3 2 3 3 2 2" xfId="2936" xr:uid="{00000000-0005-0000-0000-000036090000}"/>
    <cellStyle name="Normal 3 2 3 3 3" xfId="1610" xr:uid="{00000000-0005-0000-0000-000037090000}"/>
    <cellStyle name="Normal 3 2 3 3 3 2" xfId="3561" xr:uid="{00000000-0005-0000-0000-000038090000}"/>
    <cellStyle name="Normal 3 2 3 3 4" xfId="2301" xr:uid="{00000000-0005-0000-0000-000039090000}"/>
    <cellStyle name="Normal 3 2 3 4" xfId="781" xr:uid="{00000000-0005-0000-0000-00003A090000}"/>
    <cellStyle name="Normal 3 2 3 4 2" xfId="2733" xr:uid="{00000000-0005-0000-0000-00003B090000}"/>
    <cellStyle name="Normal 3 2 3 5" xfId="1407" xr:uid="{00000000-0005-0000-0000-00003C090000}"/>
    <cellStyle name="Normal 3 2 3 5 2" xfId="3358" xr:uid="{00000000-0005-0000-0000-00003D090000}"/>
    <cellStyle name="Normal 3 2 3 6" xfId="2098" xr:uid="{00000000-0005-0000-0000-00003E090000}"/>
    <cellStyle name="Normal 3 2 4" xfId="202" xr:uid="{00000000-0005-0000-0000-00003F090000}"/>
    <cellStyle name="Normal 3 2 4 2" xfId="606" xr:uid="{00000000-0005-0000-0000-000040090000}"/>
    <cellStyle name="Normal 3 2 4 2 2" xfId="1247" xr:uid="{00000000-0005-0000-0000-000041090000}"/>
    <cellStyle name="Normal 3 2 4 2 2 2" xfId="3199" xr:uid="{00000000-0005-0000-0000-000042090000}"/>
    <cellStyle name="Normal 3 2 4 2 3" xfId="1873" xr:uid="{00000000-0005-0000-0000-000043090000}"/>
    <cellStyle name="Normal 3 2 4 2 3 2" xfId="3824" xr:uid="{00000000-0005-0000-0000-000044090000}"/>
    <cellStyle name="Normal 3 2 4 2 4" xfId="2564" xr:uid="{00000000-0005-0000-0000-000045090000}"/>
    <cellStyle name="Normal 3 2 4 3" xfId="405" xr:uid="{00000000-0005-0000-0000-000046090000}"/>
    <cellStyle name="Normal 3 2 4 3 2" xfId="1046" xr:uid="{00000000-0005-0000-0000-000047090000}"/>
    <cellStyle name="Normal 3 2 4 3 2 2" xfId="2998" xr:uid="{00000000-0005-0000-0000-000048090000}"/>
    <cellStyle name="Normal 3 2 4 3 3" xfId="1672" xr:uid="{00000000-0005-0000-0000-000049090000}"/>
    <cellStyle name="Normal 3 2 4 3 3 2" xfId="3623" xr:uid="{00000000-0005-0000-0000-00004A090000}"/>
    <cellStyle name="Normal 3 2 4 3 4" xfId="2363" xr:uid="{00000000-0005-0000-0000-00004B090000}"/>
    <cellStyle name="Normal 3 2 4 4" xfId="843" xr:uid="{00000000-0005-0000-0000-00004C090000}"/>
    <cellStyle name="Normal 3 2 4 4 2" xfId="2795" xr:uid="{00000000-0005-0000-0000-00004D090000}"/>
    <cellStyle name="Normal 3 2 4 5" xfId="1469" xr:uid="{00000000-0005-0000-0000-00004E090000}"/>
    <cellStyle name="Normal 3 2 4 5 2" xfId="3420" xr:uid="{00000000-0005-0000-0000-00004F090000}"/>
    <cellStyle name="Normal 3 2 4 6" xfId="2160" xr:uid="{00000000-0005-0000-0000-000050090000}"/>
    <cellStyle name="Normal 3 2 5" xfId="474" xr:uid="{00000000-0005-0000-0000-000051090000}"/>
    <cellStyle name="Normal 3 2 5 2" xfId="1115" xr:uid="{00000000-0005-0000-0000-000052090000}"/>
    <cellStyle name="Normal 3 2 5 2 2" xfId="3067" xr:uid="{00000000-0005-0000-0000-000053090000}"/>
    <cellStyle name="Normal 3 2 5 3" xfId="1741" xr:uid="{00000000-0005-0000-0000-000054090000}"/>
    <cellStyle name="Normal 3 2 5 3 2" xfId="3692" xr:uid="{00000000-0005-0000-0000-000055090000}"/>
    <cellStyle name="Normal 3 2 5 4" xfId="2432" xr:uid="{00000000-0005-0000-0000-000056090000}"/>
    <cellStyle name="Normal 3 2 6" xfId="273" xr:uid="{00000000-0005-0000-0000-000057090000}"/>
    <cellStyle name="Normal 3 2 6 2" xfId="914" xr:uid="{00000000-0005-0000-0000-000058090000}"/>
    <cellStyle name="Normal 3 2 6 2 2" xfId="2866" xr:uid="{00000000-0005-0000-0000-000059090000}"/>
    <cellStyle name="Normal 3 2 6 3" xfId="1540" xr:uid="{00000000-0005-0000-0000-00005A090000}"/>
    <cellStyle name="Normal 3 2 6 3 2" xfId="3491" xr:uid="{00000000-0005-0000-0000-00005B090000}"/>
    <cellStyle name="Normal 3 2 6 4" xfId="2231" xr:uid="{00000000-0005-0000-0000-00005C090000}"/>
    <cellStyle name="Normal 3 2 7" xfId="711" xr:uid="{00000000-0005-0000-0000-00005D090000}"/>
    <cellStyle name="Normal 3 2 7 2" xfId="2663" xr:uid="{00000000-0005-0000-0000-00005E090000}"/>
    <cellStyle name="Normal 3 2 8" xfId="1337" xr:uid="{00000000-0005-0000-0000-00005F090000}"/>
    <cellStyle name="Normal 3 2 8 2" xfId="3288" xr:uid="{00000000-0005-0000-0000-000060090000}"/>
    <cellStyle name="Normal 3 2 9" xfId="2028" xr:uid="{00000000-0005-0000-0000-000061090000}"/>
    <cellStyle name="Normal 3 20" xfId="461" xr:uid="{00000000-0005-0000-0000-000062090000}"/>
    <cellStyle name="Normal 3 20 2" xfId="1102" xr:uid="{00000000-0005-0000-0000-000063090000}"/>
    <cellStyle name="Normal 3 20 2 2" xfId="3054" xr:uid="{00000000-0005-0000-0000-000064090000}"/>
    <cellStyle name="Normal 3 20 3" xfId="1728" xr:uid="{00000000-0005-0000-0000-000065090000}"/>
    <cellStyle name="Normal 3 20 3 2" xfId="3679" xr:uid="{00000000-0005-0000-0000-000066090000}"/>
    <cellStyle name="Normal 3 20 4" xfId="2419" xr:uid="{00000000-0005-0000-0000-000067090000}"/>
    <cellStyle name="Normal 3 21" xfId="260" xr:uid="{00000000-0005-0000-0000-000068090000}"/>
    <cellStyle name="Normal 3 21 2" xfId="901" xr:uid="{00000000-0005-0000-0000-000069090000}"/>
    <cellStyle name="Normal 3 21 2 2" xfId="2853" xr:uid="{00000000-0005-0000-0000-00006A090000}"/>
    <cellStyle name="Normal 3 21 3" xfId="1527" xr:uid="{00000000-0005-0000-0000-00006B090000}"/>
    <cellStyle name="Normal 3 21 3 2" xfId="3478" xr:uid="{00000000-0005-0000-0000-00006C090000}"/>
    <cellStyle name="Normal 3 21 4" xfId="2218" xr:uid="{00000000-0005-0000-0000-00006D090000}"/>
    <cellStyle name="Normal 3 22" xfId="671" xr:uid="{00000000-0005-0000-0000-00006E090000}"/>
    <cellStyle name="Normal 3 22 2" xfId="1312" xr:uid="{00000000-0005-0000-0000-00006F090000}"/>
    <cellStyle name="Normal 3 22 2 2" xfId="3264" xr:uid="{00000000-0005-0000-0000-000070090000}"/>
    <cellStyle name="Normal 3 22 3" xfId="1938" xr:uid="{00000000-0005-0000-0000-000071090000}"/>
    <cellStyle name="Normal 3 22 3 2" xfId="3889" xr:uid="{00000000-0005-0000-0000-000072090000}"/>
    <cellStyle name="Normal 3 22 4" xfId="2629" xr:uid="{00000000-0005-0000-0000-000073090000}"/>
    <cellStyle name="Normal 3 23" xfId="674" xr:uid="{00000000-0005-0000-0000-000074090000}"/>
    <cellStyle name="Normal 3 23 2" xfId="1315" xr:uid="{00000000-0005-0000-0000-000075090000}"/>
    <cellStyle name="Normal 3 23 2 2" xfId="3267" xr:uid="{00000000-0005-0000-0000-000076090000}"/>
    <cellStyle name="Normal 3 23 3" xfId="1941" xr:uid="{00000000-0005-0000-0000-000077090000}"/>
    <cellStyle name="Normal 3 23 3 2" xfId="3892" xr:uid="{00000000-0005-0000-0000-000078090000}"/>
    <cellStyle name="Normal 3 23 4" xfId="2632" xr:uid="{00000000-0005-0000-0000-000079090000}"/>
    <cellStyle name="Normal 3 24" xfId="677" xr:uid="{00000000-0005-0000-0000-00007A090000}"/>
    <cellStyle name="Normal 3 24 2" xfId="1318" xr:uid="{00000000-0005-0000-0000-00007B090000}"/>
    <cellStyle name="Normal 3 24 2 2" xfId="3270" xr:uid="{00000000-0005-0000-0000-00007C090000}"/>
    <cellStyle name="Normal 3 24 3" xfId="1944" xr:uid="{00000000-0005-0000-0000-00007D090000}"/>
    <cellStyle name="Normal 3 24 3 2" xfId="3895" xr:uid="{00000000-0005-0000-0000-00007E090000}"/>
    <cellStyle name="Normal 3 24 4" xfId="2635" xr:uid="{00000000-0005-0000-0000-00007F090000}"/>
    <cellStyle name="Normal 3 25" xfId="680" xr:uid="{00000000-0005-0000-0000-000080090000}"/>
    <cellStyle name="Normal 3 25 2" xfId="1321" xr:uid="{00000000-0005-0000-0000-000081090000}"/>
    <cellStyle name="Normal 3 25 2 2" xfId="3273" xr:uid="{00000000-0005-0000-0000-000082090000}"/>
    <cellStyle name="Normal 3 25 3" xfId="1947" xr:uid="{00000000-0005-0000-0000-000083090000}"/>
    <cellStyle name="Normal 3 25 3 2" xfId="3898" xr:uid="{00000000-0005-0000-0000-000084090000}"/>
    <cellStyle name="Normal 3 25 4" xfId="2638" xr:uid="{00000000-0005-0000-0000-000085090000}"/>
    <cellStyle name="Normal 3 26" xfId="687" xr:uid="{00000000-0005-0000-0000-000086090000}"/>
    <cellStyle name="Normal 3 26 2" xfId="1325" xr:uid="{00000000-0005-0000-0000-000087090000}"/>
    <cellStyle name="Normal 3 26 2 2" xfId="3277" xr:uid="{00000000-0005-0000-0000-000088090000}"/>
    <cellStyle name="Normal 3 26 3" xfId="1950" xr:uid="{00000000-0005-0000-0000-000089090000}"/>
    <cellStyle name="Normal 3 26 3 2" xfId="3901" xr:uid="{00000000-0005-0000-0000-00008A090000}"/>
    <cellStyle name="Normal 3 26 4" xfId="2641" xr:uid="{00000000-0005-0000-0000-00008B090000}"/>
    <cellStyle name="Normal 3 27" xfId="694" xr:uid="{00000000-0005-0000-0000-00008C090000}"/>
    <cellStyle name="Normal 3 27 2" xfId="2646" xr:uid="{00000000-0005-0000-0000-00008D090000}"/>
    <cellStyle name="Normal 3 28" xfId="1323" xr:uid="{00000000-0005-0000-0000-00008E090000}"/>
    <cellStyle name="Normal 3 28 2" xfId="3275" xr:uid="{00000000-0005-0000-0000-00008F090000}"/>
    <cellStyle name="Normal 3 29" xfId="1966" xr:uid="{00000000-0005-0000-0000-000090090000}"/>
    <cellStyle name="Normal 3 29 2" xfId="3916" xr:uid="{00000000-0005-0000-0000-000091090000}"/>
    <cellStyle name="Normal 3 3" xfId="81" xr:uid="{00000000-0005-0000-0000-000092090000}"/>
    <cellStyle name="Normal 3 3 2" xfId="112" xr:uid="{00000000-0005-0000-0000-000093090000}"/>
    <cellStyle name="Normal 3 3 2 2" xfId="183" xr:uid="{00000000-0005-0000-0000-000094090000}"/>
    <cellStyle name="Normal 3 3 2 2 2" xfId="587" xr:uid="{00000000-0005-0000-0000-000095090000}"/>
    <cellStyle name="Normal 3 3 2 2 2 2" xfId="1228" xr:uid="{00000000-0005-0000-0000-000096090000}"/>
    <cellStyle name="Normal 3 3 2 2 2 2 2" xfId="3180" xr:uid="{00000000-0005-0000-0000-000097090000}"/>
    <cellStyle name="Normal 3 3 2 2 2 3" xfId="1854" xr:uid="{00000000-0005-0000-0000-000098090000}"/>
    <cellStyle name="Normal 3 3 2 2 2 3 2" xfId="3805" xr:uid="{00000000-0005-0000-0000-000099090000}"/>
    <cellStyle name="Normal 3 3 2 2 2 4" xfId="2545" xr:uid="{00000000-0005-0000-0000-00009A090000}"/>
    <cellStyle name="Normal 3 3 2 2 3" xfId="386" xr:uid="{00000000-0005-0000-0000-00009B090000}"/>
    <cellStyle name="Normal 3 3 2 2 3 2" xfId="1027" xr:uid="{00000000-0005-0000-0000-00009C090000}"/>
    <cellStyle name="Normal 3 3 2 2 3 2 2" xfId="2979" xr:uid="{00000000-0005-0000-0000-00009D090000}"/>
    <cellStyle name="Normal 3 3 2 2 3 3" xfId="1653" xr:uid="{00000000-0005-0000-0000-00009E090000}"/>
    <cellStyle name="Normal 3 3 2 2 3 3 2" xfId="3604" xr:uid="{00000000-0005-0000-0000-00009F090000}"/>
    <cellStyle name="Normal 3 3 2 2 3 4" xfId="2344" xr:uid="{00000000-0005-0000-0000-0000A0090000}"/>
    <cellStyle name="Normal 3 3 2 2 4" xfId="824" xr:uid="{00000000-0005-0000-0000-0000A1090000}"/>
    <cellStyle name="Normal 3 3 2 2 4 2" xfId="2776" xr:uid="{00000000-0005-0000-0000-0000A2090000}"/>
    <cellStyle name="Normal 3 3 2 2 5" xfId="1450" xr:uid="{00000000-0005-0000-0000-0000A3090000}"/>
    <cellStyle name="Normal 3 3 2 2 5 2" xfId="3401" xr:uid="{00000000-0005-0000-0000-0000A4090000}"/>
    <cellStyle name="Normal 3 3 2 2 6" xfId="2141" xr:uid="{00000000-0005-0000-0000-0000A5090000}"/>
    <cellStyle name="Normal 3 3 2 3" xfId="517" xr:uid="{00000000-0005-0000-0000-0000A6090000}"/>
    <cellStyle name="Normal 3 3 2 3 2" xfId="1158" xr:uid="{00000000-0005-0000-0000-0000A7090000}"/>
    <cellStyle name="Normal 3 3 2 3 2 2" xfId="3110" xr:uid="{00000000-0005-0000-0000-0000A8090000}"/>
    <cellStyle name="Normal 3 3 2 3 3" xfId="1784" xr:uid="{00000000-0005-0000-0000-0000A9090000}"/>
    <cellStyle name="Normal 3 3 2 3 3 2" xfId="3735" xr:uid="{00000000-0005-0000-0000-0000AA090000}"/>
    <cellStyle name="Normal 3 3 2 3 4" xfId="2475" xr:uid="{00000000-0005-0000-0000-0000AB090000}"/>
    <cellStyle name="Normal 3 3 2 4" xfId="316" xr:uid="{00000000-0005-0000-0000-0000AC090000}"/>
    <cellStyle name="Normal 3 3 2 4 2" xfId="957" xr:uid="{00000000-0005-0000-0000-0000AD090000}"/>
    <cellStyle name="Normal 3 3 2 4 2 2" xfId="2909" xr:uid="{00000000-0005-0000-0000-0000AE090000}"/>
    <cellStyle name="Normal 3 3 2 4 3" xfId="1583" xr:uid="{00000000-0005-0000-0000-0000AF090000}"/>
    <cellStyle name="Normal 3 3 2 4 3 2" xfId="3534" xr:uid="{00000000-0005-0000-0000-0000B0090000}"/>
    <cellStyle name="Normal 3 3 2 4 4" xfId="2274" xr:uid="{00000000-0005-0000-0000-0000B1090000}"/>
    <cellStyle name="Normal 3 3 2 5" xfId="754" xr:uid="{00000000-0005-0000-0000-0000B2090000}"/>
    <cellStyle name="Normal 3 3 2 5 2" xfId="2706" xr:uid="{00000000-0005-0000-0000-0000B3090000}"/>
    <cellStyle name="Normal 3 3 2 6" xfId="1380" xr:uid="{00000000-0005-0000-0000-0000B4090000}"/>
    <cellStyle name="Normal 3 3 2 6 2" xfId="3331" xr:uid="{00000000-0005-0000-0000-0000B5090000}"/>
    <cellStyle name="Normal 3 3 2 7" xfId="2071" xr:uid="{00000000-0005-0000-0000-0000B6090000}"/>
    <cellStyle name="Normal 3 3 3" xfId="153" xr:uid="{00000000-0005-0000-0000-0000B7090000}"/>
    <cellStyle name="Normal 3 3 3 2" xfId="557" xr:uid="{00000000-0005-0000-0000-0000B8090000}"/>
    <cellStyle name="Normal 3 3 3 2 2" xfId="1198" xr:uid="{00000000-0005-0000-0000-0000B9090000}"/>
    <cellStyle name="Normal 3 3 3 2 2 2" xfId="3150" xr:uid="{00000000-0005-0000-0000-0000BA090000}"/>
    <cellStyle name="Normal 3 3 3 2 3" xfId="1824" xr:uid="{00000000-0005-0000-0000-0000BB090000}"/>
    <cellStyle name="Normal 3 3 3 2 3 2" xfId="3775" xr:uid="{00000000-0005-0000-0000-0000BC090000}"/>
    <cellStyle name="Normal 3 3 3 2 4" xfId="2515" xr:uid="{00000000-0005-0000-0000-0000BD090000}"/>
    <cellStyle name="Normal 3 3 3 3" xfId="356" xr:uid="{00000000-0005-0000-0000-0000BE090000}"/>
    <cellStyle name="Normal 3 3 3 3 2" xfId="997" xr:uid="{00000000-0005-0000-0000-0000BF090000}"/>
    <cellStyle name="Normal 3 3 3 3 2 2" xfId="2949" xr:uid="{00000000-0005-0000-0000-0000C0090000}"/>
    <cellStyle name="Normal 3 3 3 3 3" xfId="1623" xr:uid="{00000000-0005-0000-0000-0000C1090000}"/>
    <cellStyle name="Normal 3 3 3 3 3 2" xfId="3574" xr:uid="{00000000-0005-0000-0000-0000C2090000}"/>
    <cellStyle name="Normal 3 3 3 3 4" xfId="2314" xr:uid="{00000000-0005-0000-0000-0000C3090000}"/>
    <cellStyle name="Normal 3 3 3 4" xfId="794" xr:uid="{00000000-0005-0000-0000-0000C4090000}"/>
    <cellStyle name="Normal 3 3 3 4 2" xfId="2746" xr:uid="{00000000-0005-0000-0000-0000C5090000}"/>
    <cellStyle name="Normal 3 3 3 5" xfId="1420" xr:uid="{00000000-0005-0000-0000-0000C6090000}"/>
    <cellStyle name="Normal 3 3 3 5 2" xfId="3371" xr:uid="{00000000-0005-0000-0000-0000C7090000}"/>
    <cellStyle name="Normal 3 3 3 6" xfId="2111" xr:uid="{00000000-0005-0000-0000-0000C8090000}"/>
    <cellStyle name="Normal 3 3 4" xfId="215" xr:uid="{00000000-0005-0000-0000-0000C9090000}"/>
    <cellStyle name="Normal 3 3 4 2" xfId="619" xr:uid="{00000000-0005-0000-0000-0000CA090000}"/>
    <cellStyle name="Normal 3 3 4 2 2" xfId="1260" xr:uid="{00000000-0005-0000-0000-0000CB090000}"/>
    <cellStyle name="Normal 3 3 4 2 2 2" xfId="3212" xr:uid="{00000000-0005-0000-0000-0000CC090000}"/>
    <cellStyle name="Normal 3 3 4 2 3" xfId="1886" xr:uid="{00000000-0005-0000-0000-0000CD090000}"/>
    <cellStyle name="Normal 3 3 4 2 3 2" xfId="3837" xr:uid="{00000000-0005-0000-0000-0000CE090000}"/>
    <cellStyle name="Normal 3 3 4 2 4" xfId="2577" xr:uid="{00000000-0005-0000-0000-0000CF090000}"/>
    <cellStyle name="Normal 3 3 4 3" xfId="418" xr:uid="{00000000-0005-0000-0000-0000D0090000}"/>
    <cellStyle name="Normal 3 3 4 3 2" xfId="1059" xr:uid="{00000000-0005-0000-0000-0000D1090000}"/>
    <cellStyle name="Normal 3 3 4 3 2 2" xfId="3011" xr:uid="{00000000-0005-0000-0000-0000D2090000}"/>
    <cellStyle name="Normal 3 3 4 3 3" xfId="1685" xr:uid="{00000000-0005-0000-0000-0000D3090000}"/>
    <cellStyle name="Normal 3 3 4 3 3 2" xfId="3636" xr:uid="{00000000-0005-0000-0000-0000D4090000}"/>
    <cellStyle name="Normal 3 3 4 3 4" xfId="2376" xr:uid="{00000000-0005-0000-0000-0000D5090000}"/>
    <cellStyle name="Normal 3 3 4 4" xfId="856" xr:uid="{00000000-0005-0000-0000-0000D6090000}"/>
    <cellStyle name="Normal 3 3 4 4 2" xfId="2808" xr:uid="{00000000-0005-0000-0000-0000D7090000}"/>
    <cellStyle name="Normal 3 3 4 5" xfId="1482" xr:uid="{00000000-0005-0000-0000-0000D8090000}"/>
    <cellStyle name="Normal 3 3 4 5 2" xfId="3433" xr:uid="{00000000-0005-0000-0000-0000D9090000}"/>
    <cellStyle name="Normal 3 3 4 6" xfId="2173" xr:uid="{00000000-0005-0000-0000-0000DA090000}"/>
    <cellStyle name="Normal 3 3 5" xfId="487" xr:uid="{00000000-0005-0000-0000-0000DB090000}"/>
    <cellStyle name="Normal 3 3 5 2" xfId="1128" xr:uid="{00000000-0005-0000-0000-0000DC090000}"/>
    <cellStyle name="Normal 3 3 5 2 2" xfId="3080" xr:uid="{00000000-0005-0000-0000-0000DD090000}"/>
    <cellStyle name="Normal 3 3 5 3" xfId="1754" xr:uid="{00000000-0005-0000-0000-0000DE090000}"/>
    <cellStyle name="Normal 3 3 5 3 2" xfId="3705" xr:uid="{00000000-0005-0000-0000-0000DF090000}"/>
    <cellStyle name="Normal 3 3 5 4" xfId="2445" xr:uid="{00000000-0005-0000-0000-0000E0090000}"/>
    <cellStyle name="Normal 3 3 6" xfId="286" xr:uid="{00000000-0005-0000-0000-0000E1090000}"/>
    <cellStyle name="Normal 3 3 6 2" xfId="927" xr:uid="{00000000-0005-0000-0000-0000E2090000}"/>
    <cellStyle name="Normal 3 3 6 2 2" xfId="2879" xr:uid="{00000000-0005-0000-0000-0000E3090000}"/>
    <cellStyle name="Normal 3 3 6 3" xfId="1553" xr:uid="{00000000-0005-0000-0000-0000E4090000}"/>
    <cellStyle name="Normal 3 3 6 3 2" xfId="3504" xr:uid="{00000000-0005-0000-0000-0000E5090000}"/>
    <cellStyle name="Normal 3 3 6 4" xfId="2244" xr:uid="{00000000-0005-0000-0000-0000E6090000}"/>
    <cellStyle name="Normal 3 3 7" xfId="724" xr:uid="{00000000-0005-0000-0000-0000E7090000}"/>
    <cellStyle name="Normal 3 3 7 2" xfId="2676" xr:uid="{00000000-0005-0000-0000-0000E8090000}"/>
    <cellStyle name="Normal 3 3 8" xfId="1350" xr:uid="{00000000-0005-0000-0000-0000E9090000}"/>
    <cellStyle name="Normal 3 3 8 2" xfId="3301" xr:uid="{00000000-0005-0000-0000-0000EA090000}"/>
    <cellStyle name="Normal 3 3 9" xfId="2041" xr:uid="{00000000-0005-0000-0000-0000EB090000}"/>
    <cellStyle name="Normal 3 30" xfId="2015" xr:uid="{00000000-0005-0000-0000-0000EC090000}"/>
    <cellStyle name="Normal 3 31" xfId="3966" xr:uid="{00000000-0005-0000-0000-0000ED090000}"/>
    <cellStyle name="Normal 3 32" xfId="3973" xr:uid="{00000000-0005-0000-0000-0000EE090000}"/>
    <cellStyle name="Normal 3 33" xfId="4025" xr:uid="{00000000-0005-0000-0000-0000EF090000}"/>
    <cellStyle name="Normal 3 34" xfId="4029" xr:uid="{00000000-0005-0000-0000-0000F0090000}"/>
    <cellStyle name="Normal 3 35" xfId="4039" xr:uid="{00000000-0005-0000-0000-0000F1090000}"/>
    <cellStyle name="Normal 3 36" xfId="4091" xr:uid="{00000000-0005-0000-0000-0000F2090000}"/>
    <cellStyle name="Normal 3 4" xfId="86" xr:uid="{00000000-0005-0000-0000-0000F3090000}"/>
    <cellStyle name="Normal 3 4 2" xfId="157" xr:uid="{00000000-0005-0000-0000-0000F4090000}"/>
    <cellStyle name="Normal 3 4 2 2" xfId="561" xr:uid="{00000000-0005-0000-0000-0000F5090000}"/>
    <cellStyle name="Normal 3 4 2 2 2" xfId="1202" xr:uid="{00000000-0005-0000-0000-0000F6090000}"/>
    <cellStyle name="Normal 3 4 2 2 2 2" xfId="3154" xr:uid="{00000000-0005-0000-0000-0000F7090000}"/>
    <cellStyle name="Normal 3 4 2 2 3" xfId="1828" xr:uid="{00000000-0005-0000-0000-0000F8090000}"/>
    <cellStyle name="Normal 3 4 2 2 3 2" xfId="3779" xr:uid="{00000000-0005-0000-0000-0000F9090000}"/>
    <cellStyle name="Normal 3 4 2 2 4" xfId="2519" xr:uid="{00000000-0005-0000-0000-0000FA090000}"/>
    <cellStyle name="Normal 3 4 2 3" xfId="360" xr:uid="{00000000-0005-0000-0000-0000FB090000}"/>
    <cellStyle name="Normal 3 4 2 3 2" xfId="1001" xr:uid="{00000000-0005-0000-0000-0000FC090000}"/>
    <cellStyle name="Normal 3 4 2 3 2 2" xfId="2953" xr:uid="{00000000-0005-0000-0000-0000FD090000}"/>
    <cellStyle name="Normal 3 4 2 3 3" xfId="1627" xr:uid="{00000000-0005-0000-0000-0000FE090000}"/>
    <cellStyle name="Normal 3 4 2 3 3 2" xfId="3578" xr:uid="{00000000-0005-0000-0000-0000FF090000}"/>
    <cellStyle name="Normal 3 4 2 3 4" xfId="2318" xr:uid="{00000000-0005-0000-0000-0000000A0000}"/>
    <cellStyle name="Normal 3 4 2 4" xfId="798" xr:uid="{00000000-0005-0000-0000-0000010A0000}"/>
    <cellStyle name="Normal 3 4 2 4 2" xfId="2750" xr:uid="{00000000-0005-0000-0000-0000020A0000}"/>
    <cellStyle name="Normal 3 4 2 5" xfId="1424" xr:uid="{00000000-0005-0000-0000-0000030A0000}"/>
    <cellStyle name="Normal 3 4 2 5 2" xfId="3375" xr:uid="{00000000-0005-0000-0000-0000040A0000}"/>
    <cellStyle name="Normal 3 4 2 6" xfId="2115" xr:uid="{00000000-0005-0000-0000-0000050A0000}"/>
    <cellStyle name="Normal 3 4 3" xfId="491" xr:uid="{00000000-0005-0000-0000-0000060A0000}"/>
    <cellStyle name="Normal 3 4 3 2" xfId="1132" xr:uid="{00000000-0005-0000-0000-0000070A0000}"/>
    <cellStyle name="Normal 3 4 3 2 2" xfId="3084" xr:uid="{00000000-0005-0000-0000-0000080A0000}"/>
    <cellStyle name="Normal 3 4 3 3" xfId="1758" xr:uid="{00000000-0005-0000-0000-0000090A0000}"/>
    <cellStyle name="Normal 3 4 3 3 2" xfId="3709" xr:uid="{00000000-0005-0000-0000-00000A0A0000}"/>
    <cellStyle name="Normal 3 4 3 4" xfId="2449" xr:uid="{00000000-0005-0000-0000-00000B0A0000}"/>
    <cellStyle name="Normal 3 4 4" xfId="290" xr:uid="{00000000-0005-0000-0000-00000C0A0000}"/>
    <cellStyle name="Normal 3 4 4 2" xfId="931" xr:uid="{00000000-0005-0000-0000-00000D0A0000}"/>
    <cellStyle name="Normal 3 4 4 2 2" xfId="2883" xr:uid="{00000000-0005-0000-0000-00000E0A0000}"/>
    <cellStyle name="Normal 3 4 4 3" xfId="1557" xr:uid="{00000000-0005-0000-0000-00000F0A0000}"/>
    <cellStyle name="Normal 3 4 4 3 2" xfId="3508" xr:uid="{00000000-0005-0000-0000-0000100A0000}"/>
    <cellStyle name="Normal 3 4 4 4" xfId="2248" xr:uid="{00000000-0005-0000-0000-0000110A0000}"/>
    <cellStyle name="Normal 3 4 5" xfId="728" xr:uid="{00000000-0005-0000-0000-0000120A0000}"/>
    <cellStyle name="Normal 3 4 5 2" xfId="2680" xr:uid="{00000000-0005-0000-0000-0000130A0000}"/>
    <cellStyle name="Normal 3 4 6" xfId="1354" xr:uid="{00000000-0005-0000-0000-0000140A0000}"/>
    <cellStyle name="Normal 3 4 6 2" xfId="3305" xr:uid="{00000000-0005-0000-0000-0000150A0000}"/>
    <cellStyle name="Normal 3 4 7" xfId="2045" xr:uid="{00000000-0005-0000-0000-0000160A0000}"/>
    <cellStyle name="Normal 3 5" xfId="115" xr:uid="{00000000-0005-0000-0000-0000170A0000}"/>
    <cellStyle name="Normal 3 5 2" xfId="186" xr:uid="{00000000-0005-0000-0000-0000180A0000}"/>
    <cellStyle name="Normal 3 5 2 2" xfId="590" xr:uid="{00000000-0005-0000-0000-0000190A0000}"/>
    <cellStyle name="Normal 3 5 2 2 2" xfId="1231" xr:uid="{00000000-0005-0000-0000-00001A0A0000}"/>
    <cellStyle name="Normal 3 5 2 2 2 2" xfId="3183" xr:uid="{00000000-0005-0000-0000-00001B0A0000}"/>
    <cellStyle name="Normal 3 5 2 2 3" xfId="1857" xr:uid="{00000000-0005-0000-0000-00001C0A0000}"/>
    <cellStyle name="Normal 3 5 2 2 3 2" xfId="3808" xr:uid="{00000000-0005-0000-0000-00001D0A0000}"/>
    <cellStyle name="Normal 3 5 2 2 4" xfId="2548" xr:uid="{00000000-0005-0000-0000-00001E0A0000}"/>
    <cellStyle name="Normal 3 5 2 3" xfId="389" xr:uid="{00000000-0005-0000-0000-00001F0A0000}"/>
    <cellStyle name="Normal 3 5 2 3 2" xfId="1030" xr:uid="{00000000-0005-0000-0000-0000200A0000}"/>
    <cellStyle name="Normal 3 5 2 3 2 2" xfId="2982" xr:uid="{00000000-0005-0000-0000-0000210A0000}"/>
    <cellStyle name="Normal 3 5 2 3 3" xfId="1656" xr:uid="{00000000-0005-0000-0000-0000220A0000}"/>
    <cellStyle name="Normal 3 5 2 3 3 2" xfId="3607" xr:uid="{00000000-0005-0000-0000-0000230A0000}"/>
    <cellStyle name="Normal 3 5 2 3 4" xfId="2347" xr:uid="{00000000-0005-0000-0000-0000240A0000}"/>
    <cellStyle name="Normal 3 5 2 4" xfId="827" xr:uid="{00000000-0005-0000-0000-0000250A0000}"/>
    <cellStyle name="Normal 3 5 2 4 2" xfId="2779" xr:uid="{00000000-0005-0000-0000-0000260A0000}"/>
    <cellStyle name="Normal 3 5 2 5" xfId="1453" xr:uid="{00000000-0005-0000-0000-0000270A0000}"/>
    <cellStyle name="Normal 3 5 2 5 2" xfId="3404" xr:uid="{00000000-0005-0000-0000-0000280A0000}"/>
    <cellStyle name="Normal 3 5 2 6" xfId="2144" xr:uid="{00000000-0005-0000-0000-0000290A0000}"/>
    <cellStyle name="Normal 3 5 3" xfId="520" xr:uid="{00000000-0005-0000-0000-00002A0A0000}"/>
    <cellStyle name="Normal 3 5 3 2" xfId="1161" xr:uid="{00000000-0005-0000-0000-00002B0A0000}"/>
    <cellStyle name="Normal 3 5 3 2 2" xfId="3113" xr:uid="{00000000-0005-0000-0000-00002C0A0000}"/>
    <cellStyle name="Normal 3 5 3 3" xfId="1787" xr:uid="{00000000-0005-0000-0000-00002D0A0000}"/>
    <cellStyle name="Normal 3 5 3 3 2" xfId="3738" xr:uid="{00000000-0005-0000-0000-00002E0A0000}"/>
    <cellStyle name="Normal 3 5 3 4" xfId="2478" xr:uid="{00000000-0005-0000-0000-00002F0A0000}"/>
    <cellStyle name="Normal 3 5 4" xfId="319" xr:uid="{00000000-0005-0000-0000-0000300A0000}"/>
    <cellStyle name="Normal 3 5 4 2" xfId="960" xr:uid="{00000000-0005-0000-0000-0000310A0000}"/>
    <cellStyle name="Normal 3 5 4 2 2" xfId="2912" xr:uid="{00000000-0005-0000-0000-0000320A0000}"/>
    <cellStyle name="Normal 3 5 4 3" xfId="1586" xr:uid="{00000000-0005-0000-0000-0000330A0000}"/>
    <cellStyle name="Normal 3 5 4 3 2" xfId="3537" xr:uid="{00000000-0005-0000-0000-0000340A0000}"/>
    <cellStyle name="Normal 3 5 4 4" xfId="2277" xr:uid="{00000000-0005-0000-0000-0000350A0000}"/>
    <cellStyle name="Normal 3 5 5" xfId="757" xr:uid="{00000000-0005-0000-0000-0000360A0000}"/>
    <cellStyle name="Normal 3 5 5 2" xfId="2709" xr:uid="{00000000-0005-0000-0000-0000370A0000}"/>
    <cellStyle name="Normal 3 5 6" xfId="1383" xr:uid="{00000000-0005-0000-0000-0000380A0000}"/>
    <cellStyle name="Normal 3 5 6 2" xfId="3334" xr:uid="{00000000-0005-0000-0000-0000390A0000}"/>
    <cellStyle name="Normal 3 5 7" xfId="1993" xr:uid="{00000000-0005-0000-0000-00003A0A0000}"/>
    <cellStyle name="Normal 3 5 7 2" xfId="3944" xr:uid="{00000000-0005-0000-0000-00003B0A0000}"/>
    <cellStyle name="Normal 3 5 8" xfId="2074" xr:uid="{00000000-0005-0000-0000-00003C0A0000}"/>
    <cellStyle name="Normal 3 6" xfId="118" xr:uid="{00000000-0005-0000-0000-00003D0A0000}"/>
    <cellStyle name="Normal 3 6 2" xfId="523" xr:uid="{00000000-0005-0000-0000-00003E0A0000}"/>
    <cellStyle name="Normal 3 6 2 2" xfId="1164" xr:uid="{00000000-0005-0000-0000-00003F0A0000}"/>
    <cellStyle name="Normal 3 6 2 2 2" xfId="3116" xr:uid="{00000000-0005-0000-0000-0000400A0000}"/>
    <cellStyle name="Normal 3 6 2 3" xfId="1790" xr:uid="{00000000-0005-0000-0000-0000410A0000}"/>
    <cellStyle name="Normal 3 6 2 3 2" xfId="3741" xr:uid="{00000000-0005-0000-0000-0000420A0000}"/>
    <cellStyle name="Normal 3 6 2 4" xfId="2481" xr:uid="{00000000-0005-0000-0000-0000430A0000}"/>
    <cellStyle name="Normal 3 6 3" xfId="322" xr:uid="{00000000-0005-0000-0000-0000440A0000}"/>
    <cellStyle name="Normal 3 6 3 2" xfId="963" xr:uid="{00000000-0005-0000-0000-0000450A0000}"/>
    <cellStyle name="Normal 3 6 3 2 2" xfId="2915" xr:uid="{00000000-0005-0000-0000-0000460A0000}"/>
    <cellStyle name="Normal 3 6 3 3" xfId="1589" xr:uid="{00000000-0005-0000-0000-0000470A0000}"/>
    <cellStyle name="Normal 3 6 3 3 2" xfId="3540" xr:uid="{00000000-0005-0000-0000-0000480A0000}"/>
    <cellStyle name="Normal 3 6 3 4" xfId="2280" xr:uid="{00000000-0005-0000-0000-0000490A0000}"/>
    <cellStyle name="Normal 3 6 4" xfId="760" xr:uid="{00000000-0005-0000-0000-00004A0A0000}"/>
    <cellStyle name="Normal 3 6 4 2" xfId="2712" xr:uid="{00000000-0005-0000-0000-00004B0A0000}"/>
    <cellStyle name="Normal 3 6 5" xfId="1386" xr:uid="{00000000-0005-0000-0000-00004C0A0000}"/>
    <cellStyle name="Normal 3 6 5 2" xfId="3337" xr:uid="{00000000-0005-0000-0000-00004D0A0000}"/>
    <cellStyle name="Normal 3 6 6" xfId="1989" xr:uid="{00000000-0005-0000-0000-00004E0A0000}"/>
    <cellStyle name="Normal 3 6 6 2" xfId="3940" xr:uid="{00000000-0005-0000-0000-00004F0A0000}"/>
    <cellStyle name="Normal 3 6 7" xfId="2077" xr:uid="{00000000-0005-0000-0000-0000500A0000}"/>
    <cellStyle name="Normal 3 7" xfId="121" xr:uid="{00000000-0005-0000-0000-0000510A0000}"/>
    <cellStyle name="Normal 3 7 2" xfId="526" xr:uid="{00000000-0005-0000-0000-0000520A0000}"/>
    <cellStyle name="Normal 3 7 2 2" xfId="1167" xr:uid="{00000000-0005-0000-0000-0000530A0000}"/>
    <cellStyle name="Normal 3 7 2 2 2" xfId="3119" xr:uid="{00000000-0005-0000-0000-0000540A0000}"/>
    <cellStyle name="Normal 3 7 2 3" xfId="1793" xr:uid="{00000000-0005-0000-0000-0000550A0000}"/>
    <cellStyle name="Normal 3 7 2 3 2" xfId="3744" xr:uid="{00000000-0005-0000-0000-0000560A0000}"/>
    <cellStyle name="Normal 3 7 2 4" xfId="2484" xr:uid="{00000000-0005-0000-0000-0000570A0000}"/>
    <cellStyle name="Normal 3 7 3" xfId="325" xr:uid="{00000000-0005-0000-0000-0000580A0000}"/>
    <cellStyle name="Normal 3 7 3 2" xfId="966" xr:uid="{00000000-0005-0000-0000-0000590A0000}"/>
    <cellStyle name="Normal 3 7 3 2 2" xfId="2918" xr:uid="{00000000-0005-0000-0000-00005A0A0000}"/>
    <cellStyle name="Normal 3 7 3 3" xfId="1592" xr:uid="{00000000-0005-0000-0000-00005B0A0000}"/>
    <cellStyle name="Normal 3 7 3 3 2" xfId="3543" xr:uid="{00000000-0005-0000-0000-00005C0A0000}"/>
    <cellStyle name="Normal 3 7 3 4" xfId="2283" xr:uid="{00000000-0005-0000-0000-00005D0A0000}"/>
    <cellStyle name="Normal 3 7 4" xfId="763" xr:uid="{00000000-0005-0000-0000-00005E0A0000}"/>
    <cellStyle name="Normal 3 7 4 2" xfId="2715" xr:uid="{00000000-0005-0000-0000-00005F0A0000}"/>
    <cellStyle name="Normal 3 7 5" xfId="1389" xr:uid="{00000000-0005-0000-0000-0000600A0000}"/>
    <cellStyle name="Normal 3 7 5 2" xfId="3340" xr:uid="{00000000-0005-0000-0000-0000610A0000}"/>
    <cellStyle name="Normal 3 7 6" xfId="1981" xr:uid="{00000000-0005-0000-0000-0000620A0000}"/>
    <cellStyle name="Normal 3 7 6 2" xfId="3932" xr:uid="{00000000-0005-0000-0000-0000630A0000}"/>
    <cellStyle name="Normal 3 7 7" xfId="2080" xr:uid="{00000000-0005-0000-0000-0000640A0000}"/>
    <cellStyle name="Normal 3 8" xfId="124" xr:uid="{00000000-0005-0000-0000-0000650A0000}"/>
    <cellStyle name="Normal 3 8 2" xfId="529" xr:uid="{00000000-0005-0000-0000-0000660A0000}"/>
    <cellStyle name="Normal 3 8 2 2" xfId="1170" xr:uid="{00000000-0005-0000-0000-0000670A0000}"/>
    <cellStyle name="Normal 3 8 2 2 2" xfId="3122" xr:uid="{00000000-0005-0000-0000-0000680A0000}"/>
    <cellStyle name="Normal 3 8 2 3" xfId="1796" xr:uid="{00000000-0005-0000-0000-0000690A0000}"/>
    <cellStyle name="Normal 3 8 2 3 2" xfId="3747" xr:uid="{00000000-0005-0000-0000-00006A0A0000}"/>
    <cellStyle name="Normal 3 8 2 4" xfId="2487" xr:uid="{00000000-0005-0000-0000-00006B0A0000}"/>
    <cellStyle name="Normal 3 8 3" xfId="328" xr:uid="{00000000-0005-0000-0000-00006C0A0000}"/>
    <cellStyle name="Normal 3 8 3 2" xfId="969" xr:uid="{00000000-0005-0000-0000-00006D0A0000}"/>
    <cellStyle name="Normal 3 8 3 2 2" xfId="2921" xr:uid="{00000000-0005-0000-0000-00006E0A0000}"/>
    <cellStyle name="Normal 3 8 3 3" xfId="1595" xr:uid="{00000000-0005-0000-0000-00006F0A0000}"/>
    <cellStyle name="Normal 3 8 3 3 2" xfId="3546" xr:uid="{00000000-0005-0000-0000-0000700A0000}"/>
    <cellStyle name="Normal 3 8 3 4" xfId="2286" xr:uid="{00000000-0005-0000-0000-0000710A0000}"/>
    <cellStyle name="Normal 3 8 4" xfId="766" xr:uid="{00000000-0005-0000-0000-0000720A0000}"/>
    <cellStyle name="Normal 3 8 4 2" xfId="2718" xr:uid="{00000000-0005-0000-0000-0000730A0000}"/>
    <cellStyle name="Normal 3 8 5" xfId="1392" xr:uid="{00000000-0005-0000-0000-0000740A0000}"/>
    <cellStyle name="Normal 3 8 5 2" xfId="3343" xr:uid="{00000000-0005-0000-0000-0000750A0000}"/>
    <cellStyle name="Normal 3 8 6" xfId="2083" xr:uid="{00000000-0005-0000-0000-0000760A0000}"/>
    <cellStyle name="Normal 3 9" xfId="189" xr:uid="{00000000-0005-0000-0000-0000770A0000}"/>
    <cellStyle name="Normal 3 9 2" xfId="593" xr:uid="{00000000-0005-0000-0000-0000780A0000}"/>
    <cellStyle name="Normal 3 9 2 2" xfId="1234" xr:uid="{00000000-0005-0000-0000-0000790A0000}"/>
    <cellStyle name="Normal 3 9 2 2 2" xfId="3186" xr:uid="{00000000-0005-0000-0000-00007A0A0000}"/>
    <cellStyle name="Normal 3 9 2 3" xfId="1860" xr:uid="{00000000-0005-0000-0000-00007B0A0000}"/>
    <cellStyle name="Normal 3 9 2 3 2" xfId="3811" xr:uid="{00000000-0005-0000-0000-00007C0A0000}"/>
    <cellStyle name="Normal 3 9 2 4" xfId="2551" xr:uid="{00000000-0005-0000-0000-00007D0A0000}"/>
    <cellStyle name="Normal 3 9 3" xfId="392" xr:uid="{00000000-0005-0000-0000-00007E0A0000}"/>
    <cellStyle name="Normal 3 9 3 2" xfId="1033" xr:uid="{00000000-0005-0000-0000-00007F0A0000}"/>
    <cellStyle name="Normal 3 9 3 2 2" xfId="2985" xr:uid="{00000000-0005-0000-0000-0000800A0000}"/>
    <cellStyle name="Normal 3 9 3 3" xfId="1659" xr:uid="{00000000-0005-0000-0000-0000810A0000}"/>
    <cellStyle name="Normal 3 9 3 3 2" xfId="3610" xr:uid="{00000000-0005-0000-0000-0000820A0000}"/>
    <cellStyle name="Normal 3 9 3 4" xfId="2350" xr:uid="{00000000-0005-0000-0000-0000830A0000}"/>
    <cellStyle name="Normal 3 9 4" xfId="830" xr:uid="{00000000-0005-0000-0000-0000840A0000}"/>
    <cellStyle name="Normal 3 9 4 2" xfId="2782" xr:uid="{00000000-0005-0000-0000-0000850A0000}"/>
    <cellStyle name="Normal 3 9 5" xfId="1456" xr:uid="{00000000-0005-0000-0000-0000860A0000}"/>
    <cellStyle name="Normal 3 9 5 2" xfId="3407" xr:uid="{00000000-0005-0000-0000-0000870A0000}"/>
    <cellStyle name="Normal 3 9 6" xfId="2147" xr:uid="{00000000-0005-0000-0000-0000880A0000}"/>
    <cellStyle name="Normal 30" xfId="73" xr:uid="{00000000-0005-0000-0000-0000890A0000}"/>
    <cellStyle name="Normal 30 10" xfId="2033" xr:uid="{00000000-0005-0000-0000-00008A0A0000}"/>
    <cellStyle name="Normal 30 11" xfId="4079" xr:uid="{00000000-0005-0000-0000-00008B0A0000}"/>
    <cellStyle name="Normal 30 2" xfId="104" xr:uid="{00000000-0005-0000-0000-00008C0A0000}"/>
    <cellStyle name="Normal 30 2 2" xfId="175" xr:uid="{00000000-0005-0000-0000-00008D0A0000}"/>
    <cellStyle name="Normal 30 2 2 2" xfId="579" xr:uid="{00000000-0005-0000-0000-00008E0A0000}"/>
    <cellStyle name="Normal 30 2 2 2 2" xfId="1220" xr:uid="{00000000-0005-0000-0000-00008F0A0000}"/>
    <cellStyle name="Normal 30 2 2 2 2 2" xfId="3172" xr:uid="{00000000-0005-0000-0000-0000900A0000}"/>
    <cellStyle name="Normal 30 2 2 2 3" xfId="1846" xr:uid="{00000000-0005-0000-0000-0000910A0000}"/>
    <cellStyle name="Normal 30 2 2 2 3 2" xfId="3797" xr:uid="{00000000-0005-0000-0000-0000920A0000}"/>
    <cellStyle name="Normal 30 2 2 2 4" xfId="2537" xr:uid="{00000000-0005-0000-0000-0000930A0000}"/>
    <cellStyle name="Normal 30 2 2 3" xfId="378" xr:uid="{00000000-0005-0000-0000-0000940A0000}"/>
    <cellStyle name="Normal 30 2 2 3 2" xfId="1019" xr:uid="{00000000-0005-0000-0000-0000950A0000}"/>
    <cellStyle name="Normal 30 2 2 3 2 2" xfId="2971" xr:uid="{00000000-0005-0000-0000-0000960A0000}"/>
    <cellStyle name="Normal 30 2 2 3 3" xfId="1645" xr:uid="{00000000-0005-0000-0000-0000970A0000}"/>
    <cellStyle name="Normal 30 2 2 3 3 2" xfId="3596" xr:uid="{00000000-0005-0000-0000-0000980A0000}"/>
    <cellStyle name="Normal 30 2 2 3 4" xfId="2336" xr:uid="{00000000-0005-0000-0000-0000990A0000}"/>
    <cellStyle name="Normal 30 2 2 4" xfId="816" xr:uid="{00000000-0005-0000-0000-00009A0A0000}"/>
    <cellStyle name="Normal 30 2 2 4 2" xfId="2768" xr:uid="{00000000-0005-0000-0000-00009B0A0000}"/>
    <cellStyle name="Normal 30 2 2 5" xfId="1442" xr:uid="{00000000-0005-0000-0000-00009C0A0000}"/>
    <cellStyle name="Normal 30 2 2 5 2" xfId="3393" xr:uid="{00000000-0005-0000-0000-00009D0A0000}"/>
    <cellStyle name="Normal 30 2 2 6" xfId="2133" xr:uid="{00000000-0005-0000-0000-00009E0A0000}"/>
    <cellStyle name="Normal 30 2 3" xfId="509" xr:uid="{00000000-0005-0000-0000-00009F0A0000}"/>
    <cellStyle name="Normal 30 2 3 2" xfId="1150" xr:uid="{00000000-0005-0000-0000-0000A00A0000}"/>
    <cellStyle name="Normal 30 2 3 2 2" xfId="3102" xr:uid="{00000000-0005-0000-0000-0000A10A0000}"/>
    <cellStyle name="Normal 30 2 3 3" xfId="1776" xr:uid="{00000000-0005-0000-0000-0000A20A0000}"/>
    <cellStyle name="Normal 30 2 3 3 2" xfId="3727" xr:uid="{00000000-0005-0000-0000-0000A30A0000}"/>
    <cellStyle name="Normal 30 2 3 4" xfId="2467" xr:uid="{00000000-0005-0000-0000-0000A40A0000}"/>
    <cellStyle name="Normal 30 2 4" xfId="308" xr:uid="{00000000-0005-0000-0000-0000A50A0000}"/>
    <cellStyle name="Normal 30 2 4 2" xfId="949" xr:uid="{00000000-0005-0000-0000-0000A60A0000}"/>
    <cellStyle name="Normal 30 2 4 2 2" xfId="2901" xr:uid="{00000000-0005-0000-0000-0000A70A0000}"/>
    <cellStyle name="Normal 30 2 4 3" xfId="1575" xr:uid="{00000000-0005-0000-0000-0000A80A0000}"/>
    <cellStyle name="Normal 30 2 4 3 2" xfId="3526" xr:uid="{00000000-0005-0000-0000-0000A90A0000}"/>
    <cellStyle name="Normal 30 2 4 4" xfId="2266" xr:uid="{00000000-0005-0000-0000-0000AA0A0000}"/>
    <cellStyle name="Normal 30 2 5" xfId="746" xr:uid="{00000000-0005-0000-0000-0000AB0A0000}"/>
    <cellStyle name="Normal 30 2 5 2" xfId="2698" xr:uid="{00000000-0005-0000-0000-0000AC0A0000}"/>
    <cellStyle name="Normal 30 2 6" xfId="1372" xr:uid="{00000000-0005-0000-0000-0000AD0A0000}"/>
    <cellStyle name="Normal 30 2 6 2" xfId="3323" xr:uid="{00000000-0005-0000-0000-0000AE0A0000}"/>
    <cellStyle name="Normal 30 2 7" xfId="2063" xr:uid="{00000000-0005-0000-0000-0000AF0A0000}"/>
    <cellStyle name="Normal 30 3" xfId="145" xr:uid="{00000000-0005-0000-0000-0000B00A0000}"/>
    <cellStyle name="Normal 30 3 2" xfId="549" xr:uid="{00000000-0005-0000-0000-0000B10A0000}"/>
    <cellStyle name="Normal 30 3 2 2" xfId="1190" xr:uid="{00000000-0005-0000-0000-0000B20A0000}"/>
    <cellStyle name="Normal 30 3 2 2 2" xfId="3142" xr:uid="{00000000-0005-0000-0000-0000B30A0000}"/>
    <cellStyle name="Normal 30 3 2 3" xfId="1816" xr:uid="{00000000-0005-0000-0000-0000B40A0000}"/>
    <cellStyle name="Normal 30 3 2 3 2" xfId="3767" xr:uid="{00000000-0005-0000-0000-0000B50A0000}"/>
    <cellStyle name="Normal 30 3 2 4" xfId="2507" xr:uid="{00000000-0005-0000-0000-0000B60A0000}"/>
    <cellStyle name="Normal 30 3 3" xfId="348" xr:uid="{00000000-0005-0000-0000-0000B70A0000}"/>
    <cellStyle name="Normal 30 3 3 2" xfId="989" xr:uid="{00000000-0005-0000-0000-0000B80A0000}"/>
    <cellStyle name="Normal 30 3 3 2 2" xfId="2941" xr:uid="{00000000-0005-0000-0000-0000B90A0000}"/>
    <cellStyle name="Normal 30 3 3 3" xfId="1615" xr:uid="{00000000-0005-0000-0000-0000BA0A0000}"/>
    <cellStyle name="Normal 30 3 3 3 2" xfId="3566" xr:uid="{00000000-0005-0000-0000-0000BB0A0000}"/>
    <cellStyle name="Normal 30 3 3 4" xfId="2306" xr:uid="{00000000-0005-0000-0000-0000BC0A0000}"/>
    <cellStyle name="Normal 30 3 4" xfId="786" xr:uid="{00000000-0005-0000-0000-0000BD0A0000}"/>
    <cellStyle name="Normal 30 3 4 2" xfId="2738" xr:uid="{00000000-0005-0000-0000-0000BE0A0000}"/>
    <cellStyle name="Normal 30 3 5" xfId="1412" xr:uid="{00000000-0005-0000-0000-0000BF0A0000}"/>
    <cellStyle name="Normal 30 3 5 2" xfId="3363" xr:uid="{00000000-0005-0000-0000-0000C00A0000}"/>
    <cellStyle name="Normal 30 3 6" xfId="2103" xr:uid="{00000000-0005-0000-0000-0000C10A0000}"/>
    <cellStyle name="Normal 30 4" xfId="207" xr:uid="{00000000-0005-0000-0000-0000C20A0000}"/>
    <cellStyle name="Normal 30 4 2" xfId="611" xr:uid="{00000000-0005-0000-0000-0000C30A0000}"/>
    <cellStyle name="Normal 30 4 2 2" xfId="1252" xr:uid="{00000000-0005-0000-0000-0000C40A0000}"/>
    <cellStyle name="Normal 30 4 2 2 2" xfId="3204" xr:uid="{00000000-0005-0000-0000-0000C50A0000}"/>
    <cellStyle name="Normal 30 4 2 3" xfId="1878" xr:uid="{00000000-0005-0000-0000-0000C60A0000}"/>
    <cellStyle name="Normal 30 4 2 3 2" xfId="3829" xr:uid="{00000000-0005-0000-0000-0000C70A0000}"/>
    <cellStyle name="Normal 30 4 2 4" xfId="2569" xr:uid="{00000000-0005-0000-0000-0000C80A0000}"/>
    <cellStyle name="Normal 30 4 3" xfId="410" xr:uid="{00000000-0005-0000-0000-0000C90A0000}"/>
    <cellStyle name="Normal 30 4 3 2" xfId="1051" xr:uid="{00000000-0005-0000-0000-0000CA0A0000}"/>
    <cellStyle name="Normal 30 4 3 2 2" xfId="3003" xr:uid="{00000000-0005-0000-0000-0000CB0A0000}"/>
    <cellStyle name="Normal 30 4 3 3" xfId="1677" xr:uid="{00000000-0005-0000-0000-0000CC0A0000}"/>
    <cellStyle name="Normal 30 4 3 3 2" xfId="3628" xr:uid="{00000000-0005-0000-0000-0000CD0A0000}"/>
    <cellStyle name="Normal 30 4 3 4" xfId="2368" xr:uid="{00000000-0005-0000-0000-0000CE0A0000}"/>
    <cellStyle name="Normal 30 4 4" xfId="848" xr:uid="{00000000-0005-0000-0000-0000CF0A0000}"/>
    <cellStyle name="Normal 30 4 4 2" xfId="2800" xr:uid="{00000000-0005-0000-0000-0000D00A0000}"/>
    <cellStyle name="Normal 30 4 5" xfId="1474" xr:uid="{00000000-0005-0000-0000-0000D10A0000}"/>
    <cellStyle name="Normal 30 4 5 2" xfId="3425" xr:uid="{00000000-0005-0000-0000-0000D20A0000}"/>
    <cellStyle name="Normal 30 4 6" xfId="2165" xr:uid="{00000000-0005-0000-0000-0000D30A0000}"/>
    <cellStyle name="Normal 30 5" xfId="479" xr:uid="{00000000-0005-0000-0000-0000D40A0000}"/>
    <cellStyle name="Normal 30 5 2" xfId="1120" xr:uid="{00000000-0005-0000-0000-0000D50A0000}"/>
    <cellStyle name="Normal 30 5 2 2" xfId="3072" xr:uid="{00000000-0005-0000-0000-0000D60A0000}"/>
    <cellStyle name="Normal 30 5 3" xfId="1746" xr:uid="{00000000-0005-0000-0000-0000D70A0000}"/>
    <cellStyle name="Normal 30 5 3 2" xfId="3697" xr:uid="{00000000-0005-0000-0000-0000D80A0000}"/>
    <cellStyle name="Normal 30 5 4" xfId="2437" xr:uid="{00000000-0005-0000-0000-0000D90A0000}"/>
    <cellStyle name="Normal 30 6" xfId="278" xr:uid="{00000000-0005-0000-0000-0000DA0A0000}"/>
    <cellStyle name="Normal 30 6 2" xfId="919" xr:uid="{00000000-0005-0000-0000-0000DB0A0000}"/>
    <cellStyle name="Normal 30 6 2 2" xfId="2871" xr:uid="{00000000-0005-0000-0000-0000DC0A0000}"/>
    <cellStyle name="Normal 30 6 3" xfId="1545" xr:uid="{00000000-0005-0000-0000-0000DD0A0000}"/>
    <cellStyle name="Normal 30 6 3 2" xfId="3496" xr:uid="{00000000-0005-0000-0000-0000DE0A0000}"/>
    <cellStyle name="Normal 30 6 4" xfId="2236" xr:uid="{00000000-0005-0000-0000-0000DF0A0000}"/>
    <cellStyle name="Normal 30 7" xfId="716" xr:uid="{00000000-0005-0000-0000-0000E00A0000}"/>
    <cellStyle name="Normal 30 7 2" xfId="2668" xr:uid="{00000000-0005-0000-0000-0000E10A0000}"/>
    <cellStyle name="Normal 30 8" xfId="1342" xr:uid="{00000000-0005-0000-0000-0000E20A0000}"/>
    <cellStyle name="Normal 30 8 2" xfId="3293" xr:uid="{00000000-0005-0000-0000-0000E30A0000}"/>
    <cellStyle name="Normal 30 9" xfId="1978" xr:uid="{00000000-0005-0000-0000-0000E40A0000}"/>
    <cellStyle name="Normal 30 9 2" xfId="3929" xr:uid="{00000000-0005-0000-0000-0000E50A0000}"/>
    <cellStyle name="Normal 31" xfId="74" xr:uid="{00000000-0005-0000-0000-0000E60A0000}"/>
    <cellStyle name="Normal 31 10" xfId="2034" xr:uid="{00000000-0005-0000-0000-0000E70A0000}"/>
    <cellStyle name="Normal 31 11" xfId="4106" xr:uid="{00000000-0005-0000-0000-0000E80A0000}"/>
    <cellStyle name="Normal 31 2" xfId="105" xr:uid="{00000000-0005-0000-0000-0000E90A0000}"/>
    <cellStyle name="Normal 31 2 2" xfId="176" xr:uid="{00000000-0005-0000-0000-0000EA0A0000}"/>
    <cellStyle name="Normal 31 2 2 2" xfId="580" xr:uid="{00000000-0005-0000-0000-0000EB0A0000}"/>
    <cellStyle name="Normal 31 2 2 2 2" xfId="1221" xr:uid="{00000000-0005-0000-0000-0000EC0A0000}"/>
    <cellStyle name="Normal 31 2 2 2 2 2" xfId="3173" xr:uid="{00000000-0005-0000-0000-0000ED0A0000}"/>
    <cellStyle name="Normal 31 2 2 2 3" xfId="1847" xr:uid="{00000000-0005-0000-0000-0000EE0A0000}"/>
    <cellStyle name="Normal 31 2 2 2 3 2" xfId="3798" xr:uid="{00000000-0005-0000-0000-0000EF0A0000}"/>
    <cellStyle name="Normal 31 2 2 2 4" xfId="2538" xr:uid="{00000000-0005-0000-0000-0000F00A0000}"/>
    <cellStyle name="Normal 31 2 2 3" xfId="379" xr:uid="{00000000-0005-0000-0000-0000F10A0000}"/>
    <cellStyle name="Normal 31 2 2 3 2" xfId="1020" xr:uid="{00000000-0005-0000-0000-0000F20A0000}"/>
    <cellStyle name="Normal 31 2 2 3 2 2" xfId="2972" xr:uid="{00000000-0005-0000-0000-0000F30A0000}"/>
    <cellStyle name="Normal 31 2 2 3 3" xfId="1646" xr:uid="{00000000-0005-0000-0000-0000F40A0000}"/>
    <cellStyle name="Normal 31 2 2 3 3 2" xfId="3597" xr:uid="{00000000-0005-0000-0000-0000F50A0000}"/>
    <cellStyle name="Normal 31 2 2 3 4" xfId="2337" xr:uid="{00000000-0005-0000-0000-0000F60A0000}"/>
    <cellStyle name="Normal 31 2 2 4" xfId="817" xr:uid="{00000000-0005-0000-0000-0000F70A0000}"/>
    <cellStyle name="Normal 31 2 2 4 2" xfId="2769" xr:uid="{00000000-0005-0000-0000-0000F80A0000}"/>
    <cellStyle name="Normal 31 2 2 5" xfId="1443" xr:uid="{00000000-0005-0000-0000-0000F90A0000}"/>
    <cellStyle name="Normal 31 2 2 5 2" xfId="3394" xr:uid="{00000000-0005-0000-0000-0000FA0A0000}"/>
    <cellStyle name="Normal 31 2 2 6" xfId="2134" xr:uid="{00000000-0005-0000-0000-0000FB0A0000}"/>
    <cellStyle name="Normal 31 2 3" xfId="510" xr:uid="{00000000-0005-0000-0000-0000FC0A0000}"/>
    <cellStyle name="Normal 31 2 3 2" xfId="1151" xr:uid="{00000000-0005-0000-0000-0000FD0A0000}"/>
    <cellStyle name="Normal 31 2 3 2 2" xfId="3103" xr:uid="{00000000-0005-0000-0000-0000FE0A0000}"/>
    <cellStyle name="Normal 31 2 3 3" xfId="1777" xr:uid="{00000000-0005-0000-0000-0000FF0A0000}"/>
    <cellStyle name="Normal 31 2 3 3 2" xfId="3728" xr:uid="{00000000-0005-0000-0000-0000000B0000}"/>
    <cellStyle name="Normal 31 2 3 4" xfId="2468" xr:uid="{00000000-0005-0000-0000-0000010B0000}"/>
    <cellStyle name="Normal 31 2 4" xfId="309" xr:uid="{00000000-0005-0000-0000-0000020B0000}"/>
    <cellStyle name="Normal 31 2 4 2" xfId="950" xr:uid="{00000000-0005-0000-0000-0000030B0000}"/>
    <cellStyle name="Normal 31 2 4 2 2" xfId="2902" xr:uid="{00000000-0005-0000-0000-0000040B0000}"/>
    <cellStyle name="Normal 31 2 4 3" xfId="1576" xr:uid="{00000000-0005-0000-0000-0000050B0000}"/>
    <cellStyle name="Normal 31 2 4 3 2" xfId="3527" xr:uid="{00000000-0005-0000-0000-0000060B0000}"/>
    <cellStyle name="Normal 31 2 4 4" xfId="2267" xr:uid="{00000000-0005-0000-0000-0000070B0000}"/>
    <cellStyle name="Normal 31 2 5" xfId="747" xr:uid="{00000000-0005-0000-0000-0000080B0000}"/>
    <cellStyle name="Normal 31 2 5 2" xfId="2699" xr:uid="{00000000-0005-0000-0000-0000090B0000}"/>
    <cellStyle name="Normal 31 2 6" xfId="1373" xr:uid="{00000000-0005-0000-0000-00000A0B0000}"/>
    <cellStyle name="Normal 31 2 6 2" xfId="3324" xr:uid="{00000000-0005-0000-0000-00000B0B0000}"/>
    <cellStyle name="Normal 31 2 7" xfId="2064" xr:uid="{00000000-0005-0000-0000-00000C0B0000}"/>
    <cellStyle name="Normal 31 3" xfId="146" xr:uid="{00000000-0005-0000-0000-00000D0B0000}"/>
    <cellStyle name="Normal 31 3 2" xfId="550" xr:uid="{00000000-0005-0000-0000-00000E0B0000}"/>
    <cellStyle name="Normal 31 3 2 2" xfId="1191" xr:uid="{00000000-0005-0000-0000-00000F0B0000}"/>
    <cellStyle name="Normal 31 3 2 2 2" xfId="3143" xr:uid="{00000000-0005-0000-0000-0000100B0000}"/>
    <cellStyle name="Normal 31 3 2 3" xfId="1817" xr:uid="{00000000-0005-0000-0000-0000110B0000}"/>
    <cellStyle name="Normal 31 3 2 3 2" xfId="3768" xr:uid="{00000000-0005-0000-0000-0000120B0000}"/>
    <cellStyle name="Normal 31 3 2 4" xfId="2508" xr:uid="{00000000-0005-0000-0000-0000130B0000}"/>
    <cellStyle name="Normal 31 3 3" xfId="349" xr:uid="{00000000-0005-0000-0000-0000140B0000}"/>
    <cellStyle name="Normal 31 3 3 2" xfId="990" xr:uid="{00000000-0005-0000-0000-0000150B0000}"/>
    <cellStyle name="Normal 31 3 3 2 2" xfId="2942" xr:uid="{00000000-0005-0000-0000-0000160B0000}"/>
    <cellStyle name="Normal 31 3 3 3" xfId="1616" xr:uid="{00000000-0005-0000-0000-0000170B0000}"/>
    <cellStyle name="Normal 31 3 3 3 2" xfId="3567" xr:uid="{00000000-0005-0000-0000-0000180B0000}"/>
    <cellStyle name="Normal 31 3 3 4" xfId="2307" xr:uid="{00000000-0005-0000-0000-0000190B0000}"/>
    <cellStyle name="Normal 31 3 4" xfId="787" xr:uid="{00000000-0005-0000-0000-00001A0B0000}"/>
    <cellStyle name="Normal 31 3 4 2" xfId="2739" xr:uid="{00000000-0005-0000-0000-00001B0B0000}"/>
    <cellStyle name="Normal 31 3 5" xfId="1413" xr:uid="{00000000-0005-0000-0000-00001C0B0000}"/>
    <cellStyle name="Normal 31 3 5 2" xfId="3364" xr:uid="{00000000-0005-0000-0000-00001D0B0000}"/>
    <cellStyle name="Normal 31 3 6" xfId="2104" xr:uid="{00000000-0005-0000-0000-00001E0B0000}"/>
    <cellStyle name="Normal 31 4" xfId="208" xr:uid="{00000000-0005-0000-0000-00001F0B0000}"/>
    <cellStyle name="Normal 31 4 2" xfId="612" xr:uid="{00000000-0005-0000-0000-0000200B0000}"/>
    <cellStyle name="Normal 31 4 2 2" xfId="1253" xr:uid="{00000000-0005-0000-0000-0000210B0000}"/>
    <cellStyle name="Normal 31 4 2 2 2" xfId="3205" xr:uid="{00000000-0005-0000-0000-0000220B0000}"/>
    <cellStyle name="Normal 31 4 2 3" xfId="1879" xr:uid="{00000000-0005-0000-0000-0000230B0000}"/>
    <cellStyle name="Normal 31 4 2 3 2" xfId="3830" xr:uid="{00000000-0005-0000-0000-0000240B0000}"/>
    <cellStyle name="Normal 31 4 2 4" xfId="2570" xr:uid="{00000000-0005-0000-0000-0000250B0000}"/>
    <cellStyle name="Normal 31 4 3" xfId="411" xr:uid="{00000000-0005-0000-0000-0000260B0000}"/>
    <cellStyle name="Normal 31 4 3 2" xfId="1052" xr:uid="{00000000-0005-0000-0000-0000270B0000}"/>
    <cellStyle name="Normal 31 4 3 2 2" xfId="3004" xr:uid="{00000000-0005-0000-0000-0000280B0000}"/>
    <cellStyle name="Normal 31 4 3 3" xfId="1678" xr:uid="{00000000-0005-0000-0000-0000290B0000}"/>
    <cellStyle name="Normal 31 4 3 3 2" xfId="3629" xr:uid="{00000000-0005-0000-0000-00002A0B0000}"/>
    <cellStyle name="Normal 31 4 3 4" xfId="2369" xr:uid="{00000000-0005-0000-0000-00002B0B0000}"/>
    <cellStyle name="Normal 31 4 4" xfId="849" xr:uid="{00000000-0005-0000-0000-00002C0B0000}"/>
    <cellStyle name="Normal 31 4 4 2" xfId="2801" xr:uid="{00000000-0005-0000-0000-00002D0B0000}"/>
    <cellStyle name="Normal 31 4 5" xfId="1475" xr:uid="{00000000-0005-0000-0000-00002E0B0000}"/>
    <cellStyle name="Normal 31 4 5 2" xfId="3426" xr:uid="{00000000-0005-0000-0000-00002F0B0000}"/>
    <cellStyle name="Normal 31 4 6" xfId="2166" xr:uid="{00000000-0005-0000-0000-0000300B0000}"/>
    <cellStyle name="Normal 31 5" xfId="480" xr:uid="{00000000-0005-0000-0000-0000310B0000}"/>
    <cellStyle name="Normal 31 5 2" xfId="1121" xr:uid="{00000000-0005-0000-0000-0000320B0000}"/>
    <cellStyle name="Normal 31 5 2 2" xfId="3073" xr:uid="{00000000-0005-0000-0000-0000330B0000}"/>
    <cellStyle name="Normal 31 5 3" xfId="1747" xr:uid="{00000000-0005-0000-0000-0000340B0000}"/>
    <cellStyle name="Normal 31 5 3 2" xfId="3698" xr:uid="{00000000-0005-0000-0000-0000350B0000}"/>
    <cellStyle name="Normal 31 5 4" xfId="2438" xr:uid="{00000000-0005-0000-0000-0000360B0000}"/>
    <cellStyle name="Normal 31 6" xfId="279" xr:uid="{00000000-0005-0000-0000-0000370B0000}"/>
    <cellStyle name="Normal 31 6 2" xfId="920" xr:uid="{00000000-0005-0000-0000-0000380B0000}"/>
    <cellStyle name="Normal 31 6 2 2" xfId="2872" xr:uid="{00000000-0005-0000-0000-0000390B0000}"/>
    <cellStyle name="Normal 31 6 3" xfId="1546" xr:uid="{00000000-0005-0000-0000-00003A0B0000}"/>
    <cellStyle name="Normal 31 6 3 2" xfId="3497" xr:uid="{00000000-0005-0000-0000-00003B0B0000}"/>
    <cellStyle name="Normal 31 6 4" xfId="2237" xr:uid="{00000000-0005-0000-0000-00003C0B0000}"/>
    <cellStyle name="Normal 31 7" xfId="717" xr:uid="{00000000-0005-0000-0000-00003D0B0000}"/>
    <cellStyle name="Normal 31 7 2" xfId="2669" xr:uid="{00000000-0005-0000-0000-00003E0B0000}"/>
    <cellStyle name="Normal 31 8" xfId="1343" xr:uid="{00000000-0005-0000-0000-00003F0B0000}"/>
    <cellStyle name="Normal 31 8 2" xfId="3294" xr:uid="{00000000-0005-0000-0000-0000400B0000}"/>
    <cellStyle name="Normal 31 9" xfId="1974" xr:uid="{00000000-0005-0000-0000-0000410B0000}"/>
    <cellStyle name="Normal 31 9 2" xfId="3925" xr:uid="{00000000-0005-0000-0000-0000420B0000}"/>
    <cellStyle name="Normal 32" xfId="75" xr:uid="{00000000-0005-0000-0000-0000430B0000}"/>
    <cellStyle name="Normal 32 10" xfId="2035" xr:uid="{00000000-0005-0000-0000-0000440B0000}"/>
    <cellStyle name="Normal 32 2" xfId="106" xr:uid="{00000000-0005-0000-0000-0000450B0000}"/>
    <cellStyle name="Normal 32 2 2" xfId="177" xr:uid="{00000000-0005-0000-0000-0000460B0000}"/>
    <cellStyle name="Normal 32 2 2 2" xfId="581" xr:uid="{00000000-0005-0000-0000-0000470B0000}"/>
    <cellStyle name="Normal 32 2 2 2 2" xfId="1222" xr:uid="{00000000-0005-0000-0000-0000480B0000}"/>
    <cellStyle name="Normal 32 2 2 2 2 2" xfId="3174" xr:uid="{00000000-0005-0000-0000-0000490B0000}"/>
    <cellStyle name="Normal 32 2 2 2 3" xfId="1848" xr:uid="{00000000-0005-0000-0000-00004A0B0000}"/>
    <cellStyle name="Normal 32 2 2 2 3 2" xfId="3799" xr:uid="{00000000-0005-0000-0000-00004B0B0000}"/>
    <cellStyle name="Normal 32 2 2 2 4" xfId="2539" xr:uid="{00000000-0005-0000-0000-00004C0B0000}"/>
    <cellStyle name="Normal 32 2 2 3" xfId="380" xr:uid="{00000000-0005-0000-0000-00004D0B0000}"/>
    <cellStyle name="Normal 32 2 2 3 2" xfId="1021" xr:uid="{00000000-0005-0000-0000-00004E0B0000}"/>
    <cellStyle name="Normal 32 2 2 3 2 2" xfId="2973" xr:uid="{00000000-0005-0000-0000-00004F0B0000}"/>
    <cellStyle name="Normal 32 2 2 3 3" xfId="1647" xr:uid="{00000000-0005-0000-0000-0000500B0000}"/>
    <cellStyle name="Normal 32 2 2 3 3 2" xfId="3598" xr:uid="{00000000-0005-0000-0000-0000510B0000}"/>
    <cellStyle name="Normal 32 2 2 3 4" xfId="2338" xr:uid="{00000000-0005-0000-0000-0000520B0000}"/>
    <cellStyle name="Normal 32 2 2 4" xfId="818" xr:uid="{00000000-0005-0000-0000-0000530B0000}"/>
    <cellStyle name="Normal 32 2 2 4 2" xfId="2770" xr:uid="{00000000-0005-0000-0000-0000540B0000}"/>
    <cellStyle name="Normal 32 2 2 5" xfId="1444" xr:uid="{00000000-0005-0000-0000-0000550B0000}"/>
    <cellStyle name="Normal 32 2 2 5 2" xfId="3395" xr:uid="{00000000-0005-0000-0000-0000560B0000}"/>
    <cellStyle name="Normal 32 2 2 6" xfId="2135" xr:uid="{00000000-0005-0000-0000-0000570B0000}"/>
    <cellStyle name="Normal 32 2 3" xfId="511" xr:uid="{00000000-0005-0000-0000-0000580B0000}"/>
    <cellStyle name="Normal 32 2 3 2" xfId="1152" xr:uid="{00000000-0005-0000-0000-0000590B0000}"/>
    <cellStyle name="Normal 32 2 3 2 2" xfId="3104" xr:uid="{00000000-0005-0000-0000-00005A0B0000}"/>
    <cellStyle name="Normal 32 2 3 3" xfId="1778" xr:uid="{00000000-0005-0000-0000-00005B0B0000}"/>
    <cellStyle name="Normal 32 2 3 3 2" xfId="3729" xr:uid="{00000000-0005-0000-0000-00005C0B0000}"/>
    <cellStyle name="Normal 32 2 3 4" xfId="2469" xr:uid="{00000000-0005-0000-0000-00005D0B0000}"/>
    <cellStyle name="Normal 32 2 4" xfId="310" xr:uid="{00000000-0005-0000-0000-00005E0B0000}"/>
    <cellStyle name="Normal 32 2 4 2" xfId="951" xr:uid="{00000000-0005-0000-0000-00005F0B0000}"/>
    <cellStyle name="Normal 32 2 4 2 2" xfId="2903" xr:uid="{00000000-0005-0000-0000-0000600B0000}"/>
    <cellStyle name="Normal 32 2 4 3" xfId="1577" xr:uid="{00000000-0005-0000-0000-0000610B0000}"/>
    <cellStyle name="Normal 32 2 4 3 2" xfId="3528" xr:uid="{00000000-0005-0000-0000-0000620B0000}"/>
    <cellStyle name="Normal 32 2 4 4" xfId="2268" xr:uid="{00000000-0005-0000-0000-0000630B0000}"/>
    <cellStyle name="Normal 32 2 5" xfId="748" xr:uid="{00000000-0005-0000-0000-0000640B0000}"/>
    <cellStyle name="Normal 32 2 5 2" xfId="2700" xr:uid="{00000000-0005-0000-0000-0000650B0000}"/>
    <cellStyle name="Normal 32 2 6" xfId="1374" xr:uid="{00000000-0005-0000-0000-0000660B0000}"/>
    <cellStyle name="Normal 32 2 6 2" xfId="3325" xr:uid="{00000000-0005-0000-0000-0000670B0000}"/>
    <cellStyle name="Normal 32 2 7" xfId="2065" xr:uid="{00000000-0005-0000-0000-0000680B0000}"/>
    <cellStyle name="Normal 32 3" xfId="147" xr:uid="{00000000-0005-0000-0000-0000690B0000}"/>
    <cellStyle name="Normal 32 3 2" xfId="551" xr:uid="{00000000-0005-0000-0000-00006A0B0000}"/>
    <cellStyle name="Normal 32 3 2 2" xfId="1192" xr:uid="{00000000-0005-0000-0000-00006B0B0000}"/>
    <cellStyle name="Normal 32 3 2 2 2" xfId="3144" xr:uid="{00000000-0005-0000-0000-00006C0B0000}"/>
    <cellStyle name="Normal 32 3 2 3" xfId="1818" xr:uid="{00000000-0005-0000-0000-00006D0B0000}"/>
    <cellStyle name="Normal 32 3 2 3 2" xfId="3769" xr:uid="{00000000-0005-0000-0000-00006E0B0000}"/>
    <cellStyle name="Normal 32 3 2 4" xfId="2509" xr:uid="{00000000-0005-0000-0000-00006F0B0000}"/>
    <cellStyle name="Normal 32 3 3" xfId="350" xr:uid="{00000000-0005-0000-0000-0000700B0000}"/>
    <cellStyle name="Normal 32 3 3 2" xfId="991" xr:uid="{00000000-0005-0000-0000-0000710B0000}"/>
    <cellStyle name="Normal 32 3 3 2 2" xfId="2943" xr:uid="{00000000-0005-0000-0000-0000720B0000}"/>
    <cellStyle name="Normal 32 3 3 3" xfId="1617" xr:uid="{00000000-0005-0000-0000-0000730B0000}"/>
    <cellStyle name="Normal 32 3 3 3 2" xfId="3568" xr:uid="{00000000-0005-0000-0000-0000740B0000}"/>
    <cellStyle name="Normal 32 3 3 4" xfId="2308" xr:uid="{00000000-0005-0000-0000-0000750B0000}"/>
    <cellStyle name="Normal 32 3 4" xfId="788" xr:uid="{00000000-0005-0000-0000-0000760B0000}"/>
    <cellStyle name="Normal 32 3 4 2" xfId="2740" xr:uid="{00000000-0005-0000-0000-0000770B0000}"/>
    <cellStyle name="Normal 32 3 5" xfId="1414" xr:uid="{00000000-0005-0000-0000-0000780B0000}"/>
    <cellStyle name="Normal 32 3 5 2" xfId="3365" xr:uid="{00000000-0005-0000-0000-0000790B0000}"/>
    <cellStyle name="Normal 32 3 6" xfId="2105" xr:uid="{00000000-0005-0000-0000-00007A0B0000}"/>
    <cellStyle name="Normal 32 4" xfId="209" xr:uid="{00000000-0005-0000-0000-00007B0B0000}"/>
    <cellStyle name="Normal 32 4 2" xfId="613" xr:uid="{00000000-0005-0000-0000-00007C0B0000}"/>
    <cellStyle name="Normal 32 4 2 2" xfId="1254" xr:uid="{00000000-0005-0000-0000-00007D0B0000}"/>
    <cellStyle name="Normal 32 4 2 2 2" xfId="3206" xr:uid="{00000000-0005-0000-0000-00007E0B0000}"/>
    <cellStyle name="Normal 32 4 2 3" xfId="1880" xr:uid="{00000000-0005-0000-0000-00007F0B0000}"/>
    <cellStyle name="Normal 32 4 2 3 2" xfId="3831" xr:uid="{00000000-0005-0000-0000-0000800B0000}"/>
    <cellStyle name="Normal 32 4 2 4" xfId="2571" xr:uid="{00000000-0005-0000-0000-0000810B0000}"/>
    <cellStyle name="Normal 32 4 3" xfId="412" xr:uid="{00000000-0005-0000-0000-0000820B0000}"/>
    <cellStyle name="Normal 32 4 3 2" xfId="1053" xr:uid="{00000000-0005-0000-0000-0000830B0000}"/>
    <cellStyle name="Normal 32 4 3 2 2" xfId="3005" xr:uid="{00000000-0005-0000-0000-0000840B0000}"/>
    <cellStyle name="Normal 32 4 3 3" xfId="1679" xr:uid="{00000000-0005-0000-0000-0000850B0000}"/>
    <cellStyle name="Normal 32 4 3 3 2" xfId="3630" xr:uid="{00000000-0005-0000-0000-0000860B0000}"/>
    <cellStyle name="Normal 32 4 3 4" xfId="2370" xr:uid="{00000000-0005-0000-0000-0000870B0000}"/>
    <cellStyle name="Normal 32 4 4" xfId="850" xr:uid="{00000000-0005-0000-0000-0000880B0000}"/>
    <cellStyle name="Normal 32 4 4 2" xfId="2802" xr:uid="{00000000-0005-0000-0000-0000890B0000}"/>
    <cellStyle name="Normal 32 4 5" xfId="1476" xr:uid="{00000000-0005-0000-0000-00008A0B0000}"/>
    <cellStyle name="Normal 32 4 5 2" xfId="3427" xr:uid="{00000000-0005-0000-0000-00008B0B0000}"/>
    <cellStyle name="Normal 32 4 6" xfId="2167" xr:uid="{00000000-0005-0000-0000-00008C0B0000}"/>
    <cellStyle name="Normal 32 5" xfId="481" xr:uid="{00000000-0005-0000-0000-00008D0B0000}"/>
    <cellStyle name="Normal 32 5 2" xfId="1122" xr:uid="{00000000-0005-0000-0000-00008E0B0000}"/>
    <cellStyle name="Normal 32 5 2 2" xfId="3074" xr:uid="{00000000-0005-0000-0000-00008F0B0000}"/>
    <cellStyle name="Normal 32 5 3" xfId="1748" xr:uid="{00000000-0005-0000-0000-0000900B0000}"/>
    <cellStyle name="Normal 32 5 3 2" xfId="3699" xr:uid="{00000000-0005-0000-0000-0000910B0000}"/>
    <cellStyle name="Normal 32 5 4" xfId="2439" xr:uid="{00000000-0005-0000-0000-0000920B0000}"/>
    <cellStyle name="Normal 32 6" xfId="280" xr:uid="{00000000-0005-0000-0000-0000930B0000}"/>
    <cellStyle name="Normal 32 6 2" xfId="921" xr:uid="{00000000-0005-0000-0000-0000940B0000}"/>
    <cellStyle name="Normal 32 6 2 2" xfId="2873" xr:uid="{00000000-0005-0000-0000-0000950B0000}"/>
    <cellStyle name="Normal 32 6 3" xfId="1547" xr:uid="{00000000-0005-0000-0000-0000960B0000}"/>
    <cellStyle name="Normal 32 6 3 2" xfId="3498" xr:uid="{00000000-0005-0000-0000-0000970B0000}"/>
    <cellStyle name="Normal 32 6 4" xfId="2238" xr:uid="{00000000-0005-0000-0000-0000980B0000}"/>
    <cellStyle name="Normal 32 7" xfId="718" xr:uid="{00000000-0005-0000-0000-0000990B0000}"/>
    <cellStyle name="Normal 32 7 2" xfId="2670" xr:uid="{00000000-0005-0000-0000-00009A0B0000}"/>
    <cellStyle name="Normal 32 8" xfId="1344" xr:uid="{00000000-0005-0000-0000-00009B0B0000}"/>
    <cellStyle name="Normal 32 8 2" xfId="3295" xr:uid="{00000000-0005-0000-0000-00009C0B0000}"/>
    <cellStyle name="Normal 32 9" xfId="1985" xr:uid="{00000000-0005-0000-0000-00009D0B0000}"/>
    <cellStyle name="Normal 32 9 2" xfId="3936" xr:uid="{00000000-0005-0000-0000-00009E0B0000}"/>
    <cellStyle name="Normal 33" xfId="76" xr:uid="{00000000-0005-0000-0000-00009F0B0000}"/>
    <cellStyle name="Normal 33 10" xfId="2036" xr:uid="{00000000-0005-0000-0000-0000A00B0000}"/>
    <cellStyle name="Normal 33 2" xfId="107" xr:uid="{00000000-0005-0000-0000-0000A10B0000}"/>
    <cellStyle name="Normal 33 2 2" xfId="178" xr:uid="{00000000-0005-0000-0000-0000A20B0000}"/>
    <cellStyle name="Normal 33 2 2 2" xfId="582" xr:uid="{00000000-0005-0000-0000-0000A30B0000}"/>
    <cellStyle name="Normal 33 2 2 2 2" xfId="1223" xr:uid="{00000000-0005-0000-0000-0000A40B0000}"/>
    <cellStyle name="Normal 33 2 2 2 2 2" xfId="3175" xr:uid="{00000000-0005-0000-0000-0000A50B0000}"/>
    <cellStyle name="Normal 33 2 2 2 3" xfId="1849" xr:uid="{00000000-0005-0000-0000-0000A60B0000}"/>
    <cellStyle name="Normal 33 2 2 2 3 2" xfId="3800" xr:uid="{00000000-0005-0000-0000-0000A70B0000}"/>
    <cellStyle name="Normal 33 2 2 2 4" xfId="2540" xr:uid="{00000000-0005-0000-0000-0000A80B0000}"/>
    <cellStyle name="Normal 33 2 2 3" xfId="381" xr:uid="{00000000-0005-0000-0000-0000A90B0000}"/>
    <cellStyle name="Normal 33 2 2 3 2" xfId="1022" xr:uid="{00000000-0005-0000-0000-0000AA0B0000}"/>
    <cellStyle name="Normal 33 2 2 3 2 2" xfId="2974" xr:uid="{00000000-0005-0000-0000-0000AB0B0000}"/>
    <cellStyle name="Normal 33 2 2 3 3" xfId="1648" xr:uid="{00000000-0005-0000-0000-0000AC0B0000}"/>
    <cellStyle name="Normal 33 2 2 3 3 2" xfId="3599" xr:uid="{00000000-0005-0000-0000-0000AD0B0000}"/>
    <cellStyle name="Normal 33 2 2 3 4" xfId="2339" xr:uid="{00000000-0005-0000-0000-0000AE0B0000}"/>
    <cellStyle name="Normal 33 2 2 4" xfId="819" xr:uid="{00000000-0005-0000-0000-0000AF0B0000}"/>
    <cellStyle name="Normal 33 2 2 4 2" xfId="2771" xr:uid="{00000000-0005-0000-0000-0000B00B0000}"/>
    <cellStyle name="Normal 33 2 2 5" xfId="1445" xr:uid="{00000000-0005-0000-0000-0000B10B0000}"/>
    <cellStyle name="Normal 33 2 2 5 2" xfId="3396" xr:uid="{00000000-0005-0000-0000-0000B20B0000}"/>
    <cellStyle name="Normal 33 2 2 6" xfId="2136" xr:uid="{00000000-0005-0000-0000-0000B30B0000}"/>
    <cellStyle name="Normal 33 2 3" xfId="512" xr:uid="{00000000-0005-0000-0000-0000B40B0000}"/>
    <cellStyle name="Normal 33 2 3 2" xfId="1153" xr:uid="{00000000-0005-0000-0000-0000B50B0000}"/>
    <cellStyle name="Normal 33 2 3 2 2" xfId="3105" xr:uid="{00000000-0005-0000-0000-0000B60B0000}"/>
    <cellStyle name="Normal 33 2 3 3" xfId="1779" xr:uid="{00000000-0005-0000-0000-0000B70B0000}"/>
    <cellStyle name="Normal 33 2 3 3 2" xfId="3730" xr:uid="{00000000-0005-0000-0000-0000B80B0000}"/>
    <cellStyle name="Normal 33 2 3 4" xfId="2470" xr:uid="{00000000-0005-0000-0000-0000B90B0000}"/>
    <cellStyle name="Normal 33 2 4" xfId="311" xr:uid="{00000000-0005-0000-0000-0000BA0B0000}"/>
    <cellStyle name="Normal 33 2 4 2" xfId="952" xr:uid="{00000000-0005-0000-0000-0000BB0B0000}"/>
    <cellStyle name="Normal 33 2 4 2 2" xfId="2904" xr:uid="{00000000-0005-0000-0000-0000BC0B0000}"/>
    <cellStyle name="Normal 33 2 4 3" xfId="1578" xr:uid="{00000000-0005-0000-0000-0000BD0B0000}"/>
    <cellStyle name="Normal 33 2 4 3 2" xfId="3529" xr:uid="{00000000-0005-0000-0000-0000BE0B0000}"/>
    <cellStyle name="Normal 33 2 4 4" xfId="2269" xr:uid="{00000000-0005-0000-0000-0000BF0B0000}"/>
    <cellStyle name="Normal 33 2 5" xfId="749" xr:uid="{00000000-0005-0000-0000-0000C00B0000}"/>
    <cellStyle name="Normal 33 2 5 2" xfId="2701" xr:uid="{00000000-0005-0000-0000-0000C10B0000}"/>
    <cellStyle name="Normal 33 2 6" xfId="1375" xr:uid="{00000000-0005-0000-0000-0000C20B0000}"/>
    <cellStyle name="Normal 33 2 6 2" xfId="3326" xr:uid="{00000000-0005-0000-0000-0000C30B0000}"/>
    <cellStyle name="Normal 33 2 7" xfId="2066" xr:uid="{00000000-0005-0000-0000-0000C40B0000}"/>
    <cellStyle name="Normal 33 3" xfId="148" xr:uid="{00000000-0005-0000-0000-0000C50B0000}"/>
    <cellStyle name="Normal 33 3 2" xfId="552" xr:uid="{00000000-0005-0000-0000-0000C60B0000}"/>
    <cellStyle name="Normal 33 3 2 2" xfId="1193" xr:uid="{00000000-0005-0000-0000-0000C70B0000}"/>
    <cellStyle name="Normal 33 3 2 2 2" xfId="3145" xr:uid="{00000000-0005-0000-0000-0000C80B0000}"/>
    <cellStyle name="Normal 33 3 2 3" xfId="1819" xr:uid="{00000000-0005-0000-0000-0000C90B0000}"/>
    <cellStyle name="Normal 33 3 2 3 2" xfId="3770" xr:uid="{00000000-0005-0000-0000-0000CA0B0000}"/>
    <cellStyle name="Normal 33 3 2 4" xfId="2510" xr:uid="{00000000-0005-0000-0000-0000CB0B0000}"/>
    <cellStyle name="Normal 33 3 3" xfId="351" xr:uid="{00000000-0005-0000-0000-0000CC0B0000}"/>
    <cellStyle name="Normal 33 3 3 2" xfId="992" xr:uid="{00000000-0005-0000-0000-0000CD0B0000}"/>
    <cellStyle name="Normal 33 3 3 2 2" xfId="2944" xr:uid="{00000000-0005-0000-0000-0000CE0B0000}"/>
    <cellStyle name="Normal 33 3 3 3" xfId="1618" xr:uid="{00000000-0005-0000-0000-0000CF0B0000}"/>
    <cellStyle name="Normal 33 3 3 3 2" xfId="3569" xr:uid="{00000000-0005-0000-0000-0000D00B0000}"/>
    <cellStyle name="Normal 33 3 3 4" xfId="2309" xr:uid="{00000000-0005-0000-0000-0000D10B0000}"/>
    <cellStyle name="Normal 33 3 4" xfId="789" xr:uid="{00000000-0005-0000-0000-0000D20B0000}"/>
    <cellStyle name="Normal 33 3 4 2" xfId="2741" xr:uid="{00000000-0005-0000-0000-0000D30B0000}"/>
    <cellStyle name="Normal 33 3 5" xfId="1415" xr:uid="{00000000-0005-0000-0000-0000D40B0000}"/>
    <cellStyle name="Normal 33 3 5 2" xfId="3366" xr:uid="{00000000-0005-0000-0000-0000D50B0000}"/>
    <cellStyle name="Normal 33 3 6" xfId="2106" xr:uid="{00000000-0005-0000-0000-0000D60B0000}"/>
    <cellStyle name="Normal 33 4" xfId="210" xr:uid="{00000000-0005-0000-0000-0000D70B0000}"/>
    <cellStyle name="Normal 33 4 2" xfId="614" xr:uid="{00000000-0005-0000-0000-0000D80B0000}"/>
    <cellStyle name="Normal 33 4 2 2" xfId="1255" xr:uid="{00000000-0005-0000-0000-0000D90B0000}"/>
    <cellStyle name="Normal 33 4 2 2 2" xfId="3207" xr:uid="{00000000-0005-0000-0000-0000DA0B0000}"/>
    <cellStyle name="Normal 33 4 2 3" xfId="1881" xr:uid="{00000000-0005-0000-0000-0000DB0B0000}"/>
    <cellStyle name="Normal 33 4 2 3 2" xfId="3832" xr:uid="{00000000-0005-0000-0000-0000DC0B0000}"/>
    <cellStyle name="Normal 33 4 2 4" xfId="2572" xr:uid="{00000000-0005-0000-0000-0000DD0B0000}"/>
    <cellStyle name="Normal 33 4 3" xfId="413" xr:uid="{00000000-0005-0000-0000-0000DE0B0000}"/>
    <cellStyle name="Normal 33 4 3 2" xfId="1054" xr:uid="{00000000-0005-0000-0000-0000DF0B0000}"/>
    <cellStyle name="Normal 33 4 3 2 2" xfId="3006" xr:uid="{00000000-0005-0000-0000-0000E00B0000}"/>
    <cellStyle name="Normal 33 4 3 3" xfId="1680" xr:uid="{00000000-0005-0000-0000-0000E10B0000}"/>
    <cellStyle name="Normal 33 4 3 3 2" xfId="3631" xr:uid="{00000000-0005-0000-0000-0000E20B0000}"/>
    <cellStyle name="Normal 33 4 3 4" xfId="2371" xr:uid="{00000000-0005-0000-0000-0000E30B0000}"/>
    <cellStyle name="Normal 33 4 4" xfId="851" xr:uid="{00000000-0005-0000-0000-0000E40B0000}"/>
    <cellStyle name="Normal 33 4 4 2" xfId="2803" xr:uid="{00000000-0005-0000-0000-0000E50B0000}"/>
    <cellStyle name="Normal 33 4 5" xfId="1477" xr:uid="{00000000-0005-0000-0000-0000E60B0000}"/>
    <cellStyle name="Normal 33 4 5 2" xfId="3428" xr:uid="{00000000-0005-0000-0000-0000E70B0000}"/>
    <cellStyle name="Normal 33 4 6" xfId="2168" xr:uid="{00000000-0005-0000-0000-0000E80B0000}"/>
    <cellStyle name="Normal 33 5" xfId="482" xr:uid="{00000000-0005-0000-0000-0000E90B0000}"/>
    <cellStyle name="Normal 33 5 2" xfId="1123" xr:uid="{00000000-0005-0000-0000-0000EA0B0000}"/>
    <cellStyle name="Normal 33 5 2 2" xfId="3075" xr:uid="{00000000-0005-0000-0000-0000EB0B0000}"/>
    <cellStyle name="Normal 33 5 3" xfId="1749" xr:uid="{00000000-0005-0000-0000-0000EC0B0000}"/>
    <cellStyle name="Normal 33 5 3 2" xfId="3700" xr:uid="{00000000-0005-0000-0000-0000ED0B0000}"/>
    <cellStyle name="Normal 33 5 4" xfId="2440" xr:uid="{00000000-0005-0000-0000-0000EE0B0000}"/>
    <cellStyle name="Normal 33 6" xfId="281" xr:uid="{00000000-0005-0000-0000-0000EF0B0000}"/>
    <cellStyle name="Normal 33 6 2" xfId="922" xr:uid="{00000000-0005-0000-0000-0000F00B0000}"/>
    <cellStyle name="Normal 33 6 2 2" xfId="2874" xr:uid="{00000000-0005-0000-0000-0000F10B0000}"/>
    <cellStyle name="Normal 33 6 3" xfId="1548" xr:uid="{00000000-0005-0000-0000-0000F20B0000}"/>
    <cellStyle name="Normal 33 6 3 2" xfId="3499" xr:uid="{00000000-0005-0000-0000-0000F30B0000}"/>
    <cellStyle name="Normal 33 6 4" xfId="2239" xr:uid="{00000000-0005-0000-0000-0000F40B0000}"/>
    <cellStyle name="Normal 33 7" xfId="719" xr:uid="{00000000-0005-0000-0000-0000F50B0000}"/>
    <cellStyle name="Normal 33 7 2" xfId="2671" xr:uid="{00000000-0005-0000-0000-0000F60B0000}"/>
    <cellStyle name="Normal 33 8" xfId="1345" xr:uid="{00000000-0005-0000-0000-0000F70B0000}"/>
    <cellStyle name="Normal 33 8 2" xfId="3296" xr:uid="{00000000-0005-0000-0000-0000F80B0000}"/>
    <cellStyle name="Normal 33 9" xfId="1996" xr:uid="{00000000-0005-0000-0000-0000F90B0000}"/>
    <cellStyle name="Normal 33 9 2" xfId="3947" xr:uid="{00000000-0005-0000-0000-0000FA0B0000}"/>
    <cellStyle name="Normal 34" xfId="77" xr:uid="{00000000-0005-0000-0000-0000FB0B0000}"/>
    <cellStyle name="Normal 34 10" xfId="2037" xr:uid="{00000000-0005-0000-0000-0000FC0B0000}"/>
    <cellStyle name="Normal 34 2" xfId="108" xr:uid="{00000000-0005-0000-0000-0000FD0B0000}"/>
    <cellStyle name="Normal 34 2 2" xfId="179" xr:uid="{00000000-0005-0000-0000-0000FE0B0000}"/>
    <cellStyle name="Normal 34 2 2 2" xfId="583" xr:uid="{00000000-0005-0000-0000-0000FF0B0000}"/>
    <cellStyle name="Normal 34 2 2 2 2" xfId="1224" xr:uid="{00000000-0005-0000-0000-0000000C0000}"/>
    <cellStyle name="Normal 34 2 2 2 2 2" xfId="3176" xr:uid="{00000000-0005-0000-0000-0000010C0000}"/>
    <cellStyle name="Normal 34 2 2 2 3" xfId="1850" xr:uid="{00000000-0005-0000-0000-0000020C0000}"/>
    <cellStyle name="Normal 34 2 2 2 3 2" xfId="3801" xr:uid="{00000000-0005-0000-0000-0000030C0000}"/>
    <cellStyle name="Normal 34 2 2 2 4" xfId="2541" xr:uid="{00000000-0005-0000-0000-0000040C0000}"/>
    <cellStyle name="Normal 34 2 2 3" xfId="382" xr:uid="{00000000-0005-0000-0000-0000050C0000}"/>
    <cellStyle name="Normal 34 2 2 3 2" xfId="1023" xr:uid="{00000000-0005-0000-0000-0000060C0000}"/>
    <cellStyle name="Normal 34 2 2 3 2 2" xfId="2975" xr:uid="{00000000-0005-0000-0000-0000070C0000}"/>
    <cellStyle name="Normal 34 2 2 3 3" xfId="1649" xr:uid="{00000000-0005-0000-0000-0000080C0000}"/>
    <cellStyle name="Normal 34 2 2 3 3 2" xfId="3600" xr:uid="{00000000-0005-0000-0000-0000090C0000}"/>
    <cellStyle name="Normal 34 2 2 3 4" xfId="2340" xr:uid="{00000000-0005-0000-0000-00000A0C0000}"/>
    <cellStyle name="Normal 34 2 2 4" xfId="820" xr:uid="{00000000-0005-0000-0000-00000B0C0000}"/>
    <cellStyle name="Normal 34 2 2 4 2" xfId="2772" xr:uid="{00000000-0005-0000-0000-00000C0C0000}"/>
    <cellStyle name="Normal 34 2 2 5" xfId="1446" xr:uid="{00000000-0005-0000-0000-00000D0C0000}"/>
    <cellStyle name="Normal 34 2 2 5 2" xfId="3397" xr:uid="{00000000-0005-0000-0000-00000E0C0000}"/>
    <cellStyle name="Normal 34 2 2 6" xfId="2137" xr:uid="{00000000-0005-0000-0000-00000F0C0000}"/>
    <cellStyle name="Normal 34 2 3" xfId="513" xr:uid="{00000000-0005-0000-0000-0000100C0000}"/>
    <cellStyle name="Normal 34 2 3 2" xfId="1154" xr:uid="{00000000-0005-0000-0000-0000110C0000}"/>
    <cellStyle name="Normal 34 2 3 2 2" xfId="3106" xr:uid="{00000000-0005-0000-0000-0000120C0000}"/>
    <cellStyle name="Normal 34 2 3 3" xfId="1780" xr:uid="{00000000-0005-0000-0000-0000130C0000}"/>
    <cellStyle name="Normal 34 2 3 3 2" xfId="3731" xr:uid="{00000000-0005-0000-0000-0000140C0000}"/>
    <cellStyle name="Normal 34 2 3 4" xfId="2471" xr:uid="{00000000-0005-0000-0000-0000150C0000}"/>
    <cellStyle name="Normal 34 2 4" xfId="312" xr:uid="{00000000-0005-0000-0000-0000160C0000}"/>
    <cellStyle name="Normal 34 2 4 2" xfId="953" xr:uid="{00000000-0005-0000-0000-0000170C0000}"/>
    <cellStyle name="Normal 34 2 4 2 2" xfId="2905" xr:uid="{00000000-0005-0000-0000-0000180C0000}"/>
    <cellStyle name="Normal 34 2 4 3" xfId="1579" xr:uid="{00000000-0005-0000-0000-0000190C0000}"/>
    <cellStyle name="Normal 34 2 4 3 2" xfId="3530" xr:uid="{00000000-0005-0000-0000-00001A0C0000}"/>
    <cellStyle name="Normal 34 2 4 4" xfId="2270" xr:uid="{00000000-0005-0000-0000-00001B0C0000}"/>
    <cellStyle name="Normal 34 2 5" xfId="750" xr:uid="{00000000-0005-0000-0000-00001C0C0000}"/>
    <cellStyle name="Normal 34 2 5 2" xfId="2702" xr:uid="{00000000-0005-0000-0000-00001D0C0000}"/>
    <cellStyle name="Normal 34 2 6" xfId="1376" xr:uid="{00000000-0005-0000-0000-00001E0C0000}"/>
    <cellStyle name="Normal 34 2 6 2" xfId="3327" xr:uid="{00000000-0005-0000-0000-00001F0C0000}"/>
    <cellStyle name="Normal 34 2 7" xfId="2067" xr:uid="{00000000-0005-0000-0000-0000200C0000}"/>
    <cellStyle name="Normal 34 3" xfId="149" xr:uid="{00000000-0005-0000-0000-0000210C0000}"/>
    <cellStyle name="Normal 34 3 2" xfId="553" xr:uid="{00000000-0005-0000-0000-0000220C0000}"/>
    <cellStyle name="Normal 34 3 2 2" xfId="1194" xr:uid="{00000000-0005-0000-0000-0000230C0000}"/>
    <cellStyle name="Normal 34 3 2 2 2" xfId="3146" xr:uid="{00000000-0005-0000-0000-0000240C0000}"/>
    <cellStyle name="Normal 34 3 2 3" xfId="1820" xr:uid="{00000000-0005-0000-0000-0000250C0000}"/>
    <cellStyle name="Normal 34 3 2 3 2" xfId="3771" xr:uid="{00000000-0005-0000-0000-0000260C0000}"/>
    <cellStyle name="Normal 34 3 2 4" xfId="2511" xr:uid="{00000000-0005-0000-0000-0000270C0000}"/>
    <cellStyle name="Normal 34 3 3" xfId="352" xr:uid="{00000000-0005-0000-0000-0000280C0000}"/>
    <cellStyle name="Normal 34 3 3 2" xfId="993" xr:uid="{00000000-0005-0000-0000-0000290C0000}"/>
    <cellStyle name="Normal 34 3 3 2 2" xfId="2945" xr:uid="{00000000-0005-0000-0000-00002A0C0000}"/>
    <cellStyle name="Normal 34 3 3 3" xfId="1619" xr:uid="{00000000-0005-0000-0000-00002B0C0000}"/>
    <cellStyle name="Normal 34 3 3 3 2" xfId="3570" xr:uid="{00000000-0005-0000-0000-00002C0C0000}"/>
    <cellStyle name="Normal 34 3 3 4" xfId="2310" xr:uid="{00000000-0005-0000-0000-00002D0C0000}"/>
    <cellStyle name="Normal 34 3 4" xfId="790" xr:uid="{00000000-0005-0000-0000-00002E0C0000}"/>
    <cellStyle name="Normal 34 3 4 2" xfId="2742" xr:uid="{00000000-0005-0000-0000-00002F0C0000}"/>
    <cellStyle name="Normal 34 3 5" xfId="1416" xr:uid="{00000000-0005-0000-0000-0000300C0000}"/>
    <cellStyle name="Normal 34 3 5 2" xfId="3367" xr:uid="{00000000-0005-0000-0000-0000310C0000}"/>
    <cellStyle name="Normal 34 3 6" xfId="2107" xr:uid="{00000000-0005-0000-0000-0000320C0000}"/>
    <cellStyle name="Normal 34 4" xfId="211" xr:uid="{00000000-0005-0000-0000-0000330C0000}"/>
    <cellStyle name="Normal 34 4 2" xfId="615" xr:uid="{00000000-0005-0000-0000-0000340C0000}"/>
    <cellStyle name="Normal 34 4 2 2" xfId="1256" xr:uid="{00000000-0005-0000-0000-0000350C0000}"/>
    <cellStyle name="Normal 34 4 2 2 2" xfId="3208" xr:uid="{00000000-0005-0000-0000-0000360C0000}"/>
    <cellStyle name="Normal 34 4 2 3" xfId="1882" xr:uid="{00000000-0005-0000-0000-0000370C0000}"/>
    <cellStyle name="Normal 34 4 2 3 2" xfId="3833" xr:uid="{00000000-0005-0000-0000-0000380C0000}"/>
    <cellStyle name="Normal 34 4 2 4" xfId="2573" xr:uid="{00000000-0005-0000-0000-0000390C0000}"/>
    <cellStyle name="Normal 34 4 3" xfId="414" xr:uid="{00000000-0005-0000-0000-00003A0C0000}"/>
    <cellStyle name="Normal 34 4 3 2" xfId="1055" xr:uid="{00000000-0005-0000-0000-00003B0C0000}"/>
    <cellStyle name="Normal 34 4 3 2 2" xfId="3007" xr:uid="{00000000-0005-0000-0000-00003C0C0000}"/>
    <cellStyle name="Normal 34 4 3 3" xfId="1681" xr:uid="{00000000-0005-0000-0000-00003D0C0000}"/>
    <cellStyle name="Normal 34 4 3 3 2" xfId="3632" xr:uid="{00000000-0005-0000-0000-00003E0C0000}"/>
    <cellStyle name="Normal 34 4 3 4" xfId="2372" xr:uid="{00000000-0005-0000-0000-00003F0C0000}"/>
    <cellStyle name="Normal 34 4 4" xfId="852" xr:uid="{00000000-0005-0000-0000-0000400C0000}"/>
    <cellStyle name="Normal 34 4 4 2" xfId="2804" xr:uid="{00000000-0005-0000-0000-0000410C0000}"/>
    <cellStyle name="Normal 34 4 5" xfId="1478" xr:uid="{00000000-0005-0000-0000-0000420C0000}"/>
    <cellStyle name="Normal 34 4 5 2" xfId="3429" xr:uid="{00000000-0005-0000-0000-0000430C0000}"/>
    <cellStyle name="Normal 34 4 6" xfId="2169" xr:uid="{00000000-0005-0000-0000-0000440C0000}"/>
    <cellStyle name="Normal 34 5" xfId="483" xr:uid="{00000000-0005-0000-0000-0000450C0000}"/>
    <cellStyle name="Normal 34 5 2" xfId="1124" xr:uid="{00000000-0005-0000-0000-0000460C0000}"/>
    <cellStyle name="Normal 34 5 2 2" xfId="3076" xr:uid="{00000000-0005-0000-0000-0000470C0000}"/>
    <cellStyle name="Normal 34 5 3" xfId="1750" xr:uid="{00000000-0005-0000-0000-0000480C0000}"/>
    <cellStyle name="Normal 34 5 3 2" xfId="3701" xr:uid="{00000000-0005-0000-0000-0000490C0000}"/>
    <cellStyle name="Normal 34 5 4" xfId="2441" xr:uid="{00000000-0005-0000-0000-00004A0C0000}"/>
    <cellStyle name="Normal 34 6" xfId="282" xr:uid="{00000000-0005-0000-0000-00004B0C0000}"/>
    <cellStyle name="Normal 34 6 2" xfId="923" xr:uid="{00000000-0005-0000-0000-00004C0C0000}"/>
    <cellStyle name="Normal 34 6 2 2" xfId="2875" xr:uid="{00000000-0005-0000-0000-00004D0C0000}"/>
    <cellStyle name="Normal 34 6 3" xfId="1549" xr:uid="{00000000-0005-0000-0000-00004E0C0000}"/>
    <cellStyle name="Normal 34 6 3 2" xfId="3500" xr:uid="{00000000-0005-0000-0000-00004F0C0000}"/>
    <cellStyle name="Normal 34 6 4" xfId="2240" xr:uid="{00000000-0005-0000-0000-0000500C0000}"/>
    <cellStyle name="Normal 34 7" xfId="720" xr:uid="{00000000-0005-0000-0000-0000510C0000}"/>
    <cellStyle name="Normal 34 7 2" xfId="2672" xr:uid="{00000000-0005-0000-0000-0000520C0000}"/>
    <cellStyle name="Normal 34 8" xfId="1346" xr:uid="{00000000-0005-0000-0000-0000530C0000}"/>
    <cellStyle name="Normal 34 8 2" xfId="3297" xr:uid="{00000000-0005-0000-0000-0000540C0000}"/>
    <cellStyle name="Normal 34 9" xfId="1982" xr:uid="{00000000-0005-0000-0000-0000550C0000}"/>
    <cellStyle name="Normal 34 9 2" xfId="3933" xr:uid="{00000000-0005-0000-0000-0000560C0000}"/>
    <cellStyle name="Normal 35" xfId="78" xr:uid="{00000000-0005-0000-0000-0000570C0000}"/>
    <cellStyle name="Normal 35 10" xfId="2038" xr:uid="{00000000-0005-0000-0000-0000580C0000}"/>
    <cellStyle name="Normal 35 2" xfId="109" xr:uid="{00000000-0005-0000-0000-0000590C0000}"/>
    <cellStyle name="Normal 35 2 2" xfId="180" xr:uid="{00000000-0005-0000-0000-00005A0C0000}"/>
    <cellStyle name="Normal 35 2 2 2" xfId="584" xr:uid="{00000000-0005-0000-0000-00005B0C0000}"/>
    <cellStyle name="Normal 35 2 2 2 2" xfId="1225" xr:uid="{00000000-0005-0000-0000-00005C0C0000}"/>
    <cellStyle name="Normal 35 2 2 2 2 2" xfId="3177" xr:uid="{00000000-0005-0000-0000-00005D0C0000}"/>
    <cellStyle name="Normal 35 2 2 2 3" xfId="1851" xr:uid="{00000000-0005-0000-0000-00005E0C0000}"/>
    <cellStyle name="Normal 35 2 2 2 3 2" xfId="3802" xr:uid="{00000000-0005-0000-0000-00005F0C0000}"/>
    <cellStyle name="Normal 35 2 2 2 4" xfId="2542" xr:uid="{00000000-0005-0000-0000-0000600C0000}"/>
    <cellStyle name="Normal 35 2 2 3" xfId="383" xr:uid="{00000000-0005-0000-0000-0000610C0000}"/>
    <cellStyle name="Normal 35 2 2 3 2" xfId="1024" xr:uid="{00000000-0005-0000-0000-0000620C0000}"/>
    <cellStyle name="Normal 35 2 2 3 2 2" xfId="2976" xr:uid="{00000000-0005-0000-0000-0000630C0000}"/>
    <cellStyle name="Normal 35 2 2 3 3" xfId="1650" xr:uid="{00000000-0005-0000-0000-0000640C0000}"/>
    <cellStyle name="Normal 35 2 2 3 3 2" xfId="3601" xr:uid="{00000000-0005-0000-0000-0000650C0000}"/>
    <cellStyle name="Normal 35 2 2 3 4" xfId="2341" xr:uid="{00000000-0005-0000-0000-0000660C0000}"/>
    <cellStyle name="Normal 35 2 2 4" xfId="821" xr:uid="{00000000-0005-0000-0000-0000670C0000}"/>
    <cellStyle name="Normal 35 2 2 4 2" xfId="2773" xr:uid="{00000000-0005-0000-0000-0000680C0000}"/>
    <cellStyle name="Normal 35 2 2 5" xfId="1447" xr:uid="{00000000-0005-0000-0000-0000690C0000}"/>
    <cellStyle name="Normal 35 2 2 5 2" xfId="3398" xr:uid="{00000000-0005-0000-0000-00006A0C0000}"/>
    <cellStyle name="Normal 35 2 2 6" xfId="2138" xr:uid="{00000000-0005-0000-0000-00006B0C0000}"/>
    <cellStyle name="Normal 35 2 3" xfId="514" xr:uid="{00000000-0005-0000-0000-00006C0C0000}"/>
    <cellStyle name="Normal 35 2 3 2" xfId="1155" xr:uid="{00000000-0005-0000-0000-00006D0C0000}"/>
    <cellStyle name="Normal 35 2 3 2 2" xfId="3107" xr:uid="{00000000-0005-0000-0000-00006E0C0000}"/>
    <cellStyle name="Normal 35 2 3 3" xfId="1781" xr:uid="{00000000-0005-0000-0000-00006F0C0000}"/>
    <cellStyle name="Normal 35 2 3 3 2" xfId="3732" xr:uid="{00000000-0005-0000-0000-0000700C0000}"/>
    <cellStyle name="Normal 35 2 3 4" xfId="2472" xr:uid="{00000000-0005-0000-0000-0000710C0000}"/>
    <cellStyle name="Normal 35 2 4" xfId="313" xr:uid="{00000000-0005-0000-0000-0000720C0000}"/>
    <cellStyle name="Normal 35 2 4 2" xfId="954" xr:uid="{00000000-0005-0000-0000-0000730C0000}"/>
    <cellStyle name="Normal 35 2 4 2 2" xfId="2906" xr:uid="{00000000-0005-0000-0000-0000740C0000}"/>
    <cellStyle name="Normal 35 2 4 3" xfId="1580" xr:uid="{00000000-0005-0000-0000-0000750C0000}"/>
    <cellStyle name="Normal 35 2 4 3 2" xfId="3531" xr:uid="{00000000-0005-0000-0000-0000760C0000}"/>
    <cellStyle name="Normal 35 2 4 4" xfId="2271" xr:uid="{00000000-0005-0000-0000-0000770C0000}"/>
    <cellStyle name="Normal 35 2 5" xfId="751" xr:uid="{00000000-0005-0000-0000-0000780C0000}"/>
    <cellStyle name="Normal 35 2 5 2" xfId="2703" xr:uid="{00000000-0005-0000-0000-0000790C0000}"/>
    <cellStyle name="Normal 35 2 6" xfId="1377" xr:uid="{00000000-0005-0000-0000-00007A0C0000}"/>
    <cellStyle name="Normal 35 2 6 2" xfId="3328" xr:uid="{00000000-0005-0000-0000-00007B0C0000}"/>
    <cellStyle name="Normal 35 2 7" xfId="2068" xr:uid="{00000000-0005-0000-0000-00007C0C0000}"/>
    <cellStyle name="Normal 35 3" xfId="150" xr:uid="{00000000-0005-0000-0000-00007D0C0000}"/>
    <cellStyle name="Normal 35 3 2" xfId="554" xr:uid="{00000000-0005-0000-0000-00007E0C0000}"/>
    <cellStyle name="Normal 35 3 2 2" xfId="1195" xr:uid="{00000000-0005-0000-0000-00007F0C0000}"/>
    <cellStyle name="Normal 35 3 2 2 2" xfId="3147" xr:uid="{00000000-0005-0000-0000-0000800C0000}"/>
    <cellStyle name="Normal 35 3 2 3" xfId="1821" xr:uid="{00000000-0005-0000-0000-0000810C0000}"/>
    <cellStyle name="Normal 35 3 2 3 2" xfId="3772" xr:uid="{00000000-0005-0000-0000-0000820C0000}"/>
    <cellStyle name="Normal 35 3 2 4" xfId="2512" xr:uid="{00000000-0005-0000-0000-0000830C0000}"/>
    <cellStyle name="Normal 35 3 3" xfId="353" xr:uid="{00000000-0005-0000-0000-0000840C0000}"/>
    <cellStyle name="Normal 35 3 3 2" xfId="994" xr:uid="{00000000-0005-0000-0000-0000850C0000}"/>
    <cellStyle name="Normal 35 3 3 2 2" xfId="2946" xr:uid="{00000000-0005-0000-0000-0000860C0000}"/>
    <cellStyle name="Normal 35 3 3 3" xfId="1620" xr:uid="{00000000-0005-0000-0000-0000870C0000}"/>
    <cellStyle name="Normal 35 3 3 3 2" xfId="3571" xr:uid="{00000000-0005-0000-0000-0000880C0000}"/>
    <cellStyle name="Normal 35 3 3 4" xfId="2311" xr:uid="{00000000-0005-0000-0000-0000890C0000}"/>
    <cellStyle name="Normal 35 3 4" xfId="791" xr:uid="{00000000-0005-0000-0000-00008A0C0000}"/>
    <cellStyle name="Normal 35 3 4 2" xfId="2743" xr:uid="{00000000-0005-0000-0000-00008B0C0000}"/>
    <cellStyle name="Normal 35 3 5" xfId="1417" xr:uid="{00000000-0005-0000-0000-00008C0C0000}"/>
    <cellStyle name="Normal 35 3 5 2" xfId="3368" xr:uid="{00000000-0005-0000-0000-00008D0C0000}"/>
    <cellStyle name="Normal 35 3 6" xfId="2108" xr:uid="{00000000-0005-0000-0000-00008E0C0000}"/>
    <cellStyle name="Normal 35 4" xfId="212" xr:uid="{00000000-0005-0000-0000-00008F0C0000}"/>
    <cellStyle name="Normal 35 4 2" xfId="616" xr:uid="{00000000-0005-0000-0000-0000900C0000}"/>
    <cellStyle name="Normal 35 4 2 2" xfId="1257" xr:uid="{00000000-0005-0000-0000-0000910C0000}"/>
    <cellStyle name="Normal 35 4 2 2 2" xfId="3209" xr:uid="{00000000-0005-0000-0000-0000920C0000}"/>
    <cellStyle name="Normal 35 4 2 3" xfId="1883" xr:uid="{00000000-0005-0000-0000-0000930C0000}"/>
    <cellStyle name="Normal 35 4 2 3 2" xfId="3834" xr:uid="{00000000-0005-0000-0000-0000940C0000}"/>
    <cellStyle name="Normal 35 4 2 4" xfId="2574" xr:uid="{00000000-0005-0000-0000-0000950C0000}"/>
    <cellStyle name="Normal 35 4 3" xfId="415" xr:uid="{00000000-0005-0000-0000-0000960C0000}"/>
    <cellStyle name="Normal 35 4 3 2" xfId="1056" xr:uid="{00000000-0005-0000-0000-0000970C0000}"/>
    <cellStyle name="Normal 35 4 3 2 2" xfId="3008" xr:uid="{00000000-0005-0000-0000-0000980C0000}"/>
    <cellStyle name="Normal 35 4 3 3" xfId="1682" xr:uid="{00000000-0005-0000-0000-0000990C0000}"/>
    <cellStyle name="Normal 35 4 3 3 2" xfId="3633" xr:uid="{00000000-0005-0000-0000-00009A0C0000}"/>
    <cellStyle name="Normal 35 4 3 4" xfId="2373" xr:uid="{00000000-0005-0000-0000-00009B0C0000}"/>
    <cellStyle name="Normal 35 4 4" xfId="853" xr:uid="{00000000-0005-0000-0000-00009C0C0000}"/>
    <cellStyle name="Normal 35 4 4 2" xfId="2805" xr:uid="{00000000-0005-0000-0000-00009D0C0000}"/>
    <cellStyle name="Normal 35 4 5" xfId="1479" xr:uid="{00000000-0005-0000-0000-00009E0C0000}"/>
    <cellStyle name="Normal 35 4 5 2" xfId="3430" xr:uid="{00000000-0005-0000-0000-00009F0C0000}"/>
    <cellStyle name="Normal 35 4 6" xfId="2170" xr:uid="{00000000-0005-0000-0000-0000A00C0000}"/>
    <cellStyle name="Normal 35 5" xfId="484" xr:uid="{00000000-0005-0000-0000-0000A10C0000}"/>
    <cellStyle name="Normal 35 5 2" xfId="1125" xr:uid="{00000000-0005-0000-0000-0000A20C0000}"/>
    <cellStyle name="Normal 35 5 2 2" xfId="3077" xr:uid="{00000000-0005-0000-0000-0000A30C0000}"/>
    <cellStyle name="Normal 35 5 3" xfId="1751" xr:uid="{00000000-0005-0000-0000-0000A40C0000}"/>
    <cellStyle name="Normal 35 5 3 2" xfId="3702" xr:uid="{00000000-0005-0000-0000-0000A50C0000}"/>
    <cellStyle name="Normal 35 5 4" xfId="2442" xr:uid="{00000000-0005-0000-0000-0000A60C0000}"/>
    <cellStyle name="Normal 35 6" xfId="283" xr:uid="{00000000-0005-0000-0000-0000A70C0000}"/>
    <cellStyle name="Normal 35 6 2" xfId="924" xr:uid="{00000000-0005-0000-0000-0000A80C0000}"/>
    <cellStyle name="Normal 35 6 2 2" xfId="2876" xr:uid="{00000000-0005-0000-0000-0000A90C0000}"/>
    <cellStyle name="Normal 35 6 3" xfId="1550" xr:uid="{00000000-0005-0000-0000-0000AA0C0000}"/>
    <cellStyle name="Normal 35 6 3 2" xfId="3501" xr:uid="{00000000-0005-0000-0000-0000AB0C0000}"/>
    <cellStyle name="Normal 35 6 4" xfId="2241" xr:uid="{00000000-0005-0000-0000-0000AC0C0000}"/>
    <cellStyle name="Normal 35 7" xfId="721" xr:uid="{00000000-0005-0000-0000-0000AD0C0000}"/>
    <cellStyle name="Normal 35 7 2" xfId="2673" xr:uid="{00000000-0005-0000-0000-0000AE0C0000}"/>
    <cellStyle name="Normal 35 8" xfId="1347" xr:uid="{00000000-0005-0000-0000-0000AF0C0000}"/>
    <cellStyle name="Normal 35 8 2" xfId="3298" xr:uid="{00000000-0005-0000-0000-0000B00C0000}"/>
    <cellStyle name="Normal 35 9" xfId="2003" xr:uid="{00000000-0005-0000-0000-0000B10C0000}"/>
    <cellStyle name="Normal 35 9 2" xfId="3954" xr:uid="{00000000-0005-0000-0000-0000B20C0000}"/>
    <cellStyle name="Normal 36" xfId="79" xr:uid="{00000000-0005-0000-0000-0000B30C0000}"/>
    <cellStyle name="Normal 36 10" xfId="2039" xr:uid="{00000000-0005-0000-0000-0000B40C0000}"/>
    <cellStyle name="Normal 36 2" xfId="110" xr:uid="{00000000-0005-0000-0000-0000B50C0000}"/>
    <cellStyle name="Normal 36 2 2" xfId="181" xr:uid="{00000000-0005-0000-0000-0000B60C0000}"/>
    <cellStyle name="Normal 36 2 2 2" xfId="585" xr:uid="{00000000-0005-0000-0000-0000B70C0000}"/>
    <cellStyle name="Normal 36 2 2 2 2" xfId="1226" xr:uid="{00000000-0005-0000-0000-0000B80C0000}"/>
    <cellStyle name="Normal 36 2 2 2 2 2" xfId="3178" xr:uid="{00000000-0005-0000-0000-0000B90C0000}"/>
    <cellStyle name="Normal 36 2 2 2 3" xfId="1852" xr:uid="{00000000-0005-0000-0000-0000BA0C0000}"/>
    <cellStyle name="Normal 36 2 2 2 3 2" xfId="3803" xr:uid="{00000000-0005-0000-0000-0000BB0C0000}"/>
    <cellStyle name="Normal 36 2 2 2 4" xfId="2543" xr:uid="{00000000-0005-0000-0000-0000BC0C0000}"/>
    <cellStyle name="Normal 36 2 2 3" xfId="384" xr:uid="{00000000-0005-0000-0000-0000BD0C0000}"/>
    <cellStyle name="Normal 36 2 2 3 2" xfId="1025" xr:uid="{00000000-0005-0000-0000-0000BE0C0000}"/>
    <cellStyle name="Normal 36 2 2 3 2 2" xfId="2977" xr:uid="{00000000-0005-0000-0000-0000BF0C0000}"/>
    <cellStyle name="Normal 36 2 2 3 3" xfId="1651" xr:uid="{00000000-0005-0000-0000-0000C00C0000}"/>
    <cellStyle name="Normal 36 2 2 3 3 2" xfId="3602" xr:uid="{00000000-0005-0000-0000-0000C10C0000}"/>
    <cellStyle name="Normal 36 2 2 3 4" xfId="2342" xr:uid="{00000000-0005-0000-0000-0000C20C0000}"/>
    <cellStyle name="Normal 36 2 2 4" xfId="822" xr:uid="{00000000-0005-0000-0000-0000C30C0000}"/>
    <cellStyle name="Normal 36 2 2 4 2" xfId="2774" xr:uid="{00000000-0005-0000-0000-0000C40C0000}"/>
    <cellStyle name="Normal 36 2 2 5" xfId="1448" xr:uid="{00000000-0005-0000-0000-0000C50C0000}"/>
    <cellStyle name="Normal 36 2 2 5 2" xfId="3399" xr:uid="{00000000-0005-0000-0000-0000C60C0000}"/>
    <cellStyle name="Normal 36 2 2 6" xfId="2139" xr:uid="{00000000-0005-0000-0000-0000C70C0000}"/>
    <cellStyle name="Normal 36 2 3" xfId="515" xr:uid="{00000000-0005-0000-0000-0000C80C0000}"/>
    <cellStyle name="Normal 36 2 3 2" xfId="1156" xr:uid="{00000000-0005-0000-0000-0000C90C0000}"/>
    <cellStyle name="Normal 36 2 3 2 2" xfId="3108" xr:uid="{00000000-0005-0000-0000-0000CA0C0000}"/>
    <cellStyle name="Normal 36 2 3 3" xfId="1782" xr:uid="{00000000-0005-0000-0000-0000CB0C0000}"/>
    <cellStyle name="Normal 36 2 3 3 2" xfId="3733" xr:uid="{00000000-0005-0000-0000-0000CC0C0000}"/>
    <cellStyle name="Normal 36 2 3 4" xfId="2473" xr:uid="{00000000-0005-0000-0000-0000CD0C0000}"/>
    <cellStyle name="Normal 36 2 4" xfId="314" xr:uid="{00000000-0005-0000-0000-0000CE0C0000}"/>
    <cellStyle name="Normal 36 2 4 2" xfId="955" xr:uid="{00000000-0005-0000-0000-0000CF0C0000}"/>
    <cellStyle name="Normal 36 2 4 2 2" xfId="2907" xr:uid="{00000000-0005-0000-0000-0000D00C0000}"/>
    <cellStyle name="Normal 36 2 4 3" xfId="1581" xr:uid="{00000000-0005-0000-0000-0000D10C0000}"/>
    <cellStyle name="Normal 36 2 4 3 2" xfId="3532" xr:uid="{00000000-0005-0000-0000-0000D20C0000}"/>
    <cellStyle name="Normal 36 2 4 4" xfId="2272" xr:uid="{00000000-0005-0000-0000-0000D30C0000}"/>
    <cellStyle name="Normal 36 2 5" xfId="752" xr:uid="{00000000-0005-0000-0000-0000D40C0000}"/>
    <cellStyle name="Normal 36 2 5 2" xfId="2704" xr:uid="{00000000-0005-0000-0000-0000D50C0000}"/>
    <cellStyle name="Normal 36 2 6" xfId="1378" xr:uid="{00000000-0005-0000-0000-0000D60C0000}"/>
    <cellStyle name="Normal 36 2 6 2" xfId="3329" xr:uid="{00000000-0005-0000-0000-0000D70C0000}"/>
    <cellStyle name="Normal 36 2 7" xfId="2069" xr:uid="{00000000-0005-0000-0000-0000D80C0000}"/>
    <cellStyle name="Normal 36 3" xfId="151" xr:uid="{00000000-0005-0000-0000-0000D90C0000}"/>
    <cellStyle name="Normal 36 3 2" xfId="555" xr:uid="{00000000-0005-0000-0000-0000DA0C0000}"/>
    <cellStyle name="Normal 36 3 2 2" xfId="1196" xr:uid="{00000000-0005-0000-0000-0000DB0C0000}"/>
    <cellStyle name="Normal 36 3 2 2 2" xfId="3148" xr:uid="{00000000-0005-0000-0000-0000DC0C0000}"/>
    <cellStyle name="Normal 36 3 2 3" xfId="1822" xr:uid="{00000000-0005-0000-0000-0000DD0C0000}"/>
    <cellStyle name="Normal 36 3 2 3 2" xfId="3773" xr:uid="{00000000-0005-0000-0000-0000DE0C0000}"/>
    <cellStyle name="Normal 36 3 2 4" xfId="2513" xr:uid="{00000000-0005-0000-0000-0000DF0C0000}"/>
    <cellStyle name="Normal 36 3 3" xfId="354" xr:uid="{00000000-0005-0000-0000-0000E00C0000}"/>
    <cellStyle name="Normal 36 3 3 2" xfId="995" xr:uid="{00000000-0005-0000-0000-0000E10C0000}"/>
    <cellStyle name="Normal 36 3 3 2 2" xfId="2947" xr:uid="{00000000-0005-0000-0000-0000E20C0000}"/>
    <cellStyle name="Normal 36 3 3 3" xfId="1621" xr:uid="{00000000-0005-0000-0000-0000E30C0000}"/>
    <cellStyle name="Normal 36 3 3 3 2" xfId="3572" xr:uid="{00000000-0005-0000-0000-0000E40C0000}"/>
    <cellStyle name="Normal 36 3 3 4" xfId="2312" xr:uid="{00000000-0005-0000-0000-0000E50C0000}"/>
    <cellStyle name="Normal 36 3 4" xfId="792" xr:uid="{00000000-0005-0000-0000-0000E60C0000}"/>
    <cellStyle name="Normal 36 3 4 2" xfId="2744" xr:uid="{00000000-0005-0000-0000-0000E70C0000}"/>
    <cellStyle name="Normal 36 3 5" xfId="1418" xr:uid="{00000000-0005-0000-0000-0000E80C0000}"/>
    <cellStyle name="Normal 36 3 5 2" xfId="3369" xr:uid="{00000000-0005-0000-0000-0000E90C0000}"/>
    <cellStyle name="Normal 36 3 6" xfId="2109" xr:uid="{00000000-0005-0000-0000-0000EA0C0000}"/>
    <cellStyle name="Normal 36 4" xfId="213" xr:uid="{00000000-0005-0000-0000-0000EB0C0000}"/>
    <cellStyle name="Normal 36 4 2" xfId="617" xr:uid="{00000000-0005-0000-0000-0000EC0C0000}"/>
    <cellStyle name="Normal 36 4 2 2" xfId="1258" xr:uid="{00000000-0005-0000-0000-0000ED0C0000}"/>
    <cellStyle name="Normal 36 4 2 2 2" xfId="3210" xr:uid="{00000000-0005-0000-0000-0000EE0C0000}"/>
    <cellStyle name="Normal 36 4 2 3" xfId="1884" xr:uid="{00000000-0005-0000-0000-0000EF0C0000}"/>
    <cellStyle name="Normal 36 4 2 3 2" xfId="3835" xr:uid="{00000000-0005-0000-0000-0000F00C0000}"/>
    <cellStyle name="Normal 36 4 2 4" xfId="2575" xr:uid="{00000000-0005-0000-0000-0000F10C0000}"/>
    <cellStyle name="Normal 36 4 3" xfId="416" xr:uid="{00000000-0005-0000-0000-0000F20C0000}"/>
    <cellStyle name="Normal 36 4 3 2" xfId="1057" xr:uid="{00000000-0005-0000-0000-0000F30C0000}"/>
    <cellStyle name="Normal 36 4 3 2 2" xfId="3009" xr:uid="{00000000-0005-0000-0000-0000F40C0000}"/>
    <cellStyle name="Normal 36 4 3 3" xfId="1683" xr:uid="{00000000-0005-0000-0000-0000F50C0000}"/>
    <cellStyle name="Normal 36 4 3 3 2" xfId="3634" xr:uid="{00000000-0005-0000-0000-0000F60C0000}"/>
    <cellStyle name="Normal 36 4 3 4" xfId="2374" xr:uid="{00000000-0005-0000-0000-0000F70C0000}"/>
    <cellStyle name="Normal 36 4 4" xfId="854" xr:uid="{00000000-0005-0000-0000-0000F80C0000}"/>
    <cellStyle name="Normal 36 4 4 2" xfId="2806" xr:uid="{00000000-0005-0000-0000-0000F90C0000}"/>
    <cellStyle name="Normal 36 4 5" xfId="1480" xr:uid="{00000000-0005-0000-0000-0000FA0C0000}"/>
    <cellStyle name="Normal 36 4 5 2" xfId="3431" xr:uid="{00000000-0005-0000-0000-0000FB0C0000}"/>
    <cellStyle name="Normal 36 4 6" xfId="2171" xr:uid="{00000000-0005-0000-0000-0000FC0C0000}"/>
    <cellStyle name="Normal 36 5" xfId="485" xr:uid="{00000000-0005-0000-0000-0000FD0C0000}"/>
    <cellStyle name="Normal 36 5 2" xfId="1126" xr:uid="{00000000-0005-0000-0000-0000FE0C0000}"/>
    <cellStyle name="Normal 36 5 2 2" xfId="3078" xr:uid="{00000000-0005-0000-0000-0000FF0C0000}"/>
    <cellStyle name="Normal 36 5 3" xfId="1752" xr:uid="{00000000-0005-0000-0000-0000000D0000}"/>
    <cellStyle name="Normal 36 5 3 2" xfId="3703" xr:uid="{00000000-0005-0000-0000-0000010D0000}"/>
    <cellStyle name="Normal 36 5 4" xfId="2443" xr:uid="{00000000-0005-0000-0000-0000020D0000}"/>
    <cellStyle name="Normal 36 6" xfId="284" xr:uid="{00000000-0005-0000-0000-0000030D0000}"/>
    <cellStyle name="Normal 36 6 2" xfId="925" xr:uid="{00000000-0005-0000-0000-0000040D0000}"/>
    <cellStyle name="Normal 36 6 2 2" xfId="2877" xr:uid="{00000000-0005-0000-0000-0000050D0000}"/>
    <cellStyle name="Normal 36 6 3" xfId="1551" xr:uid="{00000000-0005-0000-0000-0000060D0000}"/>
    <cellStyle name="Normal 36 6 3 2" xfId="3502" xr:uid="{00000000-0005-0000-0000-0000070D0000}"/>
    <cellStyle name="Normal 36 6 4" xfId="2242" xr:uid="{00000000-0005-0000-0000-0000080D0000}"/>
    <cellStyle name="Normal 36 7" xfId="722" xr:uid="{00000000-0005-0000-0000-0000090D0000}"/>
    <cellStyle name="Normal 36 7 2" xfId="2674" xr:uid="{00000000-0005-0000-0000-00000A0D0000}"/>
    <cellStyle name="Normal 36 8" xfId="1348" xr:uid="{00000000-0005-0000-0000-00000B0D0000}"/>
    <cellStyle name="Normal 36 8 2" xfId="3299" xr:uid="{00000000-0005-0000-0000-00000C0D0000}"/>
    <cellStyle name="Normal 36 9" xfId="1983" xr:uid="{00000000-0005-0000-0000-00000D0D0000}"/>
    <cellStyle name="Normal 36 9 2" xfId="3934" xr:uid="{00000000-0005-0000-0000-00000E0D0000}"/>
    <cellStyle name="Normal 37" xfId="80" xr:uid="{00000000-0005-0000-0000-00000F0D0000}"/>
    <cellStyle name="Normal 37 10" xfId="2040" xr:uid="{00000000-0005-0000-0000-0000100D0000}"/>
    <cellStyle name="Normal 37 2" xfId="111" xr:uid="{00000000-0005-0000-0000-0000110D0000}"/>
    <cellStyle name="Normal 37 2 2" xfId="182" xr:uid="{00000000-0005-0000-0000-0000120D0000}"/>
    <cellStyle name="Normal 37 2 2 2" xfId="586" xr:uid="{00000000-0005-0000-0000-0000130D0000}"/>
    <cellStyle name="Normal 37 2 2 2 2" xfId="1227" xr:uid="{00000000-0005-0000-0000-0000140D0000}"/>
    <cellStyle name="Normal 37 2 2 2 2 2" xfId="3179" xr:uid="{00000000-0005-0000-0000-0000150D0000}"/>
    <cellStyle name="Normal 37 2 2 2 3" xfId="1853" xr:uid="{00000000-0005-0000-0000-0000160D0000}"/>
    <cellStyle name="Normal 37 2 2 2 3 2" xfId="3804" xr:uid="{00000000-0005-0000-0000-0000170D0000}"/>
    <cellStyle name="Normal 37 2 2 2 4" xfId="2544" xr:uid="{00000000-0005-0000-0000-0000180D0000}"/>
    <cellStyle name="Normal 37 2 2 3" xfId="385" xr:uid="{00000000-0005-0000-0000-0000190D0000}"/>
    <cellStyle name="Normal 37 2 2 3 2" xfId="1026" xr:uid="{00000000-0005-0000-0000-00001A0D0000}"/>
    <cellStyle name="Normal 37 2 2 3 2 2" xfId="2978" xr:uid="{00000000-0005-0000-0000-00001B0D0000}"/>
    <cellStyle name="Normal 37 2 2 3 3" xfId="1652" xr:uid="{00000000-0005-0000-0000-00001C0D0000}"/>
    <cellStyle name="Normal 37 2 2 3 3 2" xfId="3603" xr:uid="{00000000-0005-0000-0000-00001D0D0000}"/>
    <cellStyle name="Normal 37 2 2 3 4" xfId="2343" xr:uid="{00000000-0005-0000-0000-00001E0D0000}"/>
    <cellStyle name="Normal 37 2 2 4" xfId="823" xr:uid="{00000000-0005-0000-0000-00001F0D0000}"/>
    <cellStyle name="Normal 37 2 2 4 2" xfId="2775" xr:uid="{00000000-0005-0000-0000-0000200D0000}"/>
    <cellStyle name="Normal 37 2 2 5" xfId="1449" xr:uid="{00000000-0005-0000-0000-0000210D0000}"/>
    <cellStyle name="Normal 37 2 2 5 2" xfId="3400" xr:uid="{00000000-0005-0000-0000-0000220D0000}"/>
    <cellStyle name="Normal 37 2 2 6" xfId="2140" xr:uid="{00000000-0005-0000-0000-0000230D0000}"/>
    <cellStyle name="Normal 37 2 3" xfId="516" xr:uid="{00000000-0005-0000-0000-0000240D0000}"/>
    <cellStyle name="Normal 37 2 3 2" xfId="1157" xr:uid="{00000000-0005-0000-0000-0000250D0000}"/>
    <cellStyle name="Normal 37 2 3 2 2" xfId="3109" xr:uid="{00000000-0005-0000-0000-0000260D0000}"/>
    <cellStyle name="Normal 37 2 3 3" xfId="1783" xr:uid="{00000000-0005-0000-0000-0000270D0000}"/>
    <cellStyle name="Normal 37 2 3 3 2" xfId="3734" xr:uid="{00000000-0005-0000-0000-0000280D0000}"/>
    <cellStyle name="Normal 37 2 3 4" xfId="2474" xr:uid="{00000000-0005-0000-0000-0000290D0000}"/>
    <cellStyle name="Normal 37 2 4" xfId="315" xr:uid="{00000000-0005-0000-0000-00002A0D0000}"/>
    <cellStyle name="Normal 37 2 4 2" xfId="956" xr:uid="{00000000-0005-0000-0000-00002B0D0000}"/>
    <cellStyle name="Normal 37 2 4 2 2" xfId="2908" xr:uid="{00000000-0005-0000-0000-00002C0D0000}"/>
    <cellStyle name="Normal 37 2 4 3" xfId="1582" xr:uid="{00000000-0005-0000-0000-00002D0D0000}"/>
    <cellStyle name="Normal 37 2 4 3 2" xfId="3533" xr:uid="{00000000-0005-0000-0000-00002E0D0000}"/>
    <cellStyle name="Normal 37 2 4 4" xfId="2273" xr:uid="{00000000-0005-0000-0000-00002F0D0000}"/>
    <cellStyle name="Normal 37 2 5" xfId="753" xr:uid="{00000000-0005-0000-0000-0000300D0000}"/>
    <cellStyle name="Normal 37 2 5 2" xfId="2705" xr:uid="{00000000-0005-0000-0000-0000310D0000}"/>
    <cellStyle name="Normal 37 2 6" xfId="1379" xr:uid="{00000000-0005-0000-0000-0000320D0000}"/>
    <cellStyle name="Normal 37 2 6 2" xfId="3330" xr:uid="{00000000-0005-0000-0000-0000330D0000}"/>
    <cellStyle name="Normal 37 2 7" xfId="2070" xr:uid="{00000000-0005-0000-0000-0000340D0000}"/>
    <cellStyle name="Normal 37 3" xfId="152" xr:uid="{00000000-0005-0000-0000-0000350D0000}"/>
    <cellStyle name="Normal 37 3 2" xfId="556" xr:uid="{00000000-0005-0000-0000-0000360D0000}"/>
    <cellStyle name="Normal 37 3 2 2" xfId="1197" xr:uid="{00000000-0005-0000-0000-0000370D0000}"/>
    <cellStyle name="Normal 37 3 2 2 2" xfId="3149" xr:uid="{00000000-0005-0000-0000-0000380D0000}"/>
    <cellStyle name="Normal 37 3 2 3" xfId="1823" xr:uid="{00000000-0005-0000-0000-0000390D0000}"/>
    <cellStyle name="Normal 37 3 2 3 2" xfId="3774" xr:uid="{00000000-0005-0000-0000-00003A0D0000}"/>
    <cellStyle name="Normal 37 3 2 4" xfId="2514" xr:uid="{00000000-0005-0000-0000-00003B0D0000}"/>
    <cellStyle name="Normal 37 3 3" xfId="355" xr:uid="{00000000-0005-0000-0000-00003C0D0000}"/>
    <cellStyle name="Normal 37 3 3 2" xfId="996" xr:uid="{00000000-0005-0000-0000-00003D0D0000}"/>
    <cellStyle name="Normal 37 3 3 2 2" xfId="2948" xr:uid="{00000000-0005-0000-0000-00003E0D0000}"/>
    <cellStyle name="Normal 37 3 3 3" xfId="1622" xr:uid="{00000000-0005-0000-0000-00003F0D0000}"/>
    <cellStyle name="Normal 37 3 3 3 2" xfId="3573" xr:uid="{00000000-0005-0000-0000-0000400D0000}"/>
    <cellStyle name="Normal 37 3 3 4" xfId="2313" xr:uid="{00000000-0005-0000-0000-0000410D0000}"/>
    <cellStyle name="Normal 37 3 4" xfId="793" xr:uid="{00000000-0005-0000-0000-0000420D0000}"/>
    <cellStyle name="Normal 37 3 4 2" xfId="2745" xr:uid="{00000000-0005-0000-0000-0000430D0000}"/>
    <cellStyle name="Normal 37 3 5" xfId="1419" xr:uid="{00000000-0005-0000-0000-0000440D0000}"/>
    <cellStyle name="Normal 37 3 5 2" xfId="3370" xr:uid="{00000000-0005-0000-0000-0000450D0000}"/>
    <cellStyle name="Normal 37 3 6" xfId="2110" xr:uid="{00000000-0005-0000-0000-0000460D0000}"/>
    <cellStyle name="Normal 37 4" xfId="214" xr:uid="{00000000-0005-0000-0000-0000470D0000}"/>
    <cellStyle name="Normal 37 4 2" xfId="618" xr:uid="{00000000-0005-0000-0000-0000480D0000}"/>
    <cellStyle name="Normal 37 4 2 2" xfId="1259" xr:uid="{00000000-0005-0000-0000-0000490D0000}"/>
    <cellStyle name="Normal 37 4 2 2 2" xfId="3211" xr:uid="{00000000-0005-0000-0000-00004A0D0000}"/>
    <cellStyle name="Normal 37 4 2 3" xfId="1885" xr:uid="{00000000-0005-0000-0000-00004B0D0000}"/>
    <cellStyle name="Normal 37 4 2 3 2" xfId="3836" xr:uid="{00000000-0005-0000-0000-00004C0D0000}"/>
    <cellStyle name="Normal 37 4 2 4" xfId="2576" xr:uid="{00000000-0005-0000-0000-00004D0D0000}"/>
    <cellStyle name="Normal 37 4 3" xfId="417" xr:uid="{00000000-0005-0000-0000-00004E0D0000}"/>
    <cellStyle name="Normal 37 4 3 2" xfId="1058" xr:uid="{00000000-0005-0000-0000-00004F0D0000}"/>
    <cellStyle name="Normal 37 4 3 2 2" xfId="3010" xr:uid="{00000000-0005-0000-0000-0000500D0000}"/>
    <cellStyle name="Normal 37 4 3 3" xfId="1684" xr:uid="{00000000-0005-0000-0000-0000510D0000}"/>
    <cellStyle name="Normal 37 4 3 3 2" xfId="3635" xr:uid="{00000000-0005-0000-0000-0000520D0000}"/>
    <cellStyle name="Normal 37 4 3 4" xfId="2375" xr:uid="{00000000-0005-0000-0000-0000530D0000}"/>
    <cellStyle name="Normal 37 4 4" xfId="855" xr:uid="{00000000-0005-0000-0000-0000540D0000}"/>
    <cellStyle name="Normal 37 4 4 2" xfId="2807" xr:uid="{00000000-0005-0000-0000-0000550D0000}"/>
    <cellStyle name="Normal 37 4 5" xfId="1481" xr:uid="{00000000-0005-0000-0000-0000560D0000}"/>
    <cellStyle name="Normal 37 4 5 2" xfId="3432" xr:uid="{00000000-0005-0000-0000-0000570D0000}"/>
    <cellStyle name="Normal 37 4 6" xfId="2172" xr:uid="{00000000-0005-0000-0000-0000580D0000}"/>
    <cellStyle name="Normal 37 5" xfId="486" xr:uid="{00000000-0005-0000-0000-0000590D0000}"/>
    <cellStyle name="Normal 37 5 2" xfId="1127" xr:uid="{00000000-0005-0000-0000-00005A0D0000}"/>
    <cellStyle name="Normal 37 5 2 2" xfId="3079" xr:uid="{00000000-0005-0000-0000-00005B0D0000}"/>
    <cellStyle name="Normal 37 5 3" xfId="1753" xr:uid="{00000000-0005-0000-0000-00005C0D0000}"/>
    <cellStyle name="Normal 37 5 3 2" xfId="3704" xr:uid="{00000000-0005-0000-0000-00005D0D0000}"/>
    <cellStyle name="Normal 37 5 4" xfId="2444" xr:uid="{00000000-0005-0000-0000-00005E0D0000}"/>
    <cellStyle name="Normal 37 6" xfId="285" xr:uid="{00000000-0005-0000-0000-00005F0D0000}"/>
    <cellStyle name="Normal 37 6 2" xfId="926" xr:uid="{00000000-0005-0000-0000-0000600D0000}"/>
    <cellStyle name="Normal 37 6 2 2" xfId="2878" xr:uid="{00000000-0005-0000-0000-0000610D0000}"/>
    <cellStyle name="Normal 37 6 3" xfId="1552" xr:uid="{00000000-0005-0000-0000-0000620D0000}"/>
    <cellStyle name="Normal 37 6 3 2" xfId="3503" xr:uid="{00000000-0005-0000-0000-0000630D0000}"/>
    <cellStyle name="Normal 37 6 4" xfId="2243" xr:uid="{00000000-0005-0000-0000-0000640D0000}"/>
    <cellStyle name="Normal 37 7" xfId="723" xr:uid="{00000000-0005-0000-0000-0000650D0000}"/>
    <cellStyle name="Normal 37 7 2" xfId="2675" xr:uid="{00000000-0005-0000-0000-0000660D0000}"/>
    <cellStyle name="Normal 37 8" xfId="1349" xr:uid="{00000000-0005-0000-0000-0000670D0000}"/>
    <cellStyle name="Normal 37 8 2" xfId="3300" xr:uid="{00000000-0005-0000-0000-0000680D0000}"/>
    <cellStyle name="Normal 37 9" xfId="1987" xr:uid="{00000000-0005-0000-0000-0000690D0000}"/>
    <cellStyle name="Normal 37 9 2" xfId="3938" xr:uid="{00000000-0005-0000-0000-00006A0D0000}"/>
    <cellStyle name="Normal 38" xfId="83" xr:uid="{00000000-0005-0000-0000-00006B0D0000}"/>
    <cellStyle name="Normal 38 2" xfId="155" xr:uid="{00000000-0005-0000-0000-00006C0D0000}"/>
    <cellStyle name="Normal 38 2 2" xfId="559" xr:uid="{00000000-0005-0000-0000-00006D0D0000}"/>
    <cellStyle name="Normal 38 2 2 2" xfId="1200" xr:uid="{00000000-0005-0000-0000-00006E0D0000}"/>
    <cellStyle name="Normal 38 2 2 2 2" xfId="3152" xr:uid="{00000000-0005-0000-0000-00006F0D0000}"/>
    <cellStyle name="Normal 38 2 2 3" xfId="1826" xr:uid="{00000000-0005-0000-0000-0000700D0000}"/>
    <cellStyle name="Normal 38 2 2 3 2" xfId="3777" xr:uid="{00000000-0005-0000-0000-0000710D0000}"/>
    <cellStyle name="Normal 38 2 2 4" xfId="2517" xr:uid="{00000000-0005-0000-0000-0000720D0000}"/>
    <cellStyle name="Normal 38 2 3" xfId="358" xr:uid="{00000000-0005-0000-0000-0000730D0000}"/>
    <cellStyle name="Normal 38 2 3 2" xfId="999" xr:uid="{00000000-0005-0000-0000-0000740D0000}"/>
    <cellStyle name="Normal 38 2 3 2 2" xfId="2951" xr:uid="{00000000-0005-0000-0000-0000750D0000}"/>
    <cellStyle name="Normal 38 2 3 3" xfId="1625" xr:uid="{00000000-0005-0000-0000-0000760D0000}"/>
    <cellStyle name="Normal 38 2 3 3 2" xfId="3576" xr:uid="{00000000-0005-0000-0000-0000770D0000}"/>
    <cellStyle name="Normal 38 2 3 4" xfId="2316" xr:uid="{00000000-0005-0000-0000-0000780D0000}"/>
    <cellStyle name="Normal 38 2 4" xfId="796" xr:uid="{00000000-0005-0000-0000-0000790D0000}"/>
    <cellStyle name="Normal 38 2 4 2" xfId="2748" xr:uid="{00000000-0005-0000-0000-00007A0D0000}"/>
    <cellStyle name="Normal 38 2 5" xfId="1422" xr:uid="{00000000-0005-0000-0000-00007B0D0000}"/>
    <cellStyle name="Normal 38 2 5 2" xfId="3373" xr:uid="{00000000-0005-0000-0000-00007C0D0000}"/>
    <cellStyle name="Normal 38 2 6" xfId="2113" xr:uid="{00000000-0005-0000-0000-00007D0D0000}"/>
    <cellStyle name="Normal 38 3" xfId="489" xr:uid="{00000000-0005-0000-0000-00007E0D0000}"/>
    <cellStyle name="Normal 38 3 2" xfId="1130" xr:uid="{00000000-0005-0000-0000-00007F0D0000}"/>
    <cellStyle name="Normal 38 3 2 2" xfId="3082" xr:uid="{00000000-0005-0000-0000-0000800D0000}"/>
    <cellStyle name="Normal 38 3 3" xfId="1756" xr:uid="{00000000-0005-0000-0000-0000810D0000}"/>
    <cellStyle name="Normal 38 3 3 2" xfId="3707" xr:uid="{00000000-0005-0000-0000-0000820D0000}"/>
    <cellStyle name="Normal 38 3 4" xfId="2447" xr:uid="{00000000-0005-0000-0000-0000830D0000}"/>
    <cellStyle name="Normal 38 4" xfId="288" xr:uid="{00000000-0005-0000-0000-0000840D0000}"/>
    <cellStyle name="Normal 38 4 2" xfId="929" xr:uid="{00000000-0005-0000-0000-0000850D0000}"/>
    <cellStyle name="Normal 38 4 2 2" xfId="2881" xr:uid="{00000000-0005-0000-0000-0000860D0000}"/>
    <cellStyle name="Normal 38 4 3" xfId="1555" xr:uid="{00000000-0005-0000-0000-0000870D0000}"/>
    <cellStyle name="Normal 38 4 3 2" xfId="3506" xr:uid="{00000000-0005-0000-0000-0000880D0000}"/>
    <cellStyle name="Normal 38 4 4" xfId="2246" xr:uid="{00000000-0005-0000-0000-0000890D0000}"/>
    <cellStyle name="Normal 38 5" xfId="726" xr:uid="{00000000-0005-0000-0000-00008A0D0000}"/>
    <cellStyle name="Normal 38 5 2" xfId="2678" xr:uid="{00000000-0005-0000-0000-00008B0D0000}"/>
    <cellStyle name="Normal 38 6" xfId="1352" xr:uid="{00000000-0005-0000-0000-00008C0D0000}"/>
    <cellStyle name="Normal 38 6 2" xfId="3303" xr:uid="{00000000-0005-0000-0000-00008D0D0000}"/>
    <cellStyle name="Normal 38 7" xfId="1986" xr:uid="{00000000-0005-0000-0000-00008E0D0000}"/>
    <cellStyle name="Normal 38 7 2" xfId="3937" xr:uid="{00000000-0005-0000-0000-00008F0D0000}"/>
    <cellStyle name="Normal 38 8" xfId="2043" xr:uid="{00000000-0005-0000-0000-0000900D0000}"/>
    <cellStyle name="Normal 39" xfId="84" xr:uid="{00000000-0005-0000-0000-0000910D0000}"/>
    <cellStyle name="Normal 4" xfId="9" xr:uid="{00000000-0005-0000-0000-0000920D0000}"/>
    <cellStyle name="Normal 40" xfId="114" xr:uid="{00000000-0005-0000-0000-0000930D0000}"/>
    <cellStyle name="Normal 40 2" xfId="185" xr:uid="{00000000-0005-0000-0000-0000940D0000}"/>
    <cellStyle name="Normal 40 2 2" xfId="589" xr:uid="{00000000-0005-0000-0000-0000950D0000}"/>
    <cellStyle name="Normal 40 2 2 2" xfId="1230" xr:uid="{00000000-0005-0000-0000-0000960D0000}"/>
    <cellStyle name="Normal 40 2 2 2 2" xfId="3182" xr:uid="{00000000-0005-0000-0000-0000970D0000}"/>
    <cellStyle name="Normal 40 2 2 3" xfId="1856" xr:uid="{00000000-0005-0000-0000-0000980D0000}"/>
    <cellStyle name="Normal 40 2 2 3 2" xfId="3807" xr:uid="{00000000-0005-0000-0000-0000990D0000}"/>
    <cellStyle name="Normal 40 2 2 4" xfId="2547" xr:uid="{00000000-0005-0000-0000-00009A0D0000}"/>
    <cellStyle name="Normal 40 2 3" xfId="388" xr:uid="{00000000-0005-0000-0000-00009B0D0000}"/>
    <cellStyle name="Normal 40 2 3 2" xfId="1029" xr:uid="{00000000-0005-0000-0000-00009C0D0000}"/>
    <cellStyle name="Normal 40 2 3 2 2" xfId="2981" xr:uid="{00000000-0005-0000-0000-00009D0D0000}"/>
    <cellStyle name="Normal 40 2 3 3" xfId="1655" xr:uid="{00000000-0005-0000-0000-00009E0D0000}"/>
    <cellStyle name="Normal 40 2 3 3 2" xfId="3606" xr:uid="{00000000-0005-0000-0000-00009F0D0000}"/>
    <cellStyle name="Normal 40 2 3 4" xfId="2346" xr:uid="{00000000-0005-0000-0000-0000A00D0000}"/>
    <cellStyle name="Normal 40 2 4" xfId="826" xr:uid="{00000000-0005-0000-0000-0000A10D0000}"/>
    <cellStyle name="Normal 40 2 4 2" xfId="2778" xr:uid="{00000000-0005-0000-0000-0000A20D0000}"/>
    <cellStyle name="Normal 40 2 5" xfId="1452" xr:uid="{00000000-0005-0000-0000-0000A30D0000}"/>
    <cellStyle name="Normal 40 2 5 2" xfId="3403" xr:uid="{00000000-0005-0000-0000-0000A40D0000}"/>
    <cellStyle name="Normal 40 2 6" xfId="2143" xr:uid="{00000000-0005-0000-0000-0000A50D0000}"/>
    <cellStyle name="Normal 40 3" xfId="519" xr:uid="{00000000-0005-0000-0000-0000A60D0000}"/>
    <cellStyle name="Normal 40 3 2" xfId="1160" xr:uid="{00000000-0005-0000-0000-0000A70D0000}"/>
    <cellStyle name="Normal 40 3 2 2" xfId="3112" xr:uid="{00000000-0005-0000-0000-0000A80D0000}"/>
    <cellStyle name="Normal 40 3 3" xfId="1786" xr:uid="{00000000-0005-0000-0000-0000A90D0000}"/>
    <cellStyle name="Normal 40 3 3 2" xfId="3737" xr:uid="{00000000-0005-0000-0000-0000AA0D0000}"/>
    <cellStyle name="Normal 40 3 4" xfId="2477" xr:uid="{00000000-0005-0000-0000-0000AB0D0000}"/>
    <cellStyle name="Normal 40 4" xfId="318" xr:uid="{00000000-0005-0000-0000-0000AC0D0000}"/>
    <cellStyle name="Normal 40 4 2" xfId="959" xr:uid="{00000000-0005-0000-0000-0000AD0D0000}"/>
    <cellStyle name="Normal 40 4 2 2" xfId="2911" xr:uid="{00000000-0005-0000-0000-0000AE0D0000}"/>
    <cellStyle name="Normal 40 4 3" xfId="1585" xr:uid="{00000000-0005-0000-0000-0000AF0D0000}"/>
    <cellStyle name="Normal 40 4 3 2" xfId="3536" xr:uid="{00000000-0005-0000-0000-0000B00D0000}"/>
    <cellStyle name="Normal 40 4 4" xfId="2276" xr:uid="{00000000-0005-0000-0000-0000B10D0000}"/>
    <cellStyle name="Normal 40 5" xfId="756" xr:uid="{00000000-0005-0000-0000-0000B20D0000}"/>
    <cellStyle name="Normal 40 5 2" xfId="2708" xr:uid="{00000000-0005-0000-0000-0000B30D0000}"/>
    <cellStyle name="Normal 40 6" xfId="1382" xr:uid="{00000000-0005-0000-0000-0000B40D0000}"/>
    <cellStyle name="Normal 40 6 2" xfId="3333" xr:uid="{00000000-0005-0000-0000-0000B50D0000}"/>
    <cellStyle name="Normal 40 7" xfId="1988" xr:uid="{00000000-0005-0000-0000-0000B60D0000}"/>
    <cellStyle name="Normal 40 7 2" xfId="3939" xr:uid="{00000000-0005-0000-0000-0000B70D0000}"/>
    <cellStyle name="Normal 40 8" xfId="2073" xr:uid="{00000000-0005-0000-0000-0000B80D0000}"/>
    <cellStyle name="Normal 41" xfId="117" xr:uid="{00000000-0005-0000-0000-0000B90D0000}"/>
    <cellStyle name="Normal 41 2" xfId="126" xr:uid="{00000000-0005-0000-0000-0000BA0D0000}"/>
    <cellStyle name="Normal 41 3" xfId="522" xr:uid="{00000000-0005-0000-0000-0000BB0D0000}"/>
    <cellStyle name="Normal 41 3 2" xfId="1163" xr:uid="{00000000-0005-0000-0000-0000BC0D0000}"/>
    <cellStyle name="Normal 41 3 2 2" xfId="3115" xr:uid="{00000000-0005-0000-0000-0000BD0D0000}"/>
    <cellStyle name="Normal 41 3 3" xfId="1789" xr:uid="{00000000-0005-0000-0000-0000BE0D0000}"/>
    <cellStyle name="Normal 41 3 3 2" xfId="3740" xr:uid="{00000000-0005-0000-0000-0000BF0D0000}"/>
    <cellStyle name="Normal 41 3 4" xfId="2480" xr:uid="{00000000-0005-0000-0000-0000C00D0000}"/>
    <cellStyle name="Normal 41 4" xfId="321" xr:uid="{00000000-0005-0000-0000-0000C10D0000}"/>
    <cellStyle name="Normal 41 4 2" xfId="962" xr:uid="{00000000-0005-0000-0000-0000C20D0000}"/>
    <cellStyle name="Normal 41 4 2 2" xfId="2914" xr:uid="{00000000-0005-0000-0000-0000C30D0000}"/>
    <cellStyle name="Normal 41 4 3" xfId="1588" xr:uid="{00000000-0005-0000-0000-0000C40D0000}"/>
    <cellStyle name="Normal 41 4 3 2" xfId="3539" xr:uid="{00000000-0005-0000-0000-0000C50D0000}"/>
    <cellStyle name="Normal 41 4 4" xfId="2279" xr:uid="{00000000-0005-0000-0000-0000C60D0000}"/>
    <cellStyle name="Normal 41 5" xfId="759" xr:uid="{00000000-0005-0000-0000-0000C70D0000}"/>
    <cellStyle name="Normal 41 5 2" xfId="2711" xr:uid="{00000000-0005-0000-0000-0000C80D0000}"/>
    <cellStyle name="Normal 41 6" xfId="1385" xr:uid="{00000000-0005-0000-0000-0000C90D0000}"/>
    <cellStyle name="Normal 41 6 2" xfId="3336" xr:uid="{00000000-0005-0000-0000-0000CA0D0000}"/>
    <cellStyle name="Normal 41 7" xfId="2076" xr:uid="{00000000-0005-0000-0000-0000CB0D0000}"/>
    <cellStyle name="Normal 42" xfId="120" xr:uid="{00000000-0005-0000-0000-0000CC0D0000}"/>
    <cellStyle name="Normal 42 2" xfId="525" xr:uid="{00000000-0005-0000-0000-0000CD0D0000}"/>
    <cellStyle name="Normal 42 2 2" xfId="1166" xr:uid="{00000000-0005-0000-0000-0000CE0D0000}"/>
    <cellStyle name="Normal 42 2 2 2" xfId="3118" xr:uid="{00000000-0005-0000-0000-0000CF0D0000}"/>
    <cellStyle name="Normal 42 2 3" xfId="1792" xr:uid="{00000000-0005-0000-0000-0000D00D0000}"/>
    <cellStyle name="Normal 42 2 3 2" xfId="3743" xr:uid="{00000000-0005-0000-0000-0000D10D0000}"/>
    <cellStyle name="Normal 42 2 4" xfId="2483" xr:uid="{00000000-0005-0000-0000-0000D20D0000}"/>
    <cellStyle name="Normal 42 3" xfId="324" xr:uid="{00000000-0005-0000-0000-0000D30D0000}"/>
    <cellStyle name="Normal 42 3 2" xfId="965" xr:uid="{00000000-0005-0000-0000-0000D40D0000}"/>
    <cellStyle name="Normal 42 3 2 2" xfId="2917" xr:uid="{00000000-0005-0000-0000-0000D50D0000}"/>
    <cellStyle name="Normal 42 3 3" xfId="1591" xr:uid="{00000000-0005-0000-0000-0000D60D0000}"/>
    <cellStyle name="Normal 42 3 3 2" xfId="3542" xr:uid="{00000000-0005-0000-0000-0000D70D0000}"/>
    <cellStyle name="Normal 42 3 4" xfId="2282" xr:uid="{00000000-0005-0000-0000-0000D80D0000}"/>
    <cellStyle name="Normal 42 4" xfId="762" xr:uid="{00000000-0005-0000-0000-0000D90D0000}"/>
    <cellStyle name="Normal 42 4 2" xfId="2714" xr:uid="{00000000-0005-0000-0000-0000DA0D0000}"/>
    <cellStyle name="Normal 42 5" xfId="1388" xr:uid="{00000000-0005-0000-0000-0000DB0D0000}"/>
    <cellStyle name="Normal 42 5 2" xfId="3339" xr:uid="{00000000-0005-0000-0000-0000DC0D0000}"/>
    <cellStyle name="Normal 42 6" xfId="2079" xr:uid="{00000000-0005-0000-0000-0000DD0D0000}"/>
    <cellStyle name="Normal 43" xfId="123" xr:uid="{00000000-0005-0000-0000-0000DE0D0000}"/>
    <cellStyle name="Normal 43 2" xfId="528" xr:uid="{00000000-0005-0000-0000-0000DF0D0000}"/>
    <cellStyle name="Normal 43 2 2" xfId="1169" xr:uid="{00000000-0005-0000-0000-0000E00D0000}"/>
    <cellStyle name="Normal 43 2 2 2" xfId="3121" xr:uid="{00000000-0005-0000-0000-0000E10D0000}"/>
    <cellStyle name="Normal 43 2 3" xfId="1795" xr:uid="{00000000-0005-0000-0000-0000E20D0000}"/>
    <cellStyle name="Normal 43 2 3 2" xfId="3746" xr:uid="{00000000-0005-0000-0000-0000E30D0000}"/>
    <cellStyle name="Normal 43 2 4" xfId="2486" xr:uid="{00000000-0005-0000-0000-0000E40D0000}"/>
    <cellStyle name="Normal 43 3" xfId="327" xr:uid="{00000000-0005-0000-0000-0000E50D0000}"/>
    <cellStyle name="Normal 43 3 2" xfId="968" xr:uid="{00000000-0005-0000-0000-0000E60D0000}"/>
    <cellStyle name="Normal 43 3 2 2" xfId="2920" xr:uid="{00000000-0005-0000-0000-0000E70D0000}"/>
    <cellStyle name="Normal 43 3 3" xfId="1594" xr:uid="{00000000-0005-0000-0000-0000E80D0000}"/>
    <cellStyle name="Normal 43 3 3 2" xfId="3545" xr:uid="{00000000-0005-0000-0000-0000E90D0000}"/>
    <cellStyle name="Normal 43 3 4" xfId="2285" xr:uid="{00000000-0005-0000-0000-0000EA0D0000}"/>
    <cellStyle name="Normal 43 4" xfId="765" xr:uid="{00000000-0005-0000-0000-0000EB0D0000}"/>
    <cellStyle name="Normal 43 4 2" xfId="2717" xr:uid="{00000000-0005-0000-0000-0000EC0D0000}"/>
    <cellStyle name="Normal 43 5" xfId="1391" xr:uid="{00000000-0005-0000-0000-0000ED0D0000}"/>
    <cellStyle name="Normal 43 5 2" xfId="3342" xr:uid="{00000000-0005-0000-0000-0000EE0D0000}"/>
    <cellStyle name="Normal 43 6" xfId="1980" xr:uid="{00000000-0005-0000-0000-0000EF0D0000}"/>
    <cellStyle name="Normal 43 6 2" xfId="3931" xr:uid="{00000000-0005-0000-0000-0000F00D0000}"/>
    <cellStyle name="Normal 43 7" xfId="2082" xr:uid="{00000000-0005-0000-0000-0000F10D0000}"/>
    <cellStyle name="Normal 44" xfId="217" xr:uid="{00000000-0005-0000-0000-0000F20D0000}"/>
    <cellStyle name="Normal 44 2" xfId="621" xr:uid="{00000000-0005-0000-0000-0000F30D0000}"/>
    <cellStyle name="Normal 44 2 2" xfId="1262" xr:uid="{00000000-0005-0000-0000-0000F40D0000}"/>
    <cellStyle name="Normal 44 2 2 2" xfId="3214" xr:uid="{00000000-0005-0000-0000-0000F50D0000}"/>
    <cellStyle name="Normal 44 2 3" xfId="1888" xr:uid="{00000000-0005-0000-0000-0000F60D0000}"/>
    <cellStyle name="Normal 44 2 3 2" xfId="3839" xr:uid="{00000000-0005-0000-0000-0000F70D0000}"/>
    <cellStyle name="Normal 44 2 4" xfId="2579" xr:uid="{00000000-0005-0000-0000-0000F80D0000}"/>
    <cellStyle name="Normal 44 3" xfId="420" xr:uid="{00000000-0005-0000-0000-0000F90D0000}"/>
    <cellStyle name="Normal 44 3 2" xfId="1061" xr:uid="{00000000-0005-0000-0000-0000FA0D0000}"/>
    <cellStyle name="Normal 44 3 2 2" xfId="3013" xr:uid="{00000000-0005-0000-0000-0000FB0D0000}"/>
    <cellStyle name="Normal 44 3 3" xfId="1687" xr:uid="{00000000-0005-0000-0000-0000FC0D0000}"/>
    <cellStyle name="Normal 44 3 3 2" xfId="3638" xr:uid="{00000000-0005-0000-0000-0000FD0D0000}"/>
    <cellStyle name="Normal 44 3 4" xfId="2378" xr:uid="{00000000-0005-0000-0000-0000FE0D0000}"/>
    <cellStyle name="Normal 44 4" xfId="858" xr:uid="{00000000-0005-0000-0000-0000FF0D0000}"/>
    <cellStyle name="Normal 44 4 2" xfId="2810" xr:uid="{00000000-0005-0000-0000-0000000E0000}"/>
    <cellStyle name="Normal 44 5" xfId="1484" xr:uid="{00000000-0005-0000-0000-0000010E0000}"/>
    <cellStyle name="Normal 44 5 2" xfId="3435" xr:uid="{00000000-0005-0000-0000-0000020E0000}"/>
    <cellStyle name="Normal 44 6" xfId="1979" xr:uid="{00000000-0005-0000-0000-0000030E0000}"/>
    <cellStyle name="Normal 44 6 2" xfId="3930" xr:uid="{00000000-0005-0000-0000-0000040E0000}"/>
    <cellStyle name="Normal 44 7" xfId="2175" xr:uid="{00000000-0005-0000-0000-0000050E0000}"/>
    <cellStyle name="Normal 45" xfId="220" xr:uid="{00000000-0005-0000-0000-0000060E0000}"/>
    <cellStyle name="Normal 45 2" xfId="624" xr:uid="{00000000-0005-0000-0000-0000070E0000}"/>
    <cellStyle name="Normal 45 2 2" xfId="1265" xr:uid="{00000000-0005-0000-0000-0000080E0000}"/>
    <cellStyle name="Normal 45 2 2 2" xfId="3217" xr:uid="{00000000-0005-0000-0000-0000090E0000}"/>
    <cellStyle name="Normal 45 2 3" xfId="1891" xr:uid="{00000000-0005-0000-0000-00000A0E0000}"/>
    <cellStyle name="Normal 45 2 3 2" xfId="3842" xr:uid="{00000000-0005-0000-0000-00000B0E0000}"/>
    <cellStyle name="Normal 45 2 4" xfId="2582" xr:uid="{00000000-0005-0000-0000-00000C0E0000}"/>
    <cellStyle name="Normal 45 3" xfId="423" xr:uid="{00000000-0005-0000-0000-00000D0E0000}"/>
    <cellStyle name="Normal 45 3 2" xfId="1064" xr:uid="{00000000-0005-0000-0000-00000E0E0000}"/>
    <cellStyle name="Normal 45 3 2 2" xfId="3016" xr:uid="{00000000-0005-0000-0000-00000F0E0000}"/>
    <cellStyle name="Normal 45 3 3" xfId="1690" xr:uid="{00000000-0005-0000-0000-0000100E0000}"/>
    <cellStyle name="Normal 45 3 3 2" xfId="3641" xr:uid="{00000000-0005-0000-0000-0000110E0000}"/>
    <cellStyle name="Normal 45 3 4" xfId="2381" xr:uid="{00000000-0005-0000-0000-0000120E0000}"/>
    <cellStyle name="Normal 45 4" xfId="861" xr:uid="{00000000-0005-0000-0000-0000130E0000}"/>
    <cellStyle name="Normal 45 4 2" xfId="2813" xr:uid="{00000000-0005-0000-0000-0000140E0000}"/>
    <cellStyle name="Normal 45 5" xfId="1487" xr:uid="{00000000-0005-0000-0000-0000150E0000}"/>
    <cellStyle name="Normal 45 5 2" xfId="3438" xr:uid="{00000000-0005-0000-0000-0000160E0000}"/>
    <cellStyle name="Normal 45 6" xfId="2178" xr:uid="{00000000-0005-0000-0000-0000170E0000}"/>
    <cellStyle name="Normal 46" xfId="223" xr:uid="{00000000-0005-0000-0000-0000180E0000}"/>
    <cellStyle name="Normal 46 2" xfId="627" xr:uid="{00000000-0005-0000-0000-0000190E0000}"/>
    <cellStyle name="Normal 46 2 2" xfId="1268" xr:uid="{00000000-0005-0000-0000-00001A0E0000}"/>
    <cellStyle name="Normal 46 2 2 2" xfId="3220" xr:uid="{00000000-0005-0000-0000-00001B0E0000}"/>
    <cellStyle name="Normal 46 2 3" xfId="1894" xr:uid="{00000000-0005-0000-0000-00001C0E0000}"/>
    <cellStyle name="Normal 46 2 3 2" xfId="3845" xr:uid="{00000000-0005-0000-0000-00001D0E0000}"/>
    <cellStyle name="Normal 46 2 4" xfId="2585" xr:uid="{00000000-0005-0000-0000-00001E0E0000}"/>
    <cellStyle name="Normal 46 3" xfId="426" xr:uid="{00000000-0005-0000-0000-00001F0E0000}"/>
    <cellStyle name="Normal 46 3 2" xfId="1067" xr:uid="{00000000-0005-0000-0000-0000200E0000}"/>
    <cellStyle name="Normal 46 3 2 2" xfId="3019" xr:uid="{00000000-0005-0000-0000-0000210E0000}"/>
    <cellStyle name="Normal 46 3 3" xfId="1693" xr:uid="{00000000-0005-0000-0000-0000220E0000}"/>
    <cellStyle name="Normal 46 3 3 2" xfId="3644" xr:uid="{00000000-0005-0000-0000-0000230E0000}"/>
    <cellStyle name="Normal 46 3 4" xfId="2384" xr:uid="{00000000-0005-0000-0000-0000240E0000}"/>
    <cellStyle name="Normal 46 4" xfId="864" xr:uid="{00000000-0005-0000-0000-0000250E0000}"/>
    <cellStyle name="Normal 46 4 2" xfId="2816" xr:uid="{00000000-0005-0000-0000-0000260E0000}"/>
    <cellStyle name="Normal 46 5" xfId="1490" xr:uid="{00000000-0005-0000-0000-0000270E0000}"/>
    <cellStyle name="Normal 46 5 2" xfId="3441" xr:uid="{00000000-0005-0000-0000-0000280E0000}"/>
    <cellStyle name="Normal 46 6" xfId="1991" xr:uid="{00000000-0005-0000-0000-0000290E0000}"/>
    <cellStyle name="Normal 46 6 2" xfId="3942" xr:uid="{00000000-0005-0000-0000-00002A0E0000}"/>
    <cellStyle name="Normal 46 7" xfId="2181" xr:uid="{00000000-0005-0000-0000-00002B0E0000}"/>
    <cellStyle name="Normal 47" xfId="224" xr:uid="{00000000-0005-0000-0000-00002C0E0000}"/>
    <cellStyle name="Normal 47 2" xfId="628" xr:uid="{00000000-0005-0000-0000-00002D0E0000}"/>
    <cellStyle name="Normal 47 2 2" xfId="1269" xr:uid="{00000000-0005-0000-0000-00002E0E0000}"/>
    <cellStyle name="Normal 47 2 2 2" xfId="3221" xr:uid="{00000000-0005-0000-0000-00002F0E0000}"/>
    <cellStyle name="Normal 47 2 3" xfId="1895" xr:uid="{00000000-0005-0000-0000-0000300E0000}"/>
    <cellStyle name="Normal 47 2 3 2" xfId="3846" xr:uid="{00000000-0005-0000-0000-0000310E0000}"/>
    <cellStyle name="Normal 47 2 4" xfId="2586" xr:uid="{00000000-0005-0000-0000-0000320E0000}"/>
    <cellStyle name="Normal 47 3" xfId="427" xr:uid="{00000000-0005-0000-0000-0000330E0000}"/>
    <cellStyle name="Normal 47 3 2" xfId="1068" xr:uid="{00000000-0005-0000-0000-0000340E0000}"/>
    <cellStyle name="Normal 47 3 2 2" xfId="3020" xr:uid="{00000000-0005-0000-0000-0000350E0000}"/>
    <cellStyle name="Normal 47 3 3" xfId="1694" xr:uid="{00000000-0005-0000-0000-0000360E0000}"/>
    <cellStyle name="Normal 47 3 3 2" xfId="3645" xr:uid="{00000000-0005-0000-0000-0000370E0000}"/>
    <cellStyle name="Normal 47 3 4" xfId="2385" xr:uid="{00000000-0005-0000-0000-0000380E0000}"/>
    <cellStyle name="Normal 47 4" xfId="865" xr:uid="{00000000-0005-0000-0000-0000390E0000}"/>
    <cellStyle name="Normal 47 4 2" xfId="2817" xr:uid="{00000000-0005-0000-0000-00003A0E0000}"/>
    <cellStyle name="Normal 47 5" xfId="1491" xr:uid="{00000000-0005-0000-0000-00003B0E0000}"/>
    <cellStyle name="Normal 47 5 2" xfId="3442" xr:uid="{00000000-0005-0000-0000-00003C0E0000}"/>
    <cellStyle name="Normal 47 6" xfId="1973" xr:uid="{00000000-0005-0000-0000-00003D0E0000}"/>
    <cellStyle name="Normal 47 6 2" xfId="3924" xr:uid="{00000000-0005-0000-0000-00003E0E0000}"/>
    <cellStyle name="Normal 47 7" xfId="2182" xr:uid="{00000000-0005-0000-0000-00003F0E0000}"/>
    <cellStyle name="Normal 48" xfId="225" xr:uid="{00000000-0005-0000-0000-0000400E0000}"/>
    <cellStyle name="Normal 48 2" xfId="629" xr:uid="{00000000-0005-0000-0000-0000410E0000}"/>
    <cellStyle name="Normal 48 2 2" xfId="1270" xr:uid="{00000000-0005-0000-0000-0000420E0000}"/>
    <cellStyle name="Normal 48 2 2 2" xfId="3222" xr:uid="{00000000-0005-0000-0000-0000430E0000}"/>
    <cellStyle name="Normal 48 2 3" xfId="1896" xr:uid="{00000000-0005-0000-0000-0000440E0000}"/>
    <cellStyle name="Normal 48 2 3 2" xfId="3847" xr:uid="{00000000-0005-0000-0000-0000450E0000}"/>
    <cellStyle name="Normal 48 2 4" xfId="2587" xr:uid="{00000000-0005-0000-0000-0000460E0000}"/>
    <cellStyle name="Normal 48 3" xfId="428" xr:uid="{00000000-0005-0000-0000-0000470E0000}"/>
    <cellStyle name="Normal 48 3 2" xfId="1069" xr:uid="{00000000-0005-0000-0000-0000480E0000}"/>
    <cellStyle name="Normal 48 3 2 2" xfId="3021" xr:uid="{00000000-0005-0000-0000-0000490E0000}"/>
    <cellStyle name="Normal 48 3 3" xfId="1695" xr:uid="{00000000-0005-0000-0000-00004A0E0000}"/>
    <cellStyle name="Normal 48 3 3 2" xfId="3646" xr:uid="{00000000-0005-0000-0000-00004B0E0000}"/>
    <cellStyle name="Normal 48 3 4" xfId="2386" xr:uid="{00000000-0005-0000-0000-00004C0E0000}"/>
    <cellStyle name="Normal 48 4" xfId="866" xr:uid="{00000000-0005-0000-0000-00004D0E0000}"/>
    <cellStyle name="Normal 48 4 2" xfId="2818" xr:uid="{00000000-0005-0000-0000-00004E0E0000}"/>
    <cellStyle name="Normal 48 5" xfId="1492" xr:uid="{00000000-0005-0000-0000-00004F0E0000}"/>
    <cellStyle name="Normal 48 5 2" xfId="3443" xr:uid="{00000000-0005-0000-0000-0000500E0000}"/>
    <cellStyle name="Normal 48 6" xfId="2183" xr:uid="{00000000-0005-0000-0000-0000510E0000}"/>
    <cellStyle name="Normal 49" xfId="228" xr:uid="{00000000-0005-0000-0000-0000520E0000}"/>
    <cellStyle name="Normal 49 2" xfId="632" xr:uid="{00000000-0005-0000-0000-0000530E0000}"/>
    <cellStyle name="Normal 49 2 2" xfId="1273" xr:uid="{00000000-0005-0000-0000-0000540E0000}"/>
    <cellStyle name="Normal 49 2 2 2" xfId="3225" xr:uid="{00000000-0005-0000-0000-0000550E0000}"/>
    <cellStyle name="Normal 49 2 3" xfId="1899" xr:uid="{00000000-0005-0000-0000-0000560E0000}"/>
    <cellStyle name="Normal 49 2 3 2" xfId="3850" xr:uid="{00000000-0005-0000-0000-0000570E0000}"/>
    <cellStyle name="Normal 49 2 4" xfId="2590" xr:uid="{00000000-0005-0000-0000-0000580E0000}"/>
    <cellStyle name="Normal 49 3" xfId="431" xr:uid="{00000000-0005-0000-0000-0000590E0000}"/>
    <cellStyle name="Normal 49 3 2" xfId="1072" xr:uid="{00000000-0005-0000-0000-00005A0E0000}"/>
    <cellStyle name="Normal 49 3 2 2" xfId="3024" xr:uid="{00000000-0005-0000-0000-00005B0E0000}"/>
    <cellStyle name="Normal 49 3 3" xfId="1698" xr:uid="{00000000-0005-0000-0000-00005C0E0000}"/>
    <cellStyle name="Normal 49 3 3 2" xfId="3649" xr:uid="{00000000-0005-0000-0000-00005D0E0000}"/>
    <cellStyle name="Normal 49 3 4" xfId="2389" xr:uid="{00000000-0005-0000-0000-00005E0E0000}"/>
    <cellStyle name="Normal 49 4" xfId="869" xr:uid="{00000000-0005-0000-0000-00005F0E0000}"/>
    <cellStyle name="Normal 49 4 2" xfId="2821" xr:uid="{00000000-0005-0000-0000-0000600E0000}"/>
    <cellStyle name="Normal 49 5" xfId="1495" xr:uid="{00000000-0005-0000-0000-0000610E0000}"/>
    <cellStyle name="Normal 49 5 2" xfId="3446" xr:uid="{00000000-0005-0000-0000-0000620E0000}"/>
    <cellStyle name="Normal 49 6" xfId="2186" xr:uid="{00000000-0005-0000-0000-0000630E0000}"/>
    <cellStyle name="Normal 5" xfId="12" xr:uid="{00000000-0005-0000-0000-0000640E0000}"/>
    <cellStyle name="Normal 50" xfId="231" xr:uid="{00000000-0005-0000-0000-0000650E0000}"/>
    <cellStyle name="Normal 50 2" xfId="635" xr:uid="{00000000-0005-0000-0000-0000660E0000}"/>
    <cellStyle name="Normal 50 2 2" xfId="1276" xr:uid="{00000000-0005-0000-0000-0000670E0000}"/>
    <cellStyle name="Normal 50 2 2 2" xfId="3228" xr:uid="{00000000-0005-0000-0000-0000680E0000}"/>
    <cellStyle name="Normal 50 2 3" xfId="1902" xr:uid="{00000000-0005-0000-0000-0000690E0000}"/>
    <cellStyle name="Normal 50 2 3 2" xfId="3853" xr:uid="{00000000-0005-0000-0000-00006A0E0000}"/>
    <cellStyle name="Normal 50 2 4" xfId="2593" xr:uid="{00000000-0005-0000-0000-00006B0E0000}"/>
    <cellStyle name="Normal 50 3" xfId="434" xr:uid="{00000000-0005-0000-0000-00006C0E0000}"/>
    <cellStyle name="Normal 50 3 2" xfId="1075" xr:uid="{00000000-0005-0000-0000-00006D0E0000}"/>
    <cellStyle name="Normal 50 3 2 2" xfId="3027" xr:uid="{00000000-0005-0000-0000-00006E0E0000}"/>
    <cellStyle name="Normal 50 3 3" xfId="1701" xr:uid="{00000000-0005-0000-0000-00006F0E0000}"/>
    <cellStyle name="Normal 50 3 3 2" xfId="3652" xr:uid="{00000000-0005-0000-0000-0000700E0000}"/>
    <cellStyle name="Normal 50 3 4" xfId="2392" xr:uid="{00000000-0005-0000-0000-0000710E0000}"/>
    <cellStyle name="Normal 50 4" xfId="872" xr:uid="{00000000-0005-0000-0000-0000720E0000}"/>
    <cellStyle name="Normal 50 4 2" xfId="2824" xr:uid="{00000000-0005-0000-0000-0000730E0000}"/>
    <cellStyle name="Normal 50 5" xfId="1498" xr:uid="{00000000-0005-0000-0000-0000740E0000}"/>
    <cellStyle name="Normal 50 5 2" xfId="3449" xr:uid="{00000000-0005-0000-0000-0000750E0000}"/>
    <cellStyle name="Normal 50 6" xfId="2189" xr:uid="{00000000-0005-0000-0000-0000760E0000}"/>
    <cellStyle name="Normal 51" xfId="232" xr:uid="{00000000-0005-0000-0000-0000770E0000}"/>
    <cellStyle name="Normal 51 2" xfId="636" xr:uid="{00000000-0005-0000-0000-0000780E0000}"/>
    <cellStyle name="Normal 51 2 2" xfId="1277" xr:uid="{00000000-0005-0000-0000-0000790E0000}"/>
    <cellStyle name="Normal 51 2 2 2" xfId="3229" xr:uid="{00000000-0005-0000-0000-00007A0E0000}"/>
    <cellStyle name="Normal 51 2 3" xfId="1903" xr:uid="{00000000-0005-0000-0000-00007B0E0000}"/>
    <cellStyle name="Normal 51 2 3 2" xfId="3854" xr:uid="{00000000-0005-0000-0000-00007C0E0000}"/>
    <cellStyle name="Normal 51 2 4" xfId="2594" xr:uid="{00000000-0005-0000-0000-00007D0E0000}"/>
    <cellStyle name="Normal 51 3" xfId="435" xr:uid="{00000000-0005-0000-0000-00007E0E0000}"/>
    <cellStyle name="Normal 51 3 2" xfId="1076" xr:uid="{00000000-0005-0000-0000-00007F0E0000}"/>
    <cellStyle name="Normal 51 3 2 2" xfId="3028" xr:uid="{00000000-0005-0000-0000-0000800E0000}"/>
    <cellStyle name="Normal 51 3 3" xfId="1702" xr:uid="{00000000-0005-0000-0000-0000810E0000}"/>
    <cellStyle name="Normal 51 3 3 2" xfId="3653" xr:uid="{00000000-0005-0000-0000-0000820E0000}"/>
    <cellStyle name="Normal 51 3 4" xfId="2393" xr:uid="{00000000-0005-0000-0000-0000830E0000}"/>
    <cellStyle name="Normal 51 4" xfId="873" xr:uid="{00000000-0005-0000-0000-0000840E0000}"/>
    <cellStyle name="Normal 51 4 2" xfId="2825" xr:uid="{00000000-0005-0000-0000-0000850E0000}"/>
    <cellStyle name="Normal 51 5" xfId="1499" xr:uid="{00000000-0005-0000-0000-0000860E0000}"/>
    <cellStyle name="Normal 51 5 2" xfId="3450" xr:uid="{00000000-0005-0000-0000-0000870E0000}"/>
    <cellStyle name="Normal 51 6" xfId="1995" xr:uid="{00000000-0005-0000-0000-0000880E0000}"/>
    <cellStyle name="Normal 51 6 2" xfId="3946" xr:uid="{00000000-0005-0000-0000-0000890E0000}"/>
    <cellStyle name="Normal 51 7" xfId="2190" xr:uid="{00000000-0005-0000-0000-00008A0E0000}"/>
    <cellStyle name="Normal 52" xfId="233" xr:uid="{00000000-0005-0000-0000-00008B0E0000}"/>
    <cellStyle name="Normal 52 2" xfId="637" xr:uid="{00000000-0005-0000-0000-00008C0E0000}"/>
    <cellStyle name="Normal 52 2 2" xfId="1278" xr:uid="{00000000-0005-0000-0000-00008D0E0000}"/>
    <cellStyle name="Normal 52 2 2 2" xfId="3230" xr:uid="{00000000-0005-0000-0000-00008E0E0000}"/>
    <cellStyle name="Normal 52 2 3" xfId="1904" xr:uid="{00000000-0005-0000-0000-00008F0E0000}"/>
    <cellStyle name="Normal 52 2 3 2" xfId="3855" xr:uid="{00000000-0005-0000-0000-0000900E0000}"/>
    <cellStyle name="Normal 52 2 4" xfId="2595" xr:uid="{00000000-0005-0000-0000-0000910E0000}"/>
    <cellStyle name="Normal 52 3" xfId="436" xr:uid="{00000000-0005-0000-0000-0000920E0000}"/>
    <cellStyle name="Normal 52 3 2" xfId="1077" xr:uid="{00000000-0005-0000-0000-0000930E0000}"/>
    <cellStyle name="Normal 52 3 2 2" xfId="3029" xr:uid="{00000000-0005-0000-0000-0000940E0000}"/>
    <cellStyle name="Normal 52 3 3" xfId="1703" xr:uid="{00000000-0005-0000-0000-0000950E0000}"/>
    <cellStyle name="Normal 52 3 3 2" xfId="3654" xr:uid="{00000000-0005-0000-0000-0000960E0000}"/>
    <cellStyle name="Normal 52 3 4" xfId="2394" xr:uid="{00000000-0005-0000-0000-0000970E0000}"/>
    <cellStyle name="Normal 52 4" xfId="874" xr:uid="{00000000-0005-0000-0000-0000980E0000}"/>
    <cellStyle name="Normal 52 4 2" xfId="2826" xr:uid="{00000000-0005-0000-0000-0000990E0000}"/>
    <cellStyle name="Normal 52 5" xfId="1500" xr:uid="{00000000-0005-0000-0000-00009A0E0000}"/>
    <cellStyle name="Normal 52 5 2" xfId="3451" xr:uid="{00000000-0005-0000-0000-00009B0E0000}"/>
    <cellStyle name="Normal 52 6" xfId="1994" xr:uid="{00000000-0005-0000-0000-00009C0E0000}"/>
    <cellStyle name="Normal 52 6 2" xfId="3945" xr:uid="{00000000-0005-0000-0000-00009D0E0000}"/>
    <cellStyle name="Normal 52 7" xfId="2191" xr:uid="{00000000-0005-0000-0000-00009E0E0000}"/>
    <cellStyle name="Normal 53" xfId="234" xr:uid="{00000000-0005-0000-0000-00009F0E0000}"/>
    <cellStyle name="Normal 53 2" xfId="638" xr:uid="{00000000-0005-0000-0000-0000A00E0000}"/>
    <cellStyle name="Normal 53 2 2" xfId="1279" xr:uid="{00000000-0005-0000-0000-0000A10E0000}"/>
    <cellStyle name="Normal 53 2 2 2" xfId="3231" xr:uid="{00000000-0005-0000-0000-0000A20E0000}"/>
    <cellStyle name="Normal 53 2 3" xfId="1905" xr:uid="{00000000-0005-0000-0000-0000A30E0000}"/>
    <cellStyle name="Normal 53 2 3 2" xfId="3856" xr:uid="{00000000-0005-0000-0000-0000A40E0000}"/>
    <cellStyle name="Normal 53 2 4" xfId="2596" xr:uid="{00000000-0005-0000-0000-0000A50E0000}"/>
    <cellStyle name="Normal 53 3" xfId="437" xr:uid="{00000000-0005-0000-0000-0000A60E0000}"/>
    <cellStyle name="Normal 53 3 2" xfId="1078" xr:uid="{00000000-0005-0000-0000-0000A70E0000}"/>
    <cellStyle name="Normal 53 3 2 2" xfId="3030" xr:uid="{00000000-0005-0000-0000-0000A80E0000}"/>
    <cellStyle name="Normal 53 3 3" xfId="1704" xr:uid="{00000000-0005-0000-0000-0000A90E0000}"/>
    <cellStyle name="Normal 53 3 3 2" xfId="3655" xr:uid="{00000000-0005-0000-0000-0000AA0E0000}"/>
    <cellStyle name="Normal 53 3 4" xfId="2395" xr:uid="{00000000-0005-0000-0000-0000AB0E0000}"/>
    <cellStyle name="Normal 53 4" xfId="875" xr:uid="{00000000-0005-0000-0000-0000AC0E0000}"/>
    <cellStyle name="Normal 53 4 2" xfId="2827" xr:uid="{00000000-0005-0000-0000-0000AD0E0000}"/>
    <cellStyle name="Normal 53 5" xfId="1501" xr:uid="{00000000-0005-0000-0000-0000AE0E0000}"/>
    <cellStyle name="Normal 53 5 2" xfId="3452" xr:uid="{00000000-0005-0000-0000-0000AF0E0000}"/>
    <cellStyle name="Normal 53 6" xfId="2192" xr:uid="{00000000-0005-0000-0000-0000B00E0000}"/>
    <cellStyle name="Normal 54" xfId="237" xr:uid="{00000000-0005-0000-0000-0000B10E0000}"/>
    <cellStyle name="Normal 54 2" xfId="641" xr:uid="{00000000-0005-0000-0000-0000B20E0000}"/>
    <cellStyle name="Normal 54 2 2" xfId="1282" xr:uid="{00000000-0005-0000-0000-0000B30E0000}"/>
    <cellStyle name="Normal 54 2 2 2" xfId="3234" xr:uid="{00000000-0005-0000-0000-0000B40E0000}"/>
    <cellStyle name="Normal 54 2 3" xfId="1908" xr:uid="{00000000-0005-0000-0000-0000B50E0000}"/>
    <cellStyle name="Normal 54 2 3 2" xfId="3859" xr:uid="{00000000-0005-0000-0000-0000B60E0000}"/>
    <cellStyle name="Normal 54 2 4" xfId="2599" xr:uid="{00000000-0005-0000-0000-0000B70E0000}"/>
    <cellStyle name="Normal 54 3" xfId="440" xr:uid="{00000000-0005-0000-0000-0000B80E0000}"/>
    <cellStyle name="Normal 54 3 2" xfId="1081" xr:uid="{00000000-0005-0000-0000-0000B90E0000}"/>
    <cellStyle name="Normal 54 3 2 2" xfId="3033" xr:uid="{00000000-0005-0000-0000-0000BA0E0000}"/>
    <cellStyle name="Normal 54 3 3" xfId="1707" xr:uid="{00000000-0005-0000-0000-0000BB0E0000}"/>
    <cellStyle name="Normal 54 3 3 2" xfId="3658" xr:uid="{00000000-0005-0000-0000-0000BC0E0000}"/>
    <cellStyle name="Normal 54 3 4" xfId="2398" xr:uid="{00000000-0005-0000-0000-0000BD0E0000}"/>
    <cellStyle name="Normal 54 4" xfId="878" xr:uid="{00000000-0005-0000-0000-0000BE0E0000}"/>
    <cellStyle name="Normal 54 4 2" xfId="2830" xr:uid="{00000000-0005-0000-0000-0000BF0E0000}"/>
    <cellStyle name="Normal 54 5" xfId="1504" xr:uid="{00000000-0005-0000-0000-0000C00E0000}"/>
    <cellStyle name="Normal 54 5 2" xfId="3455" xr:uid="{00000000-0005-0000-0000-0000C10E0000}"/>
    <cellStyle name="Normal 54 6" xfId="2195" xr:uid="{00000000-0005-0000-0000-0000C20E0000}"/>
    <cellStyle name="Normal 55" xfId="240" xr:uid="{00000000-0005-0000-0000-0000C30E0000}"/>
    <cellStyle name="Normal 55 2" xfId="644" xr:uid="{00000000-0005-0000-0000-0000C40E0000}"/>
    <cellStyle name="Normal 55 2 2" xfId="1285" xr:uid="{00000000-0005-0000-0000-0000C50E0000}"/>
    <cellStyle name="Normal 55 2 2 2" xfId="3237" xr:uid="{00000000-0005-0000-0000-0000C60E0000}"/>
    <cellStyle name="Normal 55 2 3" xfId="1911" xr:uid="{00000000-0005-0000-0000-0000C70E0000}"/>
    <cellStyle name="Normal 55 2 3 2" xfId="3862" xr:uid="{00000000-0005-0000-0000-0000C80E0000}"/>
    <cellStyle name="Normal 55 2 4" xfId="2602" xr:uid="{00000000-0005-0000-0000-0000C90E0000}"/>
    <cellStyle name="Normal 55 3" xfId="443" xr:uid="{00000000-0005-0000-0000-0000CA0E0000}"/>
    <cellStyle name="Normal 55 3 2" xfId="1084" xr:uid="{00000000-0005-0000-0000-0000CB0E0000}"/>
    <cellStyle name="Normal 55 3 2 2" xfId="3036" xr:uid="{00000000-0005-0000-0000-0000CC0E0000}"/>
    <cellStyle name="Normal 55 3 3" xfId="1710" xr:uid="{00000000-0005-0000-0000-0000CD0E0000}"/>
    <cellStyle name="Normal 55 3 3 2" xfId="3661" xr:uid="{00000000-0005-0000-0000-0000CE0E0000}"/>
    <cellStyle name="Normal 55 3 4" xfId="2401" xr:uid="{00000000-0005-0000-0000-0000CF0E0000}"/>
    <cellStyle name="Normal 55 4" xfId="881" xr:uid="{00000000-0005-0000-0000-0000D00E0000}"/>
    <cellStyle name="Normal 55 4 2" xfId="2833" xr:uid="{00000000-0005-0000-0000-0000D10E0000}"/>
    <cellStyle name="Normal 55 5" xfId="1507" xr:uid="{00000000-0005-0000-0000-0000D20E0000}"/>
    <cellStyle name="Normal 55 5 2" xfId="3458" xr:uid="{00000000-0005-0000-0000-0000D30E0000}"/>
    <cellStyle name="Normal 55 6" xfId="1998" xr:uid="{00000000-0005-0000-0000-0000D40E0000}"/>
    <cellStyle name="Normal 55 6 2" xfId="3949" xr:uid="{00000000-0005-0000-0000-0000D50E0000}"/>
    <cellStyle name="Normal 55 7" xfId="2198" xr:uid="{00000000-0005-0000-0000-0000D60E0000}"/>
    <cellStyle name="Normal 56" xfId="241" xr:uid="{00000000-0005-0000-0000-0000D70E0000}"/>
    <cellStyle name="Normal 56 2" xfId="645" xr:uid="{00000000-0005-0000-0000-0000D80E0000}"/>
    <cellStyle name="Normal 56 2 2" xfId="1286" xr:uid="{00000000-0005-0000-0000-0000D90E0000}"/>
    <cellStyle name="Normal 56 2 2 2" xfId="3238" xr:uid="{00000000-0005-0000-0000-0000DA0E0000}"/>
    <cellStyle name="Normal 56 2 3" xfId="1912" xr:uid="{00000000-0005-0000-0000-0000DB0E0000}"/>
    <cellStyle name="Normal 56 2 3 2" xfId="3863" xr:uid="{00000000-0005-0000-0000-0000DC0E0000}"/>
    <cellStyle name="Normal 56 2 4" xfId="2603" xr:uid="{00000000-0005-0000-0000-0000DD0E0000}"/>
    <cellStyle name="Normal 56 3" xfId="444" xr:uid="{00000000-0005-0000-0000-0000DE0E0000}"/>
    <cellStyle name="Normal 56 3 2" xfId="1085" xr:uid="{00000000-0005-0000-0000-0000DF0E0000}"/>
    <cellStyle name="Normal 56 3 2 2" xfId="3037" xr:uid="{00000000-0005-0000-0000-0000E00E0000}"/>
    <cellStyle name="Normal 56 3 3" xfId="1711" xr:uid="{00000000-0005-0000-0000-0000E10E0000}"/>
    <cellStyle name="Normal 56 3 3 2" xfId="3662" xr:uid="{00000000-0005-0000-0000-0000E20E0000}"/>
    <cellStyle name="Normal 56 3 4" xfId="2402" xr:uid="{00000000-0005-0000-0000-0000E30E0000}"/>
    <cellStyle name="Normal 56 4" xfId="882" xr:uid="{00000000-0005-0000-0000-0000E40E0000}"/>
    <cellStyle name="Normal 56 4 2" xfId="2834" xr:uid="{00000000-0005-0000-0000-0000E50E0000}"/>
    <cellStyle name="Normal 56 5" xfId="1508" xr:uid="{00000000-0005-0000-0000-0000E60E0000}"/>
    <cellStyle name="Normal 56 5 2" xfId="3459" xr:uid="{00000000-0005-0000-0000-0000E70E0000}"/>
    <cellStyle name="Normal 56 6" xfId="2199" xr:uid="{00000000-0005-0000-0000-0000E80E0000}"/>
    <cellStyle name="Normal 57" xfId="244" xr:uid="{00000000-0005-0000-0000-0000E90E0000}"/>
    <cellStyle name="Normal 57 2" xfId="648" xr:uid="{00000000-0005-0000-0000-0000EA0E0000}"/>
    <cellStyle name="Normal 57 2 2" xfId="1289" xr:uid="{00000000-0005-0000-0000-0000EB0E0000}"/>
    <cellStyle name="Normal 57 2 2 2" xfId="3241" xr:uid="{00000000-0005-0000-0000-0000EC0E0000}"/>
    <cellStyle name="Normal 57 2 3" xfId="1915" xr:uid="{00000000-0005-0000-0000-0000ED0E0000}"/>
    <cellStyle name="Normal 57 2 3 2" xfId="3866" xr:uid="{00000000-0005-0000-0000-0000EE0E0000}"/>
    <cellStyle name="Normal 57 2 4" xfId="2606" xr:uid="{00000000-0005-0000-0000-0000EF0E0000}"/>
    <cellStyle name="Normal 57 3" xfId="447" xr:uid="{00000000-0005-0000-0000-0000F00E0000}"/>
    <cellStyle name="Normal 57 3 2" xfId="1088" xr:uid="{00000000-0005-0000-0000-0000F10E0000}"/>
    <cellStyle name="Normal 57 3 2 2" xfId="3040" xr:uid="{00000000-0005-0000-0000-0000F20E0000}"/>
    <cellStyle name="Normal 57 3 3" xfId="1714" xr:uid="{00000000-0005-0000-0000-0000F30E0000}"/>
    <cellStyle name="Normal 57 3 3 2" xfId="3665" xr:uid="{00000000-0005-0000-0000-0000F40E0000}"/>
    <cellStyle name="Normal 57 3 4" xfId="2405" xr:uid="{00000000-0005-0000-0000-0000F50E0000}"/>
    <cellStyle name="Normal 57 4" xfId="885" xr:uid="{00000000-0005-0000-0000-0000F60E0000}"/>
    <cellStyle name="Normal 57 4 2" xfId="2837" xr:uid="{00000000-0005-0000-0000-0000F70E0000}"/>
    <cellStyle name="Normal 57 5" xfId="1511" xr:uid="{00000000-0005-0000-0000-0000F80E0000}"/>
    <cellStyle name="Normal 57 5 2" xfId="3462" xr:uid="{00000000-0005-0000-0000-0000F90E0000}"/>
    <cellStyle name="Normal 57 6" xfId="2004" xr:uid="{00000000-0005-0000-0000-0000FA0E0000}"/>
    <cellStyle name="Normal 57 6 2" xfId="3955" xr:uid="{00000000-0005-0000-0000-0000FB0E0000}"/>
    <cellStyle name="Normal 57 7" xfId="2202" xr:uid="{00000000-0005-0000-0000-0000FC0E0000}"/>
    <cellStyle name="Normal 58" xfId="245" xr:uid="{00000000-0005-0000-0000-0000FD0E0000}"/>
    <cellStyle name="Normal 58 2" xfId="649" xr:uid="{00000000-0005-0000-0000-0000FE0E0000}"/>
    <cellStyle name="Normal 58 2 2" xfId="1290" xr:uid="{00000000-0005-0000-0000-0000FF0E0000}"/>
    <cellStyle name="Normal 58 2 2 2" xfId="3242" xr:uid="{00000000-0005-0000-0000-0000000F0000}"/>
    <cellStyle name="Normal 58 2 3" xfId="1916" xr:uid="{00000000-0005-0000-0000-0000010F0000}"/>
    <cellStyle name="Normal 58 2 3 2" xfId="3867" xr:uid="{00000000-0005-0000-0000-0000020F0000}"/>
    <cellStyle name="Normal 58 2 4" xfId="2607" xr:uid="{00000000-0005-0000-0000-0000030F0000}"/>
    <cellStyle name="Normal 58 3" xfId="448" xr:uid="{00000000-0005-0000-0000-0000040F0000}"/>
    <cellStyle name="Normal 58 3 2" xfId="1089" xr:uid="{00000000-0005-0000-0000-0000050F0000}"/>
    <cellStyle name="Normal 58 3 2 2" xfId="3041" xr:uid="{00000000-0005-0000-0000-0000060F0000}"/>
    <cellStyle name="Normal 58 3 3" xfId="1715" xr:uid="{00000000-0005-0000-0000-0000070F0000}"/>
    <cellStyle name="Normal 58 3 3 2" xfId="3666" xr:uid="{00000000-0005-0000-0000-0000080F0000}"/>
    <cellStyle name="Normal 58 3 4" xfId="2406" xr:uid="{00000000-0005-0000-0000-0000090F0000}"/>
    <cellStyle name="Normal 58 4" xfId="886" xr:uid="{00000000-0005-0000-0000-00000A0F0000}"/>
    <cellStyle name="Normal 58 4 2" xfId="2838" xr:uid="{00000000-0005-0000-0000-00000B0F0000}"/>
    <cellStyle name="Normal 58 5" xfId="1512" xr:uid="{00000000-0005-0000-0000-00000C0F0000}"/>
    <cellStyle name="Normal 58 5 2" xfId="3463" xr:uid="{00000000-0005-0000-0000-00000D0F0000}"/>
    <cellStyle name="Normal 58 6" xfId="2001" xr:uid="{00000000-0005-0000-0000-00000E0F0000}"/>
    <cellStyle name="Normal 58 6 2" xfId="3952" xr:uid="{00000000-0005-0000-0000-00000F0F0000}"/>
    <cellStyle name="Normal 58 7" xfId="2203" xr:uid="{00000000-0005-0000-0000-0000100F0000}"/>
    <cellStyle name="Normal 59" xfId="248" xr:uid="{00000000-0005-0000-0000-0000110F0000}"/>
    <cellStyle name="Normal 59 2" xfId="652" xr:uid="{00000000-0005-0000-0000-0000120F0000}"/>
    <cellStyle name="Normal 59 2 2" xfId="1293" xr:uid="{00000000-0005-0000-0000-0000130F0000}"/>
    <cellStyle name="Normal 59 2 2 2" xfId="3245" xr:uid="{00000000-0005-0000-0000-0000140F0000}"/>
    <cellStyle name="Normal 59 2 3" xfId="1919" xr:uid="{00000000-0005-0000-0000-0000150F0000}"/>
    <cellStyle name="Normal 59 2 3 2" xfId="3870" xr:uid="{00000000-0005-0000-0000-0000160F0000}"/>
    <cellStyle name="Normal 59 2 4" xfId="2610" xr:uid="{00000000-0005-0000-0000-0000170F0000}"/>
    <cellStyle name="Normal 59 3" xfId="451" xr:uid="{00000000-0005-0000-0000-0000180F0000}"/>
    <cellStyle name="Normal 59 3 2" xfId="1092" xr:uid="{00000000-0005-0000-0000-0000190F0000}"/>
    <cellStyle name="Normal 59 3 2 2" xfId="3044" xr:uid="{00000000-0005-0000-0000-00001A0F0000}"/>
    <cellStyle name="Normal 59 3 3" xfId="1718" xr:uid="{00000000-0005-0000-0000-00001B0F0000}"/>
    <cellStyle name="Normal 59 3 3 2" xfId="3669" xr:uid="{00000000-0005-0000-0000-00001C0F0000}"/>
    <cellStyle name="Normal 59 3 4" xfId="2409" xr:uid="{00000000-0005-0000-0000-00001D0F0000}"/>
    <cellStyle name="Normal 59 4" xfId="889" xr:uid="{00000000-0005-0000-0000-00001E0F0000}"/>
    <cellStyle name="Normal 59 4 2" xfId="2841" xr:uid="{00000000-0005-0000-0000-00001F0F0000}"/>
    <cellStyle name="Normal 59 5" xfId="1515" xr:uid="{00000000-0005-0000-0000-0000200F0000}"/>
    <cellStyle name="Normal 59 5 2" xfId="3466" xr:uid="{00000000-0005-0000-0000-0000210F0000}"/>
    <cellStyle name="Normal 59 6" xfId="2000" xr:uid="{00000000-0005-0000-0000-0000220F0000}"/>
    <cellStyle name="Normal 59 6 2" xfId="3951" xr:uid="{00000000-0005-0000-0000-0000230F0000}"/>
    <cellStyle name="Normal 59 7" xfId="2206" xr:uid="{00000000-0005-0000-0000-0000240F0000}"/>
    <cellStyle name="Normal 6" xfId="15" xr:uid="{00000000-0005-0000-0000-0000250F0000}"/>
    <cellStyle name="Normal 60" xfId="251" xr:uid="{00000000-0005-0000-0000-0000260F0000}"/>
    <cellStyle name="Normal 60 2" xfId="655" xr:uid="{00000000-0005-0000-0000-0000270F0000}"/>
    <cellStyle name="Normal 60 2 2" xfId="1296" xr:uid="{00000000-0005-0000-0000-0000280F0000}"/>
    <cellStyle name="Normal 60 2 2 2" xfId="3248" xr:uid="{00000000-0005-0000-0000-0000290F0000}"/>
    <cellStyle name="Normal 60 2 3" xfId="1922" xr:uid="{00000000-0005-0000-0000-00002A0F0000}"/>
    <cellStyle name="Normal 60 2 3 2" xfId="3873" xr:uid="{00000000-0005-0000-0000-00002B0F0000}"/>
    <cellStyle name="Normal 60 2 4" xfId="2613" xr:uid="{00000000-0005-0000-0000-00002C0F0000}"/>
    <cellStyle name="Normal 60 3" xfId="454" xr:uid="{00000000-0005-0000-0000-00002D0F0000}"/>
    <cellStyle name="Normal 60 3 2" xfId="1095" xr:uid="{00000000-0005-0000-0000-00002E0F0000}"/>
    <cellStyle name="Normal 60 3 2 2" xfId="3047" xr:uid="{00000000-0005-0000-0000-00002F0F0000}"/>
    <cellStyle name="Normal 60 3 3" xfId="1721" xr:uid="{00000000-0005-0000-0000-0000300F0000}"/>
    <cellStyle name="Normal 60 3 3 2" xfId="3672" xr:uid="{00000000-0005-0000-0000-0000310F0000}"/>
    <cellStyle name="Normal 60 3 4" xfId="2412" xr:uid="{00000000-0005-0000-0000-0000320F0000}"/>
    <cellStyle name="Normal 60 4" xfId="892" xr:uid="{00000000-0005-0000-0000-0000330F0000}"/>
    <cellStyle name="Normal 60 4 2" xfId="2844" xr:uid="{00000000-0005-0000-0000-0000340F0000}"/>
    <cellStyle name="Normal 60 5" xfId="1518" xr:uid="{00000000-0005-0000-0000-0000350F0000}"/>
    <cellStyle name="Normal 60 5 2" xfId="3469" xr:uid="{00000000-0005-0000-0000-0000360F0000}"/>
    <cellStyle name="Normal 60 6" xfId="2005" xr:uid="{00000000-0005-0000-0000-0000370F0000}"/>
    <cellStyle name="Normal 60 6 2" xfId="3956" xr:uid="{00000000-0005-0000-0000-0000380F0000}"/>
    <cellStyle name="Normal 60 7" xfId="2209" xr:uid="{00000000-0005-0000-0000-0000390F0000}"/>
    <cellStyle name="Normal 61" xfId="254" xr:uid="{00000000-0005-0000-0000-00003A0F0000}"/>
    <cellStyle name="Normal 61 2" xfId="658" xr:uid="{00000000-0005-0000-0000-00003B0F0000}"/>
    <cellStyle name="Normal 61 2 2" xfId="1299" xr:uid="{00000000-0005-0000-0000-00003C0F0000}"/>
    <cellStyle name="Normal 61 2 2 2" xfId="3251" xr:uid="{00000000-0005-0000-0000-00003D0F0000}"/>
    <cellStyle name="Normal 61 2 3" xfId="1925" xr:uid="{00000000-0005-0000-0000-00003E0F0000}"/>
    <cellStyle name="Normal 61 2 3 2" xfId="3876" xr:uid="{00000000-0005-0000-0000-00003F0F0000}"/>
    <cellStyle name="Normal 61 2 4" xfId="2616" xr:uid="{00000000-0005-0000-0000-0000400F0000}"/>
    <cellStyle name="Normal 61 3" xfId="457" xr:uid="{00000000-0005-0000-0000-0000410F0000}"/>
    <cellStyle name="Normal 61 3 2" xfId="1098" xr:uid="{00000000-0005-0000-0000-0000420F0000}"/>
    <cellStyle name="Normal 61 3 2 2" xfId="3050" xr:uid="{00000000-0005-0000-0000-0000430F0000}"/>
    <cellStyle name="Normal 61 3 3" xfId="1724" xr:uid="{00000000-0005-0000-0000-0000440F0000}"/>
    <cellStyle name="Normal 61 3 3 2" xfId="3675" xr:uid="{00000000-0005-0000-0000-0000450F0000}"/>
    <cellStyle name="Normal 61 3 4" xfId="2415" xr:uid="{00000000-0005-0000-0000-0000460F0000}"/>
    <cellStyle name="Normal 61 4" xfId="895" xr:uid="{00000000-0005-0000-0000-0000470F0000}"/>
    <cellStyle name="Normal 61 4 2" xfId="2847" xr:uid="{00000000-0005-0000-0000-0000480F0000}"/>
    <cellStyle name="Normal 61 5" xfId="1521" xr:uid="{00000000-0005-0000-0000-0000490F0000}"/>
    <cellStyle name="Normal 61 5 2" xfId="3472" xr:uid="{00000000-0005-0000-0000-00004A0F0000}"/>
    <cellStyle name="Normal 61 6" xfId="2002" xr:uid="{00000000-0005-0000-0000-00004B0F0000}"/>
    <cellStyle name="Normal 61 6 2" xfId="3953" xr:uid="{00000000-0005-0000-0000-00004C0F0000}"/>
    <cellStyle name="Normal 61 7" xfId="2212" xr:uid="{00000000-0005-0000-0000-00004D0F0000}"/>
    <cellStyle name="Normal 62" xfId="255" xr:uid="{00000000-0005-0000-0000-00004E0F0000}"/>
    <cellStyle name="Normal 62 2" xfId="659" xr:uid="{00000000-0005-0000-0000-00004F0F0000}"/>
    <cellStyle name="Normal 62 2 2" xfId="1300" xr:uid="{00000000-0005-0000-0000-0000500F0000}"/>
    <cellStyle name="Normal 62 2 2 2" xfId="3252" xr:uid="{00000000-0005-0000-0000-0000510F0000}"/>
    <cellStyle name="Normal 62 2 3" xfId="1926" xr:uid="{00000000-0005-0000-0000-0000520F0000}"/>
    <cellStyle name="Normal 62 2 3 2" xfId="3877" xr:uid="{00000000-0005-0000-0000-0000530F0000}"/>
    <cellStyle name="Normal 62 2 4" xfId="2617" xr:uid="{00000000-0005-0000-0000-0000540F0000}"/>
    <cellStyle name="Normal 62 3" xfId="458" xr:uid="{00000000-0005-0000-0000-0000550F0000}"/>
    <cellStyle name="Normal 62 3 2" xfId="1099" xr:uid="{00000000-0005-0000-0000-0000560F0000}"/>
    <cellStyle name="Normal 62 3 2 2" xfId="3051" xr:uid="{00000000-0005-0000-0000-0000570F0000}"/>
    <cellStyle name="Normal 62 3 3" xfId="1725" xr:uid="{00000000-0005-0000-0000-0000580F0000}"/>
    <cellStyle name="Normal 62 3 3 2" xfId="3676" xr:uid="{00000000-0005-0000-0000-0000590F0000}"/>
    <cellStyle name="Normal 62 3 4" xfId="2416" xr:uid="{00000000-0005-0000-0000-00005A0F0000}"/>
    <cellStyle name="Normal 62 4" xfId="896" xr:uid="{00000000-0005-0000-0000-00005B0F0000}"/>
    <cellStyle name="Normal 62 4 2" xfId="2848" xr:uid="{00000000-0005-0000-0000-00005C0F0000}"/>
    <cellStyle name="Normal 62 5" xfId="1522" xr:uid="{00000000-0005-0000-0000-00005D0F0000}"/>
    <cellStyle name="Normal 62 5 2" xfId="3473" xr:uid="{00000000-0005-0000-0000-00005E0F0000}"/>
    <cellStyle name="Normal 62 6" xfId="2213" xr:uid="{00000000-0005-0000-0000-00005F0F0000}"/>
    <cellStyle name="Normal 63" xfId="256" xr:uid="{00000000-0005-0000-0000-0000600F0000}"/>
    <cellStyle name="Normal 63 2" xfId="660" xr:uid="{00000000-0005-0000-0000-0000610F0000}"/>
    <cellStyle name="Normal 63 2 2" xfId="1301" xr:uid="{00000000-0005-0000-0000-0000620F0000}"/>
    <cellStyle name="Normal 63 2 2 2" xfId="3253" xr:uid="{00000000-0005-0000-0000-0000630F0000}"/>
    <cellStyle name="Normal 63 2 3" xfId="1927" xr:uid="{00000000-0005-0000-0000-0000640F0000}"/>
    <cellStyle name="Normal 63 2 3 2" xfId="3878" xr:uid="{00000000-0005-0000-0000-0000650F0000}"/>
    <cellStyle name="Normal 63 2 4" xfId="2618" xr:uid="{00000000-0005-0000-0000-0000660F0000}"/>
    <cellStyle name="Normal 63 3" xfId="459" xr:uid="{00000000-0005-0000-0000-0000670F0000}"/>
    <cellStyle name="Normal 63 3 2" xfId="1100" xr:uid="{00000000-0005-0000-0000-0000680F0000}"/>
    <cellStyle name="Normal 63 3 2 2" xfId="3052" xr:uid="{00000000-0005-0000-0000-0000690F0000}"/>
    <cellStyle name="Normal 63 3 3" xfId="1726" xr:uid="{00000000-0005-0000-0000-00006A0F0000}"/>
    <cellStyle name="Normal 63 3 3 2" xfId="3677" xr:uid="{00000000-0005-0000-0000-00006B0F0000}"/>
    <cellStyle name="Normal 63 3 4" xfId="2417" xr:uid="{00000000-0005-0000-0000-00006C0F0000}"/>
    <cellStyle name="Normal 63 4" xfId="897" xr:uid="{00000000-0005-0000-0000-00006D0F0000}"/>
    <cellStyle name="Normal 63 4 2" xfId="2849" xr:uid="{00000000-0005-0000-0000-00006E0F0000}"/>
    <cellStyle name="Normal 63 5" xfId="1523" xr:uid="{00000000-0005-0000-0000-00006F0F0000}"/>
    <cellStyle name="Normal 63 5 2" xfId="3474" xr:uid="{00000000-0005-0000-0000-0000700F0000}"/>
    <cellStyle name="Normal 63 6" xfId="2006" xr:uid="{00000000-0005-0000-0000-0000710F0000}"/>
    <cellStyle name="Normal 63 6 2" xfId="3957" xr:uid="{00000000-0005-0000-0000-0000720F0000}"/>
    <cellStyle name="Normal 63 7" xfId="2214" xr:uid="{00000000-0005-0000-0000-0000730F0000}"/>
    <cellStyle name="Normal 64" xfId="257" xr:uid="{00000000-0005-0000-0000-0000740F0000}"/>
    <cellStyle name="Normal 64 2" xfId="661" xr:uid="{00000000-0005-0000-0000-0000750F0000}"/>
    <cellStyle name="Normal 64 2 2" xfId="1302" xr:uid="{00000000-0005-0000-0000-0000760F0000}"/>
    <cellStyle name="Normal 64 2 2 2" xfId="3254" xr:uid="{00000000-0005-0000-0000-0000770F0000}"/>
    <cellStyle name="Normal 64 2 3" xfId="1928" xr:uid="{00000000-0005-0000-0000-0000780F0000}"/>
    <cellStyle name="Normal 64 2 3 2" xfId="3879" xr:uid="{00000000-0005-0000-0000-0000790F0000}"/>
    <cellStyle name="Normal 64 2 4" xfId="2619" xr:uid="{00000000-0005-0000-0000-00007A0F0000}"/>
    <cellStyle name="Normal 64 3" xfId="898" xr:uid="{00000000-0005-0000-0000-00007B0F0000}"/>
    <cellStyle name="Normal 64 3 2" xfId="2850" xr:uid="{00000000-0005-0000-0000-00007C0F0000}"/>
    <cellStyle name="Normal 64 4" xfId="1524" xr:uid="{00000000-0005-0000-0000-00007D0F0000}"/>
    <cellStyle name="Normal 64 4 2" xfId="3475" xr:uid="{00000000-0005-0000-0000-00007E0F0000}"/>
    <cellStyle name="Normal 64 5" xfId="2215" xr:uid="{00000000-0005-0000-0000-00007F0F0000}"/>
    <cellStyle name="Normal 65" xfId="258" xr:uid="{00000000-0005-0000-0000-0000800F0000}"/>
    <cellStyle name="Normal 65 2" xfId="899" xr:uid="{00000000-0005-0000-0000-0000810F0000}"/>
    <cellStyle name="Normal 65 2 2" xfId="2851" xr:uid="{00000000-0005-0000-0000-0000820F0000}"/>
    <cellStyle name="Normal 65 3" xfId="1525" xr:uid="{00000000-0005-0000-0000-0000830F0000}"/>
    <cellStyle name="Normal 65 3 2" xfId="3476" xr:uid="{00000000-0005-0000-0000-0000840F0000}"/>
    <cellStyle name="Normal 65 4" xfId="2007" xr:uid="{00000000-0005-0000-0000-0000850F0000}"/>
    <cellStyle name="Normal 65 4 2" xfId="3958" xr:uid="{00000000-0005-0000-0000-0000860F0000}"/>
    <cellStyle name="Normal 65 5" xfId="2216" xr:uid="{00000000-0005-0000-0000-0000870F0000}"/>
    <cellStyle name="Normal 66" xfId="662" xr:uid="{00000000-0005-0000-0000-0000880F0000}"/>
    <cellStyle name="Normal 66 2" xfId="1303" xr:uid="{00000000-0005-0000-0000-0000890F0000}"/>
    <cellStyle name="Normal 66 2 2" xfId="3255" xr:uid="{00000000-0005-0000-0000-00008A0F0000}"/>
    <cellStyle name="Normal 66 3" xfId="1929" xr:uid="{00000000-0005-0000-0000-00008B0F0000}"/>
    <cellStyle name="Normal 66 3 2" xfId="3880" xr:uid="{00000000-0005-0000-0000-00008C0F0000}"/>
    <cellStyle name="Normal 66 4" xfId="2008" xr:uid="{00000000-0005-0000-0000-00008D0F0000}"/>
    <cellStyle name="Normal 66 4 2" xfId="3959" xr:uid="{00000000-0005-0000-0000-00008E0F0000}"/>
    <cellStyle name="Normal 66 5" xfId="2620" xr:uid="{00000000-0005-0000-0000-00008F0F0000}"/>
    <cellStyle name="Normal 67" xfId="663" xr:uid="{00000000-0005-0000-0000-0000900F0000}"/>
    <cellStyle name="Normal 67 2" xfId="1304" xr:uid="{00000000-0005-0000-0000-0000910F0000}"/>
    <cellStyle name="Normal 67 2 2" xfId="3256" xr:uid="{00000000-0005-0000-0000-0000920F0000}"/>
    <cellStyle name="Normal 67 3" xfId="1930" xr:uid="{00000000-0005-0000-0000-0000930F0000}"/>
    <cellStyle name="Normal 67 3 2" xfId="3881" xr:uid="{00000000-0005-0000-0000-0000940F0000}"/>
    <cellStyle name="Normal 67 4" xfId="2621" xr:uid="{00000000-0005-0000-0000-0000950F0000}"/>
    <cellStyle name="Normal 68" xfId="664" xr:uid="{00000000-0005-0000-0000-0000960F0000}"/>
    <cellStyle name="Normal 68 2" xfId="1305" xr:uid="{00000000-0005-0000-0000-0000970F0000}"/>
    <cellStyle name="Normal 68 2 2" xfId="3257" xr:uid="{00000000-0005-0000-0000-0000980F0000}"/>
    <cellStyle name="Normal 68 3" xfId="1931" xr:uid="{00000000-0005-0000-0000-0000990F0000}"/>
    <cellStyle name="Normal 68 3 2" xfId="3882" xr:uid="{00000000-0005-0000-0000-00009A0F0000}"/>
    <cellStyle name="Normal 68 4" xfId="2622" xr:uid="{00000000-0005-0000-0000-00009B0F0000}"/>
    <cellStyle name="Normal 69" xfId="665" xr:uid="{00000000-0005-0000-0000-00009C0F0000}"/>
    <cellStyle name="Normal 69 2" xfId="1306" xr:uid="{00000000-0005-0000-0000-00009D0F0000}"/>
    <cellStyle name="Normal 69 2 2" xfId="3258" xr:uid="{00000000-0005-0000-0000-00009E0F0000}"/>
    <cellStyle name="Normal 69 3" xfId="1932" xr:uid="{00000000-0005-0000-0000-00009F0F0000}"/>
    <cellStyle name="Normal 69 3 2" xfId="3883" xr:uid="{00000000-0005-0000-0000-0000A00F0000}"/>
    <cellStyle name="Normal 69 4" xfId="1975" xr:uid="{00000000-0005-0000-0000-0000A10F0000}"/>
    <cellStyle name="Normal 69 4 2" xfId="3926" xr:uid="{00000000-0005-0000-0000-0000A20F0000}"/>
    <cellStyle name="Normal 69 5" xfId="2623" xr:uid="{00000000-0005-0000-0000-0000A30F0000}"/>
    <cellStyle name="Normal 7" xfId="18" xr:uid="{00000000-0005-0000-0000-0000A40F0000}"/>
    <cellStyle name="Normal 70" xfId="666" xr:uid="{00000000-0005-0000-0000-0000A50F0000}"/>
    <cellStyle name="Normal 70 2" xfId="1307" xr:uid="{00000000-0005-0000-0000-0000A60F0000}"/>
    <cellStyle name="Normal 70 2 2" xfId="3259" xr:uid="{00000000-0005-0000-0000-0000A70F0000}"/>
    <cellStyle name="Normal 70 3" xfId="1933" xr:uid="{00000000-0005-0000-0000-0000A80F0000}"/>
    <cellStyle name="Normal 70 3 2" xfId="3884" xr:uid="{00000000-0005-0000-0000-0000A90F0000}"/>
    <cellStyle name="Normal 70 4" xfId="2009" xr:uid="{00000000-0005-0000-0000-0000AA0F0000}"/>
    <cellStyle name="Normal 70 4 2" xfId="3960" xr:uid="{00000000-0005-0000-0000-0000AB0F0000}"/>
    <cellStyle name="Normal 70 5" xfId="2624" xr:uid="{00000000-0005-0000-0000-0000AC0F0000}"/>
    <cellStyle name="Normal 71" xfId="667" xr:uid="{00000000-0005-0000-0000-0000AD0F0000}"/>
    <cellStyle name="Normal 71 2" xfId="1308" xr:uid="{00000000-0005-0000-0000-0000AE0F0000}"/>
    <cellStyle name="Normal 71 2 2" xfId="3260" xr:uid="{00000000-0005-0000-0000-0000AF0F0000}"/>
    <cellStyle name="Normal 71 3" xfId="1934" xr:uid="{00000000-0005-0000-0000-0000B00F0000}"/>
    <cellStyle name="Normal 71 3 2" xfId="3885" xr:uid="{00000000-0005-0000-0000-0000B10F0000}"/>
    <cellStyle name="Normal 71 4" xfId="2010" xr:uid="{00000000-0005-0000-0000-0000B20F0000}"/>
    <cellStyle name="Normal 71 4 2" xfId="3961" xr:uid="{00000000-0005-0000-0000-0000B30F0000}"/>
    <cellStyle name="Normal 71 5" xfId="2625" xr:uid="{00000000-0005-0000-0000-0000B40F0000}"/>
    <cellStyle name="Normal 72" xfId="668" xr:uid="{00000000-0005-0000-0000-0000B50F0000}"/>
    <cellStyle name="Normal 72 2" xfId="1309" xr:uid="{00000000-0005-0000-0000-0000B60F0000}"/>
    <cellStyle name="Normal 72 2 2" xfId="3261" xr:uid="{00000000-0005-0000-0000-0000B70F0000}"/>
    <cellStyle name="Normal 72 3" xfId="1935" xr:uid="{00000000-0005-0000-0000-0000B80F0000}"/>
    <cellStyle name="Normal 72 3 2" xfId="3886" xr:uid="{00000000-0005-0000-0000-0000B90F0000}"/>
    <cellStyle name="Normal 72 4" xfId="2012" xr:uid="{00000000-0005-0000-0000-0000BA0F0000}"/>
    <cellStyle name="Normal 72 4 2" xfId="3963" xr:uid="{00000000-0005-0000-0000-0000BB0F0000}"/>
    <cellStyle name="Normal 72 5" xfId="2626" xr:uid="{00000000-0005-0000-0000-0000BC0F0000}"/>
    <cellStyle name="Normal 73" xfId="669" xr:uid="{00000000-0005-0000-0000-0000BD0F0000}"/>
    <cellStyle name="Normal 73 2" xfId="1310" xr:uid="{00000000-0005-0000-0000-0000BE0F0000}"/>
    <cellStyle name="Normal 73 2 2" xfId="3262" xr:uid="{00000000-0005-0000-0000-0000BF0F0000}"/>
    <cellStyle name="Normal 73 3" xfId="1936" xr:uid="{00000000-0005-0000-0000-0000C00F0000}"/>
    <cellStyle name="Normal 73 3 2" xfId="3887" xr:uid="{00000000-0005-0000-0000-0000C10F0000}"/>
    <cellStyle name="Normal 73 4" xfId="2011" xr:uid="{00000000-0005-0000-0000-0000C20F0000}"/>
    <cellStyle name="Normal 73 4 2" xfId="3962" xr:uid="{00000000-0005-0000-0000-0000C30F0000}"/>
    <cellStyle name="Normal 73 5" xfId="2627" xr:uid="{00000000-0005-0000-0000-0000C40F0000}"/>
    <cellStyle name="Normal 74" xfId="670" xr:uid="{00000000-0005-0000-0000-0000C50F0000}"/>
    <cellStyle name="Normal 74 2" xfId="1311" xr:uid="{00000000-0005-0000-0000-0000C60F0000}"/>
    <cellStyle name="Normal 74 2 2" xfId="3263" xr:uid="{00000000-0005-0000-0000-0000C70F0000}"/>
    <cellStyle name="Normal 74 3" xfId="1937" xr:uid="{00000000-0005-0000-0000-0000C80F0000}"/>
    <cellStyle name="Normal 74 3 2" xfId="3888" xr:uid="{00000000-0005-0000-0000-0000C90F0000}"/>
    <cellStyle name="Normal 74 4" xfId="2628" xr:uid="{00000000-0005-0000-0000-0000CA0F0000}"/>
    <cellStyle name="Normal 75" xfId="673" xr:uid="{00000000-0005-0000-0000-0000CB0F0000}"/>
    <cellStyle name="Normal 75 2" xfId="1314" xr:uid="{00000000-0005-0000-0000-0000CC0F0000}"/>
    <cellStyle name="Normal 75 2 2" xfId="3266" xr:uid="{00000000-0005-0000-0000-0000CD0F0000}"/>
    <cellStyle name="Normal 75 3" xfId="1940" xr:uid="{00000000-0005-0000-0000-0000CE0F0000}"/>
    <cellStyle name="Normal 75 3 2" xfId="3891" xr:uid="{00000000-0005-0000-0000-0000CF0F0000}"/>
    <cellStyle name="Normal 75 4" xfId="2631" xr:uid="{00000000-0005-0000-0000-0000D00F0000}"/>
    <cellStyle name="Normal 76" xfId="676" xr:uid="{00000000-0005-0000-0000-0000D10F0000}"/>
    <cellStyle name="Normal 76 2" xfId="1317" xr:uid="{00000000-0005-0000-0000-0000D20F0000}"/>
    <cellStyle name="Normal 76 2 2" xfId="3269" xr:uid="{00000000-0005-0000-0000-0000D30F0000}"/>
    <cellStyle name="Normal 76 3" xfId="1943" xr:uid="{00000000-0005-0000-0000-0000D40F0000}"/>
    <cellStyle name="Normal 76 3 2" xfId="3894" xr:uid="{00000000-0005-0000-0000-0000D50F0000}"/>
    <cellStyle name="Normal 76 4" xfId="2634" xr:uid="{00000000-0005-0000-0000-0000D60F0000}"/>
    <cellStyle name="Normal 77" xfId="679" xr:uid="{00000000-0005-0000-0000-0000D70F0000}"/>
    <cellStyle name="Normal 77 2" xfId="1320" xr:uid="{00000000-0005-0000-0000-0000D80F0000}"/>
    <cellStyle name="Normal 77 2 2" xfId="3272" xr:uid="{00000000-0005-0000-0000-0000D90F0000}"/>
    <cellStyle name="Normal 77 3" xfId="1946" xr:uid="{00000000-0005-0000-0000-0000DA0F0000}"/>
    <cellStyle name="Normal 77 3 2" xfId="3897" xr:uid="{00000000-0005-0000-0000-0000DB0F0000}"/>
    <cellStyle name="Normal 77 4" xfId="2637" xr:uid="{00000000-0005-0000-0000-0000DC0F0000}"/>
    <cellStyle name="Normal 78" xfId="686" xr:uid="{00000000-0005-0000-0000-0000DD0F0000}"/>
    <cellStyle name="Normal 78 2" xfId="1324" xr:uid="{00000000-0005-0000-0000-0000DE0F0000}"/>
    <cellStyle name="Normal 78 2 2" xfId="3276" xr:uid="{00000000-0005-0000-0000-0000DF0F0000}"/>
    <cellStyle name="Normal 78 3" xfId="1949" xr:uid="{00000000-0005-0000-0000-0000E00F0000}"/>
    <cellStyle name="Normal 78 3 2" xfId="3900" xr:uid="{00000000-0005-0000-0000-0000E10F0000}"/>
    <cellStyle name="Normal 78 4" xfId="2640" xr:uid="{00000000-0005-0000-0000-0000E20F0000}"/>
    <cellStyle name="Normal 79" xfId="1965" xr:uid="{00000000-0005-0000-0000-0000E30F0000}"/>
    <cellStyle name="Normal 79 2" xfId="3915" xr:uid="{00000000-0005-0000-0000-0000E40F0000}"/>
    <cellStyle name="Normal 8" xfId="21" xr:uid="{00000000-0005-0000-0000-0000E50F0000}"/>
    <cellStyle name="Normal 80" xfId="1969" xr:uid="{00000000-0005-0000-0000-0000E60F0000}"/>
    <cellStyle name="Normal 80 2" xfId="3919" xr:uid="{00000000-0005-0000-0000-0000E70F0000}"/>
    <cellStyle name="Normal 81" xfId="3964" xr:uid="{00000000-0005-0000-0000-0000E80F0000}"/>
    <cellStyle name="Normal 82" xfId="3965" xr:uid="{00000000-0005-0000-0000-0000E90F0000}"/>
    <cellStyle name="Normal 83" xfId="3969" xr:uid="{00000000-0005-0000-0000-0000EA0F0000}"/>
    <cellStyle name="Normal 84" xfId="3970" xr:uid="{00000000-0005-0000-0000-0000EB0F0000}"/>
    <cellStyle name="Normal 85" xfId="3971" xr:uid="{00000000-0005-0000-0000-0000EC0F0000}"/>
    <cellStyle name="Normal 86" xfId="3974" xr:uid="{00000000-0005-0000-0000-0000ED0F0000}"/>
    <cellStyle name="Normal 87" xfId="3976" xr:uid="{00000000-0005-0000-0000-0000EE0F0000}"/>
    <cellStyle name="Normal 88" xfId="3977" xr:uid="{00000000-0005-0000-0000-0000EF0F0000}"/>
    <cellStyle name="Normal 89" xfId="3978" xr:uid="{00000000-0005-0000-0000-0000F00F0000}"/>
    <cellStyle name="Normal 9" xfId="24" xr:uid="{00000000-0005-0000-0000-0000F10F0000}"/>
    <cellStyle name="Normal 90" xfId="3979" xr:uid="{00000000-0005-0000-0000-0000F20F0000}"/>
    <cellStyle name="Normal 91" xfId="4021" xr:uid="{00000000-0005-0000-0000-0000F30F0000}"/>
    <cellStyle name="Normal 92" xfId="4022" xr:uid="{00000000-0005-0000-0000-0000F40F0000}"/>
    <cellStyle name="Normal 93" xfId="4026" xr:uid="{00000000-0005-0000-0000-0000F50F0000}"/>
    <cellStyle name="Normal 94" xfId="4030" xr:uid="{00000000-0005-0000-0000-0000F60F0000}"/>
    <cellStyle name="Normal 95" xfId="4031" xr:uid="{00000000-0005-0000-0000-0000F70F0000}"/>
    <cellStyle name="Normal 96" xfId="4033" xr:uid="{00000000-0005-0000-0000-0000F80F0000}"/>
    <cellStyle name="Normal 97" xfId="4034" xr:uid="{00000000-0005-0000-0000-0000F90F0000}"/>
    <cellStyle name="Normal 98" xfId="4037" xr:uid="{00000000-0005-0000-0000-0000FA0F0000}"/>
    <cellStyle name="Normal 99" xfId="4041" xr:uid="{00000000-0005-0000-0000-0000FB0F0000}"/>
    <cellStyle name="Notas" xfId="3994" builtinId="10" customBuiltin="1"/>
    <cellStyle name="Percent [2]" xfId="4071" xr:uid="{00000000-0005-0000-0000-0000FD0F0000}"/>
    <cellStyle name="Porcentaje" xfId="691" builtinId="5"/>
    <cellStyle name="Porcentaje 2" xfId="1328" xr:uid="{00000000-0005-0000-0000-0000FF0F0000}"/>
    <cellStyle name="Porcentaje 3" xfId="1953" xr:uid="{00000000-0005-0000-0000-000000100000}"/>
    <cellStyle name="Porcentaje 4" xfId="1971" xr:uid="{00000000-0005-0000-0000-000001100000}"/>
    <cellStyle name="Porcentaje 4 2" xfId="3921" xr:uid="{00000000-0005-0000-0000-000002100000}"/>
    <cellStyle name="Salida" xfId="3989" builtinId="21" customBuiltin="1"/>
    <cellStyle name="Texto de advertencia" xfId="3993" builtinId="11" customBuiltin="1"/>
    <cellStyle name="Texto explicativo" xfId="3995" builtinId="53" customBuiltin="1"/>
    <cellStyle name="Title" xfId="4072" xr:uid="{00000000-0005-0000-0000-000006100000}"/>
    <cellStyle name="Título" xfId="3980" builtinId="15" customBuiltin="1"/>
    <cellStyle name="Título 2" xfId="3982" builtinId="17" customBuiltin="1"/>
    <cellStyle name="Título 3" xfId="3983" builtinId="18" customBuiltin="1"/>
    <cellStyle name="Total" xfId="3996" builtinId="25" customBuiltin="1"/>
  </cellStyles>
  <dxfs count="894"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FFFF99"/>
        </patternFill>
      </fill>
    </dxf>
    <dxf>
      <fill>
        <patternFill>
          <bgColor rgb="FF9999FF"/>
        </patternFill>
      </fill>
    </dxf>
    <dxf>
      <fill>
        <patternFill>
          <bgColor rgb="FFFF0000"/>
        </patternFill>
      </fill>
    </dxf>
    <dxf>
      <fill>
        <patternFill>
          <bgColor rgb="FF00669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39997558519241921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indexed="64"/>
        </patternFill>
      </fill>
      <alignment horizontal="left" readingOrder="0"/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ont>
        <b/>
      </font>
      <fill>
        <patternFill patternType="solid">
          <fgColor indexed="64"/>
          <bgColor theme="4" tint="0.59999389629810485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/>
        <right/>
        <top/>
        <vertical/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-0.249977111117893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fgColor indexed="64"/>
          <bgColor theme="4" tint="0.59999389629810485"/>
        </patternFill>
      </fill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right style="medium">
          <color theme="4"/>
        </right>
      </border>
    </dxf>
    <dxf>
      <border>
        <right style="medium">
          <color theme="4"/>
        </right>
      </border>
    </dxf>
    <dxf>
      <border>
        <left style="medium">
          <color theme="4"/>
        </left>
        <right style="medium">
          <color theme="4"/>
        </right>
      </border>
    </dxf>
    <dxf>
      <font>
        <sz val="6"/>
      </font>
    </dxf>
    <dxf>
      <border>
        <left style="medium">
          <color theme="4" tint="0.39991454817346722"/>
        </left>
        <right style="medium">
          <color theme="4" tint="0.39991454817346722"/>
        </right>
        <top style="medium">
          <color theme="4" tint="0.39991454817346722"/>
        </top>
        <bottom style="medium">
          <color theme="4" tint="0.39991454817346722"/>
        </bottom>
      </border>
    </dxf>
    <dxf>
      <fill>
        <patternFill patternType="none">
          <fgColor indexed="64"/>
          <bgColor indexed="65"/>
        </patternFill>
      </fill>
    </dxf>
    <dxf>
      <font>
        <sz val="8"/>
      </font>
    </dxf>
    <dxf>
      <font>
        <sz val="8"/>
      </font>
    </dxf>
    <dxf>
      <font>
        <sz val="8"/>
      </font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sz val="10"/>
      </font>
    </dxf>
    <dxf>
      <font>
        <sz val="10"/>
      </font>
    </dxf>
    <dxf>
      <alignment vertical="center" readingOrder="0"/>
    </dxf>
    <dxf>
      <fill>
        <patternFill>
          <bgColor theme="4" tint="0.39997558519241921"/>
        </patternFill>
      </fill>
    </dxf>
    <dxf>
      <font>
        <sz val="9"/>
      </font>
    </dxf>
    <dxf>
      <font>
        <b/>
      </font>
    </dxf>
    <dxf>
      <font>
        <b/>
      </font>
    </dxf>
    <dxf>
      <font>
        <color theme="1"/>
      </font>
    </dxf>
    <dxf>
      <border>
        <right style="thin">
          <color theme="4" tint="0.39991454817346722"/>
        </right>
      </border>
    </dxf>
    <dxf>
      <border>
        <right style="thin">
          <color theme="4" tint="0.399914548173467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1454817346722"/>
        </left>
      </border>
    </dxf>
    <dxf>
      <border>
        <left style="thin">
          <color theme="4" tint="0.39991454817346722"/>
        </left>
      </border>
    </dxf>
    <dxf>
      <border>
        <left style="thin">
          <color theme="4" tint="0.39991454817346722"/>
        </lef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font>
        <b/>
      </font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fill>
        <patternFill patternType="solid">
          <bgColor theme="3" tint="0.59999389629810485"/>
        </patternFill>
      </fill>
    </dxf>
    <dxf>
      <font>
        <b/>
      </font>
    </dxf>
    <dxf>
      <font>
        <b/>
      </font>
    </dxf>
    <dxf>
      <alignment wrapText="1" readingOrder="0"/>
    </dxf>
    <dxf>
      <numFmt numFmtId="165" formatCode="_(&quot;$&quot;* #,##0.00_);_(&quot;$&quot;* \(#,##0.00\);_(&quot;$&quot;* &quot;-&quot;??_);_(@_)"/>
    </dxf>
    <dxf>
      <numFmt numFmtId="165" formatCode="_(&quot;$&quot;* #,##0.00_);_(&quot;$&quot;* \(#,##0.00\);_(&quot;$&quot;* &quot;-&quot;??_);_(@_)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ont>
        <b val="0"/>
        <i/>
      </font>
    </dxf>
    <dxf>
      <fill>
        <patternFill>
          <bgColor theme="7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79998168889431442"/>
        </patternFill>
      </fill>
    </dxf>
  </dxfs>
  <tableStyles count="5" defaultTableStyle="TableStyleMedium9" defaultPivotStyle="PivotStyleLight16">
    <tableStyle name="Estilo de tabla 1" pivot="0" count="0" xr9:uid="{00000000-0011-0000-FFFF-FFFF00000000}"/>
    <tableStyle name="Estilo de tabla 2" pivot="0" count="2" xr9:uid="{00000000-0011-0000-FFFF-FFFF01000000}">
      <tableStyleElement type="wholeTable" dxfId="893"/>
      <tableStyleElement type="firstColumnStripe" dxfId="892"/>
    </tableStyle>
    <tableStyle name="Estilo de tabla dinámica 1" table="0" count="1" xr9:uid="{00000000-0011-0000-FFFF-FFFF02000000}">
      <tableStyleElement type="wholeTable" dxfId="891"/>
    </tableStyle>
    <tableStyle name="Estilo de tabla dinámica 2" table="0" count="1" xr9:uid="{00000000-0011-0000-FFFF-FFFF03000000}">
      <tableStyleElement type="headerRow" dxfId="890"/>
    </tableStyle>
    <tableStyle name="Estilo de tabla dinámica 3" table="0" count="1" xr9:uid="{00000000-0011-0000-FFFF-FFFF04000000}">
      <tableStyleElement type="pageFieldLabels" dxfId="88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AEAEA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FFFF99"/>
      <color rgb="FFCC99FF"/>
      <color rgb="FF0066FF"/>
      <color rgb="FFFF1111"/>
      <color rgb="FFCCCCFF"/>
      <color rgb="FF66FF66"/>
      <color rgb="FF9999FF"/>
      <color rgb="FFE95849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245738</xdr:colOff>
      <xdr:row>0</xdr:row>
      <xdr:rowOff>238125</xdr:rowOff>
    </xdr:from>
    <xdr:ext cx="3126112" cy="822661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13" y="238125"/>
          <a:ext cx="3126112" cy="822661"/>
        </a:xfrm>
        <a:prstGeom prst="rect">
          <a:avLst/>
        </a:prstGeom>
      </xdr:spPr>
    </xdr:pic>
    <xdr:clientData/>
  </xdr:oneCellAnchor>
  <xdr:twoCellAnchor>
    <xdr:from>
      <xdr:col>3</xdr:col>
      <xdr:colOff>142876</xdr:colOff>
      <xdr:row>0</xdr:row>
      <xdr:rowOff>96524</xdr:rowOff>
    </xdr:from>
    <xdr:to>
      <xdr:col>3</xdr:col>
      <xdr:colOff>1371600</xdr:colOff>
      <xdr:row>4</xdr:row>
      <xdr:rowOff>76200</xdr:rowOff>
    </xdr:to>
    <xdr:pic>
      <xdr:nvPicPr>
        <xdr:cNvPr id="3" name="Picture 2" descr="logo fi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2326" y="96524"/>
          <a:ext cx="1228724" cy="865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1695449</xdr:colOff>
      <xdr:row>0</xdr:row>
      <xdr:rowOff>88131</xdr:rowOff>
    </xdr:from>
    <xdr:ext cx="1076326" cy="907791"/>
    <xdr:pic>
      <xdr:nvPicPr>
        <xdr:cNvPr id="4" name="Imagen 3" descr="https://encrypted-tbn0.gstatic.com/images?q=tbn:ANd9GcSEnv9x5kv5ETZQdqR0sYPbTjCXvxQeWeDZRJOb_OaI7coHFEl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899" y="88131"/>
          <a:ext cx="1076326" cy="90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10%20OCTUBRE/CTA%20PAGA%20CF%20CONTI%2004%20OCTUBRE%20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09%20SEPTIEMBRE/CTA%20PAGA%20CF%20CONTI%2024%20SEPTIEMBRE%20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09%20SEPTIEMBRE/CTA%20PAGA%20CF%20CONTI%2001%20OCTUBRE%20(30%20SEP)%20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10%20OCTUBRE/CTA%20PAGA%20CF%20CONTI%2002%20OCTUBRE%20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10%20OCTUBRE/CTA%20PAGA%20CF%20CONTI%2003%20OCTUBRE%20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BANCOMER/CTA%20PAGA%20BBVA/2019/10%20OCTUBRE/CUENTA%20PAGA%2001101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BANCOMER/CTA%20PAGA%20BBVA/2019/10%20OCTUBRE/CUENTA%20PAGA%20021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BANCOMER/CTA%20PAGA%20BBVA/2019/10%20OCTUBRE/CUENTA%20PAGA%2003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3%20ALFA%20ROMEO/2019/10%20OCTUBRE/CTA%20PAGA%20CF%20ALFA%20ROMEO%2004%20OCTUB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-Piso/Documents/PLAN%20PISO/FIVE/FINANCIAMIENTOS/Financiamientos%202019/07%20JULIO/SOLICITUD%20DE%20FINANCIAMIENTO%20FIVE%20BANAMEX%20CONTI%20%2031072019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FIVE/FINANCIAMIENTOS/Financiamientos%202019/09%20SEPTIEMBRE/SOLICITUD%20DE%20FINANCIAMIENTO%20FIVE%20BANAMEX%20CONTI%20%202509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BANCOMER/CTA%20PAGA%20BBVA/2019/10%20OCTUBRE/CUENTA%20PAGA%20041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-Piso/Documents/PLAN%20PISO/CF%20CREDIT/CTA%20PAGA%20CF%2001%20CONTINENTAL/2019/08%20AGOSTO/CTA%20PAGA%20CF%20CONTI%2016%20AGOSTO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08%20AGOSTO/CTA%20PAGA%20CF%20CONTI%2021%20AGOSTO%20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08%20AGOSTO/CTA%20PAGA%20CF%20CONTI%2028%20AGOSTO%20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-mit02/Documents/TRASPASO%20PLAN%20PISO/PLAN%20PISO/CF%20CREDIT/CTA%20PAGA%20CF%2001%20CONTINENTAL/2019/09%20SEPTIEMBRE/CTA%20PAGA%20CF%20CONTI%2012%20SEPTIEMB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LW130080</v>
          </cell>
          <cell r="H6">
            <v>709936.05</v>
          </cell>
          <cell r="I6">
            <v>709936.05</v>
          </cell>
        </row>
        <row r="7">
          <cell r="G7" t="str">
            <v>KW647290</v>
          </cell>
          <cell r="H7">
            <v>759475.89</v>
          </cell>
          <cell r="I7">
            <v>759475.89</v>
          </cell>
        </row>
        <row r="8">
          <cell r="G8" t="str">
            <v>LW125250</v>
          </cell>
          <cell r="H8">
            <v>853850.02</v>
          </cell>
          <cell r="I8">
            <v>853850.02</v>
          </cell>
        </row>
        <row r="9">
          <cell r="G9" t="str">
            <v>LW124442</v>
          </cell>
          <cell r="H9">
            <v>854954.25</v>
          </cell>
          <cell r="I9">
            <v>854954.25</v>
          </cell>
        </row>
        <row r="10">
          <cell r="G10" t="str">
            <v>LW117981</v>
          </cell>
          <cell r="H10">
            <v>825226.38</v>
          </cell>
          <cell r="I10">
            <v>825226.38</v>
          </cell>
        </row>
        <row r="11">
          <cell r="G11" t="str">
            <v>LW117988</v>
          </cell>
          <cell r="H11">
            <v>825226.38</v>
          </cell>
          <cell r="I11">
            <v>825226.38</v>
          </cell>
        </row>
        <row r="12">
          <cell r="G12" t="str">
            <v>KC805440</v>
          </cell>
          <cell r="H12">
            <v>721874.64</v>
          </cell>
          <cell r="I12">
            <v>721874.64</v>
          </cell>
        </row>
        <row r="13">
          <cell r="G13" t="str">
            <v>LC145191</v>
          </cell>
          <cell r="H13">
            <v>736501.96</v>
          </cell>
          <cell r="I13">
            <v>736501.96</v>
          </cell>
        </row>
        <row r="14">
          <cell r="G14" t="str">
            <v>LC145189</v>
          </cell>
          <cell r="H14">
            <v>736501.96</v>
          </cell>
          <cell r="I14">
            <v>736501.96</v>
          </cell>
        </row>
        <row r="15">
          <cell r="G15" t="str">
            <v>LC145192</v>
          </cell>
          <cell r="H15">
            <v>736501.96</v>
          </cell>
          <cell r="I15">
            <v>736501.96</v>
          </cell>
        </row>
        <row r="16">
          <cell r="G16" t="str">
            <v>LC113704</v>
          </cell>
          <cell r="H16">
            <v>736501.96</v>
          </cell>
          <cell r="I16">
            <v>736501.96</v>
          </cell>
        </row>
        <row r="17">
          <cell r="G17" t="str">
            <v>LC145190</v>
          </cell>
          <cell r="H17">
            <v>736501.96</v>
          </cell>
          <cell r="I17">
            <v>736501.96</v>
          </cell>
        </row>
        <row r="18">
          <cell r="G18" t="str">
            <v>LC105790</v>
          </cell>
          <cell r="H18">
            <v>797720.99</v>
          </cell>
          <cell r="I18">
            <v>797720.99</v>
          </cell>
        </row>
        <row r="19">
          <cell r="G19" t="str">
            <v>LN139761</v>
          </cell>
          <cell r="H19">
            <v>1067218.17</v>
          </cell>
          <cell r="I19">
            <v>1067218.17</v>
          </cell>
        </row>
        <row r="20">
          <cell r="G20" t="str">
            <v>KR748589</v>
          </cell>
          <cell r="H20">
            <v>491760.21</v>
          </cell>
          <cell r="I20">
            <v>491760.21</v>
          </cell>
        </row>
        <row r="21">
          <cell r="G21" t="str">
            <v>KR757415</v>
          </cell>
          <cell r="H21">
            <v>547903.27</v>
          </cell>
          <cell r="I21">
            <v>547903.27</v>
          </cell>
        </row>
        <row r="22">
          <cell r="G22" t="str">
            <v>KT819926</v>
          </cell>
          <cell r="H22">
            <v>494559.95</v>
          </cell>
          <cell r="I22">
            <v>494559.95</v>
          </cell>
        </row>
        <row r="23">
          <cell r="G23" t="str">
            <v>LT110446</v>
          </cell>
          <cell r="H23">
            <v>546853.94999999995</v>
          </cell>
          <cell r="I23">
            <v>546853.94999999995</v>
          </cell>
        </row>
        <row r="24">
          <cell r="G24" t="str">
            <v>KT832340</v>
          </cell>
          <cell r="H24">
            <v>531490.48</v>
          </cell>
          <cell r="I24">
            <v>531490.48</v>
          </cell>
        </row>
        <row r="25">
          <cell r="G25" t="str">
            <v>LT110447</v>
          </cell>
          <cell r="H25">
            <v>546853.94999999995</v>
          </cell>
          <cell r="I25">
            <v>546853.94999999995</v>
          </cell>
        </row>
        <row r="26">
          <cell r="G26" t="str">
            <v>KT832341</v>
          </cell>
          <cell r="H26">
            <v>531490.48</v>
          </cell>
          <cell r="I26">
            <v>531490.48</v>
          </cell>
        </row>
        <row r="27">
          <cell r="G27" t="str">
            <v>KT757832</v>
          </cell>
          <cell r="H27">
            <v>451062.43</v>
          </cell>
          <cell r="I27">
            <v>451062.43</v>
          </cell>
        </row>
        <row r="28">
          <cell r="G28" t="str">
            <v>KG572493</v>
          </cell>
          <cell r="H28">
            <v>515180.59</v>
          </cell>
          <cell r="I28">
            <v>515180.59</v>
          </cell>
        </row>
        <row r="29">
          <cell r="G29" t="str">
            <v>KG575667</v>
          </cell>
          <cell r="H29">
            <v>515180.59</v>
          </cell>
          <cell r="I29">
            <v>515180.59</v>
          </cell>
        </row>
        <row r="30">
          <cell r="G30" t="str">
            <v>KG575670</v>
          </cell>
          <cell r="H30">
            <v>515180.59</v>
          </cell>
          <cell r="I30">
            <v>515180.59</v>
          </cell>
        </row>
        <row r="31">
          <cell r="G31" t="str">
            <v>KG575684</v>
          </cell>
          <cell r="H31">
            <v>515180.59</v>
          </cell>
          <cell r="I31">
            <v>515180.59</v>
          </cell>
        </row>
        <row r="32">
          <cell r="G32" t="str">
            <v>KG575698</v>
          </cell>
          <cell r="H32">
            <v>519421.09</v>
          </cell>
          <cell r="I32">
            <v>519421.09</v>
          </cell>
        </row>
        <row r="33">
          <cell r="G33" t="str">
            <v>KG575720</v>
          </cell>
          <cell r="H33">
            <v>515180.59</v>
          </cell>
          <cell r="I33">
            <v>515180.59</v>
          </cell>
        </row>
        <row r="34">
          <cell r="G34" t="str">
            <v>KG575533</v>
          </cell>
          <cell r="H34">
            <v>515180.59</v>
          </cell>
          <cell r="I34">
            <v>515180.59</v>
          </cell>
        </row>
        <row r="35">
          <cell r="G35" t="str">
            <v>KG575726</v>
          </cell>
          <cell r="H35">
            <v>515180.59</v>
          </cell>
          <cell r="I35">
            <v>515180.59</v>
          </cell>
        </row>
        <row r="36">
          <cell r="G36" t="str">
            <v>KG572513</v>
          </cell>
          <cell r="H36">
            <v>515180.59</v>
          </cell>
          <cell r="I36">
            <v>515180.59</v>
          </cell>
        </row>
        <row r="37">
          <cell r="G37" t="str">
            <v>KG575458</v>
          </cell>
          <cell r="H37">
            <v>515180.59</v>
          </cell>
          <cell r="I37">
            <v>515180.59</v>
          </cell>
        </row>
        <row r="38">
          <cell r="G38" t="str">
            <v>KG575511</v>
          </cell>
          <cell r="H38">
            <v>515180.59</v>
          </cell>
          <cell r="I38">
            <v>515180.59</v>
          </cell>
        </row>
        <row r="39">
          <cell r="G39" t="str">
            <v>KG575556</v>
          </cell>
          <cell r="H39">
            <v>515180.59</v>
          </cell>
          <cell r="I39">
            <v>515180.59</v>
          </cell>
        </row>
        <row r="40">
          <cell r="G40" t="str">
            <v>KG575637</v>
          </cell>
          <cell r="H40">
            <v>515180.59</v>
          </cell>
          <cell r="I40">
            <v>515180.59</v>
          </cell>
        </row>
        <row r="41">
          <cell r="G41" t="str">
            <v>KG575671</v>
          </cell>
          <cell r="H41">
            <v>515180.59</v>
          </cell>
          <cell r="I41">
            <v>515180.59</v>
          </cell>
        </row>
        <row r="42">
          <cell r="G42" t="str">
            <v>KG575704</v>
          </cell>
          <cell r="H42">
            <v>519421.09</v>
          </cell>
          <cell r="I42">
            <v>519421.09</v>
          </cell>
        </row>
        <row r="43">
          <cell r="G43" t="str">
            <v>KG575718</v>
          </cell>
          <cell r="H43">
            <v>515180.59</v>
          </cell>
          <cell r="I43">
            <v>515180.59</v>
          </cell>
        </row>
        <row r="44">
          <cell r="G44" t="str">
            <v>KG575721</v>
          </cell>
          <cell r="H44">
            <v>515180.59</v>
          </cell>
          <cell r="I44">
            <v>515180.59</v>
          </cell>
        </row>
        <row r="45">
          <cell r="G45" t="str">
            <v>KG572486</v>
          </cell>
          <cell r="H45">
            <v>515180.59</v>
          </cell>
          <cell r="I45">
            <v>515180.59</v>
          </cell>
        </row>
        <row r="46">
          <cell r="G46" t="str">
            <v>KG575632</v>
          </cell>
          <cell r="H46">
            <v>515180.59</v>
          </cell>
          <cell r="I46">
            <v>515180.59</v>
          </cell>
        </row>
        <row r="47">
          <cell r="G47" t="str">
            <v>KG575694</v>
          </cell>
          <cell r="H47">
            <v>515180.59</v>
          </cell>
          <cell r="I47">
            <v>515180.59</v>
          </cell>
        </row>
        <row r="48">
          <cell r="G48" t="str">
            <v>KG575713</v>
          </cell>
          <cell r="H48">
            <v>515180.59</v>
          </cell>
          <cell r="I48">
            <v>515180.59</v>
          </cell>
        </row>
        <row r="49">
          <cell r="G49" t="str">
            <v>KG575727</v>
          </cell>
          <cell r="H49">
            <v>515180.59</v>
          </cell>
          <cell r="I49">
            <v>515180.59</v>
          </cell>
        </row>
        <row r="50">
          <cell r="G50" t="str">
            <v>KG575428</v>
          </cell>
          <cell r="H50">
            <v>515180.59</v>
          </cell>
          <cell r="I50">
            <v>515180.59</v>
          </cell>
        </row>
        <row r="51">
          <cell r="G51" t="str">
            <v>KG575722</v>
          </cell>
          <cell r="H51">
            <v>515180.59</v>
          </cell>
          <cell r="I51">
            <v>515180.59</v>
          </cell>
        </row>
        <row r="52">
          <cell r="G52" t="str">
            <v>KG575736</v>
          </cell>
          <cell r="H52">
            <v>515180.59</v>
          </cell>
          <cell r="I52">
            <v>515180.59</v>
          </cell>
        </row>
        <row r="53">
          <cell r="G53" t="str">
            <v>KG575731</v>
          </cell>
          <cell r="H53">
            <v>515180.59</v>
          </cell>
          <cell r="I53">
            <v>515180.59</v>
          </cell>
        </row>
        <row r="54">
          <cell r="G54" t="str">
            <v>KG575639</v>
          </cell>
          <cell r="H54">
            <v>515180.59</v>
          </cell>
          <cell r="I54">
            <v>515180.59</v>
          </cell>
        </row>
        <row r="55">
          <cell r="G55" t="str">
            <v>KG575690</v>
          </cell>
          <cell r="H55">
            <v>515180.59</v>
          </cell>
          <cell r="I55">
            <v>515180.59</v>
          </cell>
        </row>
        <row r="56">
          <cell r="G56" t="str">
            <v>KG575706</v>
          </cell>
          <cell r="H56">
            <v>515180.59</v>
          </cell>
          <cell r="I56">
            <v>515180.59</v>
          </cell>
        </row>
        <row r="57">
          <cell r="G57" t="str">
            <v>KG575723</v>
          </cell>
          <cell r="H57">
            <v>515180.59</v>
          </cell>
          <cell r="I57">
            <v>515180.59</v>
          </cell>
        </row>
        <row r="58">
          <cell r="G58" t="str">
            <v>KG575696</v>
          </cell>
          <cell r="H58">
            <v>515180.59</v>
          </cell>
          <cell r="I58">
            <v>515180.59</v>
          </cell>
        </row>
        <row r="59">
          <cell r="G59" t="str">
            <v>KG575701</v>
          </cell>
          <cell r="H59">
            <v>515180.59</v>
          </cell>
          <cell r="I59">
            <v>515180.59</v>
          </cell>
        </row>
        <row r="60">
          <cell r="G60" t="str">
            <v>KG528855</v>
          </cell>
          <cell r="H60">
            <v>508395.1</v>
          </cell>
          <cell r="I60">
            <v>457395.1</v>
          </cell>
        </row>
        <row r="61">
          <cell r="G61" t="str">
            <v>KG528905</v>
          </cell>
          <cell r="H61">
            <v>508395.1</v>
          </cell>
          <cell r="I61">
            <v>457395.1</v>
          </cell>
        </row>
        <row r="62">
          <cell r="G62" t="str">
            <v>KG528936</v>
          </cell>
          <cell r="H62">
            <v>508395.1</v>
          </cell>
          <cell r="I62">
            <v>457395.1</v>
          </cell>
        </row>
        <row r="63">
          <cell r="G63" t="str">
            <v>KG528970</v>
          </cell>
          <cell r="H63">
            <v>508395.1</v>
          </cell>
          <cell r="I63">
            <v>457395.1</v>
          </cell>
        </row>
        <row r="64">
          <cell r="G64" t="str">
            <v>KG575514</v>
          </cell>
          <cell r="H64">
            <v>515180.59</v>
          </cell>
          <cell r="I64">
            <v>515180.59</v>
          </cell>
        </row>
        <row r="65">
          <cell r="G65" t="str">
            <v>KG575643</v>
          </cell>
          <cell r="H65">
            <v>515180.59</v>
          </cell>
          <cell r="I65">
            <v>515180.59</v>
          </cell>
        </row>
        <row r="66">
          <cell r="G66" t="str">
            <v>KG575707</v>
          </cell>
          <cell r="H66">
            <v>515180.59</v>
          </cell>
          <cell r="I66">
            <v>515180.59</v>
          </cell>
        </row>
        <row r="67">
          <cell r="G67" t="str">
            <v>KG575724</v>
          </cell>
          <cell r="H67">
            <v>515180.59</v>
          </cell>
          <cell r="I67">
            <v>515180.59</v>
          </cell>
        </row>
        <row r="68">
          <cell r="G68" t="str">
            <v>KG528735</v>
          </cell>
          <cell r="H68">
            <v>508395.1</v>
          </cell>
          <cell r="I68">
            <v>457395.1</v>
          </cell>
        </row>
        <row r="69">
          <cell r="G69" t="str">
            <v>KG572511</v>
          </cell>
          <cell r="H69">
            <v>515180.59</v>
          </cell>
          <cell r="I69">
            <v>515180.59</v>
          </cell>
        </row>
        <row r="70">
          <cell r="G70" t="str">
            <v>KG575487</v>
          </cell>
          <cell r="H70">
            <v>515180.59</v>
          </cell>
          <cell r="I70">
            <v>515180.59</v>
          </cell>
        </row>
        <row r="71">
          <cell r="G71" t="str">
            <v>KG575649</v>
          </cell>
          <cell r="H71">
            <v>515180.59</v>
          </cell>
          <cell r="I71">
            <v>515180.59</v>
          </cell>
        </row>
        <row r="72">
          <cell r="G72" t="str">
            <v>KG575666</v>
          </cell>
          <cell r="H72">
            <v>515180.59</v>
          </cell>
          <cell r="I72">
            <v>515180.59</v>
          </cell>
        </row>
        <row r="73">
          <cell r="G73" t="str">
            <v>KG575697</v>
          </cell>
          <cell r="H73">
            <v>519421.09</v>
          </cell>
          <cell r="I73">
            <v>519421.09</v>
          </cell>
        </row>
        <row r="74">
          <cell r="G74" t="str">
            <v>KG575702</v>
          </cell>
          <cell r="H74">
            <v>515180.59</v>
          </cell>
          <cell r="I74">
            <v>515180.59</v>
          </cell>
        </row>
        <row r="75">
          <cell r="G75" t="str">
            <v>KG528730</v>
          </cell>
          <cell r="H75">
            <v>508395.1</v>
          </cell>
          <cell r="I75">
            <v>457395.1</v>
          </cell>
        </row>
        <row r="76">
          <cell r="G76" t="str">
            <v>KG575515</v>
          </cell>
          <cell r="H76">
            <v>515180.59</v>
          </cell>
          <cell r="I76">
            <v>515180.59</v>
          </cell>
        </row>
        <row r="77">
          <cell r="G77" t="str">
            <v>KG575708</v>
          </cell>
          <cell r="H77">
            <v>515180.59</v>
          </cell>
          <cell r="I77">
            <v>515180.59</v>
          </cell>
        </row>
        <row r="78">
          <cell r="G78" t="str">
            <v>KG575711</v>
          </cell>
          <cell r="H78">
            <v>515180.59</v>
          </cell>
          <cell r="I78">
            <v>515180.59</v>
          </cell>
        </row>
        <row r="79">
          <cell r="G79" t="str">
            <v>KG575725</v>
          </cell>
          <cell r="H79">
            <v>515180.59</v>
          </cell>
          <cell r="I79">
            <v>515180.59</v>
          </cell>
        </row>
        <row r="80">
          <cell r="G80" t="str">
            <v>KG657953</v>
          </cell>
          <cell r="H80">
            <v>496518.43</v>
          </cell>
          <cell r="I80">
            <v>496518.43</v>
          </cell>
        </row>
        <row r="81">
          <cell r="G81" t="str">
            <v>KG657954</v>
          </cell>
          <cell r="H81">
            <v>496518.43</v>
          </cell>
          <cell r="I81">
            <v>496518.43</v>
          </cell>
        </row>
        <row r="82">
          <cell r="G82" t="str">
            <v>KG651791</v>
          </cell>
          <cell r="H82">
            <v>496518.43</v>
          </cell>
          <cell r="I82">
            <v>496518.43</v>
          </cell>
        </row>
        <row r="83">
          <cell r="G83" t="str">
            <v>KG651792</v>
          </cell>
          <cell r="H83">
            <v>496518.43</v>
          </cell>
          <cell r="I83">
            <v>496518.43</v>
          </cell>
        </row>
        <row r="84">
          <cell r="G84" t="str">
            <v>KG657952</v>
          </cell>
          <cell r="H84">
            <v>496518.43</v>
          </cell>
          <cell r="I84">
            <v>496518.43</v>
          </cell>
        </row>
        <row r="85">
          <cell r="G85" t="str">
            <v>KG557702</v>
          </cell>
          <cell r="H85">
            <v>518903.44</v>
          </cell>
          <cell r="I85">
            <v>518903.44</v>
          </cell>
        </row>
        <row r="86">
          <cell r="G86" t="str">
            <v>KG594340</v>
          </cell>
          <cell r="H86">
            <v>509107.35</v>
          </cell>
          <cell r="I86">
            <v>509107.35</v>
          </cell>
        </row>
        <row r="87">
          <cell r="G87" t="str">
            <v>KG557703</v>
          </cell>
          <cell r="H87">
            <v>518903.44</v>
          </cell>
          <cell r="I87">
            <v>518903.44</v>
          </cell>
        </row>
        <row r="88">
          <cell r="G88" t="str">
            <v>KG575795</v>
          </cell>
          <cell r="H88">
            <v>509107.35</v>
          </cell>
          <cell r="I88">
            <v>509107.35</v>
          </cell>
        </row>
        <row r="89">
          <cell r="G89" t="str">
            <v>KG595957</v>
          </cell>
          <cell r="H89">
            <v>509107.35</v>
          </cell>
          <cell r="I89">
            <v>509107.35</v>
          </cell>
        </row>
        <row r="90">
          <cell r="G90" t="str">
            <v>KG575796</v>
          </cell>
          <cell r="H90">
            <v>524706.86</v>
          </cell>
          <cell r="I90">
            <v>524706.86</v>
          </cell>
        </row>
        <row r="91">
          <cell r="G91" t="str">
            <v>KG561566</v>
          </cell>
          <cell r="H91">
            <v>518903.44</v>
          </cell>
          <cell r="I91">
            <v>518903.44</v>
          </cell>
        </row>
        <row r="92">
          <cell r="G92" t="str">
            <v>KG575788</v>
          </cell>
          <cell r="H92">
            <v>509107.35</v>
          </cell>
          <cell r="I92">
            <v>509107.35</v>
          </cell>
        </row>
        <row r="93">
          <cell r="G93" t="str">
            <v>KG575791</v>
          </cell>
          <cell r="H93">
            <v>509107.35</v>
          </cell>
          <cell r="I93">
            <v>509107.35</v>
          </cell>
        </row>
        <row r="94">
          <cell r="G94" t="str">
            <v>KG585902</v>
          </cell>
          <cell r="H94">
            <v>509107.35</v>
          </cell>
          <cell r="I94">
            <v>509107.35</v>
          </cell>
        </row>
        <row r="95">
          <cell r="G95" t="str">
            <v>KG575797</v>
          </cell>
          <cell r="H95">
            <v>524706.86</v>
          </cell>
          <cell r="I95">
            <v>524706.86</v>
          </cell>
        </row>
        <row r="96">
          <cell r="G96" t="str">
            <v>KG557700</v>
          </cell>
          <cell r="H96">
            <v>518903.44</v>
          </cell>
          <cell r="I96">
            <v>518903.44</v>
          </cell>
        </row>
        <row r="97">
          <cell r="G97" t="str">
            <v>KG568874</v>
          </cell>
          <cell r="H97">
            <v>518903.44</v>
          </cell>
          <cell r="I97">
            <v>518903.44</v>
          </cell>
        </row>
        <row r="98">
          <cell r="G98" t="str">
            <v>KG575792</v>
          </cell>
          <cell r="H98">
            <v>509107.35</v>
          </cell>
          <cell r="I98">
            <v>509107.35</v>
          </cell>
        </row>
        <row r="99">
          <cell r="G99" t="str">
            <v>KG557701</v>
          </cell>
          <cell r="H99">
            <v>518903.44</v>
          </cell>
          <cell r="I99">
            <v>518903.44</v>
          </cell>
        </row>
        <row r="100">
          <cell r="G100" t="str">
            <v>KG575793</v>
          </cell>
          <cell r="H100">
            <v>509107.35</v>
          </cell>
          <cell r="I100">
            <v>509107.35</v>
          </cell>
        </row>
        <row r="101">
          <cell r="G101" t="str">
            <v>KG603124</v>
          </cell>
          <cell r="H101">
            <v>671255.17</v>
          </cell>
          <cell r="I101">
            <v>671255.17</v>
          </cell>
        </row>
        <row r="102">
          <cell r="G102" t="str">
            <v>KG603125</v>
          </cell>
          <cell r="H102">
            <v>671255.17</v>
          </cell>
          <cell r="I102">
            <v>671255.17</v>
          </cell>
        </row>
        <row r="103">
          <cell r="G103" t="str">
            <v>LK274923</v>
          </cell>
          <cell r="H103">
            <v>437222.68</v>
          </cell>
          <cell r="I103">
            <v>437222.68</v>
          </cell>
        </row>
        <row r="104">
          <cell r="G104" t="str">
            <v>L0871158</v>
          </cell>
          <cell r="H104">
            <v>199230.56</v>
          </cell>
          <cell r="I104">
            <v>199230.56</v>
          </cell>
        </row>
        <row r="105">
          <cell r="G105" t="str">
            <v>L0874571</v>
          </cell>
          <cell r="H105">
            <v>199230.56</v>
          </cell>
          <cell r="I105">
            <v>199230.56</v>
          </cell>
        </row>
        <row r="106">
          <cell r="G106" t="str">
            <v>L0874621</v>
          </cell>
          <cell r="H106">
            <v>199230.56</v>
          </cell>
          <cell r="I106">
            <v>199230.56</v>
          </cell>
        </row>
        <row r="107">
          <cell r="G107" t="str">
            <v>L0870757</v>
          </cell>
          <cell r="H107">
            <v>213180.72</v>
          </cell>
          <cell r="I107">
            <v>213180.72</v>
          </cell>
        </row>
        <row r="108">
          <cell r="G108" t="str">
            <v>L0868578</v>
          </cell>
          <cell r="H108">
            <v>213180.72</v>
          </cell>
          <cell r="I108">
            <v>213180.72</v>
          </cell>
        </row>
        <row r="109">
          <cell r="G109" t="str">
            <v>L0868617</v>
          </cell>
          <cell r="H109">
            <v>213180.72</v>
          </cell>
          <cell r="I109">
            <v>213180.72</v>
          </cell>
        </row>
        <row r="110">
          <cell r="G110" t="str">
            <v>L0870761</v>
          </cell>
          <cell r="H110">
            <v>221279.84</v>
          </cell>
          <cell r="I110">
            <v>221279.84</v>
          </cell>
        </row>
        <row r="111">
          <cell r="G111" t="str">
            <v>K0865148</v>
          </cell>
          <cell r="H111">
            <v>216330.12</v>
          </cell>
          <cell r="I111">
            <v>216330.12</v>
          </cell>
        </row>
        <row r="112">
          <cell r="G112" t="str">
            <v>L0868441</v>
          </cell>
          <cell r="H112">
            <v>221279.84</v>
          </cell>
          <cell r="I112">
            <v>221279.84</v>
          </cell>
        </row>
        <row r="113">
          <cell r="G113" t="str">
            <v>L0870481</v>
          </cell>
          <cell r="H113">
            <v>221279.84</v>
          </cell>
          <cell r="I113">
            <v>221279.84</v>
          </cell>
        </row>
        <row r="114">
          <cell r="G114" t="str">
            <v>L0870495</v>
          </cell>
          <cell r="H114">
            <v>221279.84</v>
          </cell>
          <cell r="I114">
            <v>221279.84</v>
          </cell>
        </row>
        <row r="115">
          <cell r="G115" t="str">
            <v>L0871616</v>
          </cell>
          <cell r="H115">
            <v>221279.84</v>
          </cell>
          <cell r="I115">
            <v>221279.84</v>
          </cell>
        </row>
        <row r="116">
          <cell r="G116" t="str">
            <v>L9140008</v>
          </cell>
          <cell r="H116">
            <v>226510.79</v>
          </cell>
          <cell r="I116">
            <v>226510.79</v>
          </cell>
        </row>
        <row r="117">
          <cell r="G117" t="str">
            <v>L9140092</v>
          </cell>
          <cell r="H117">
            <v>226510.79</v>
          </cell>
          <cell r="I117">
            <v>226510.79</v>
          </cell>
        </row>
        <row r="118">
          <cell r="G118" t="str">
            <v>L9139887</v>
          </cell>
          <cell r="H118">
            <v>226510.79</v>
          </cell>
          <cell r="I118">
            <v>226510.79</v>
          </cell>
        </row>
        <row r="119">
          <cell r="G119" t="str">
            <v>L9136854</v>
          </cell>
          <cell r="H119">
            <v>226510.79</v>
          </cell>
          <cell r="I119">
            <v>226510.79</v>
          </cell>
        </row>
        <row r="120">
          <cell r="G120" t="str">
            <v>LY633205</v>
          </cell>
          <cell r="H120">
            <v>185513.56</v>
          </cell>
          <cell r="I120">
            <v>185513.56</v>
          </cell>
        </row>
        <row r="121">
          <cell r="G121" t="str">
            <v>LY354507</v>
          </cell>
          <cell r="H121">
            <v>231014.2</v>
          </cell>
          <cell r="I121">
            <v>231014.2</v>
          </cell>
        </row>
        <row r="122">
          <cell r="G122" t="str">
            <v>LY361456</v>
          </cell>
          <cell r="H122">
            <v>231014.2</v>
          </cell>
          <cell r="I122">
            <v>231014.2</v>
          </cell>
        </row>
        <row r="123">
          <cell r="G123" t="str">
            <v>LY357280</v>
          </cell>
          <cell r="H123">
            <v>231014.2</v>
          </cell>
          <cell r="I123">
            <v>231014.2</v>
          </cell>
        </row>
        <row r="124">
          <cell r="G124" t="str">
            <v>LY362219</v>
          </cell>
          <cell r="H124">
            <v>231014.2</v>
          </cell>
          <cell r="I124">
            <v>231014.2</v>
          </cell>
        </row>
        <row r="125">
          <cell r="G125" t="str">
            <v>LY363354</v>
          </cell>
          <cell r="H125">
            <v>231014.2</v>
          </cell>
          <cell r="I125">
            <v>231014.2</v>
          </cell>
        </row>
        <row r="126">
          <cell r="G126" t="str">
            <v>LY357319</v>
          </cell>
          <cell r="H126">
            <v>231014.2</v>
          </cell>
          <cell r="I126">
            <v>231014.2</v>
          </cell>
        </row>
        <row r="127">
          <cell r="G127" t="str">
            <v>LY361726</v>
          </cell>
          <cell r="H127">
            <v>231014.2</v>
          </cell>
          <cell r="I127">
            <v>231014.2</v>
          </cell>
        </row>
        <row r="128">
          <cell r="G128" t="str">
            <v>LY354560</v>
          </cell>
          <cell r="H128">
            <v>231014.2</v>
          </cell>
          <cell r="I128">
            <v>231014.2</v>
          </cell>
        </row>
        <row r="129">
          <cell r="G129" t="str">
            <v>LY362223</v>
          </cell>
          <cell r="H129">
            <v>231014.2</v>
          </cell>
          <cell r="I129">
            <v>231014.2</v>
          </cell>
        </row>
        <row r="130">
          <cell r="G130" t="str">
            <v>LY363307</v>
          </cell>
          <cell r="H130">
            <v>231014.2</v>
          </cell>
          <cell r="I130">
            <v>231014.2</v>
          </cell>
        </row>
        <row r="131">
          <cell r="G131" t="str">
            <v>LY354480</v>
          </cell>
          <cell r="H131">
            <v>231014.2</v>
          </cell>
          <cell r="I131">
            <v>231014.2</v>
          </cell>
        </row>
        <row r="132">
          <cell r="G132" t="str">
            <v>LY361731</v>
          </cell>
          <cell r="H132">
            <v>231014.2</v>
          </cell>
          <cell r="I132">
            <v>231014.2</v>
          </cell>
        </row>
        <row r="133">
          <cell r="G133" t="str">
            <v>LY356974</v>
          </cell>
          <cell r="H133">
            <v>231014.2</v>
          </cell>
          <cell r="I133">
            <v>231014.2</v>
          </cell>
        </row>
        <row r="134">
          <cell r="G134" t="str">
            <v>LY362547</v>
          </cell>
          <cell r="H134">
            <v>231014.2</v>
          </cell>
          <cell r="I134">
            <v>231014.2</v>
          </cell>
        </row>
        <row r="135">
          <cell r="G135" t="str">
            <v>LY363150</v>
          </cell>
          <cell r="H135">
            <v>231014.2</v>
          </cell>
          <cell r="I135">
            <v>231014.2</v>
          </cell>
        </row>
        <row r="136">
          <cell r="G136" t="str">
            <v>KJ000791</v>
          </cell>
          <cell r="H136">
            <v>561584.46</v>
          </cell>
          <cell r="I136">
            <v>561584.46</v>
          </cell>
        </row>
        <row r="137">
          <cell r="G137" t="str">
            <v>KJ000764</v>
          </cell>
          <cell r="H137">
            <v>561584.46</v>
          </cell>
          <cell r="I137">
            <v>561584.46</v>
          </cell>
        </row>
        <row r="138">
          <cell r="G138" t="str">
            <v>KJ000773</v>
          </cell>
          <cell r="H138">
            <v>561584.46</v>
          </cell>
          <cell r="I138">
            <v>561584.46</v>
          </cell>
        </row>
        <row r="139">
          <cell r="G139" t="str">
            <v>KH006771</v>
          </cell>
          <cell r="H139">
            <v>195996.94</v>
          </cell>
          <cell r="I139">
            <v>195996.94</v>
          </cell>
        </row>
        <row r="140">
          <cell r="G140" t="str">
            <v>KH008570</v>
          </cell>
          <cell r="H140">
            <v>195996.94</v>
          </cell>
          <cell r="I140">
            <v>195996.94</v>
          </cell>
        </row>
        <row r="141">
          <cell r="G141" t="str">
            <v>LH000938</v>
          </cell>
          <cell r="H141">
            <v>218761.71</v>
          </cell>
          <cell r="I141">
            <v>218761.71</v>
          </cell>
        </row>
        <row r="142">
          <cell r="G142" t="str">
            <v>KH009078</v>
          </cell>
          <cell r="H142">
            <v>195996.94</v>
          </cell>
          <cell r="I142">
            <v>195996.94</v>
          </cell>
        </row>
        <row r="143">
          <cell r="G143" t="str">
            <v>KH009405</v>
          </cell>
          <cell r="H143">
            <v>195996.94</v>
          </cell>
          <cell r="I143">
            <v>195996.94</v>
          </cell>
        </row>
        <row r="144">
          <cell r="G144" t="str">
            <v>KH008571</v>
          </cell>
          <cell r="H144">
            <v>195996.94</v>
          </cell>
          <cell r="I144">
            <v>195996.94</v>
          </cell>
        </row>
        <row r="145">
          <cell r="G145" t="str">
            <v>KH009090</v>
          </cell>
          <cell r="H145">
            <v>195996.94</v>
          </cell>
          <cell r="I145">
            <v>195996.94</v>
          </cell>
        </row>
        <row r="146">
          <cell r="G146" t="str">
            <v>KH009079</v>
          </cell>
          <cell r="H146">
            <v>195996.94</v>
          </cell>
          <cell r="I146">
            <v>195996.94</v>
          </cell>
        </row>
        <row r="147">
          <cell r="G147" t="str">
            <v>LH000870</v>
          </cell>
          <cell r="H147">
            <v>218761.71</v>
          </cell>
          <cell r="I147">
            <v>218761.71</v>
          </cell>
        </row>
        <row r="148">
          <cell r="G148" t="str">
            <v>KH008054</v>
          </cell>
          <cell r="H148">
            <v>195996.94</v>
          </cell>
          <cell r="I148">
            <v>195996.94</v>
          </cell>
        </row>
        <row r="149">
          <cell r="G149" t="str">
            <v>KH008569</v>
          </cell>
          <cell r="H149">
            <v>195996.94</v>
          </cell>
          <cell r="I149">
            <v>195996.94</v>
          </cell>
        </row>
        <row r="150">
          <cell r="G150" t="str">
            <v>KH008572</v>
          </cell>
          <cell r="H150">
            <v>195996.94</v>
          </cell>
          <cell r="I150">
            <v>195996.94</v>
          </cell>
        </row>
        <row r="151">
          <cell r="G151" t="str">
            <v>KH009088</v>
          </cell>
          <cell r="H151">
            <v>195996.94</v>
          </cell>
          <cell r="I151">
            <v>195996.94</v>
          </cell>
        </row>
        <row r="152">
          <cell r="G152" t="str">
            <v>KH009401</v>
          </cell>
          <cell r="H152">
            <v>195996.94</v>
          </cell>
          <cell r="I152">
            <v>195996.94</v>
          </cell>
        </row>
        <row r="153">
          <cell r="G153" t="str">
            <v>KH009527</v>
          </cell>
          <cell r="H153">
            <v>195996.94</v>
          </cell>
          <cell r="I153">
            <v>195996.94</v>
          </cell>
        </row>
        <row r="154">
          <cell r="G154" t="str">
            <v>KH009530</v>
          </cell>
          <cell r="H154">
            <v>195996.94</v>
          </cell>
          <cell r="I154">
            <v>195996.94</v>
          </cell>
        </row>
        <row r="155">
          <cell r="G155" t="str">
            <v>LH000912</v>
          </cell>
          <cell r="H155">
            <v>218761.71</v>
          </cell>
          <cell r="I155">
            <v>218761.71</v>
          </cell>
        </row>
        <row r="156">
          <cell r="G156" t="str">
            <v>KH008547</v>
          </cell>
          <cell r="H156">
            <v>195996.94</v>
          </cell>
          <cell r="I156">
            <v>195996.94</v>
          </cell>
        </row>
        <row r="157">
          <cell r="G157" t="str">
            <v>KH008550</v>
          </cell>
          <cell r="H157">
            <v>195996.94</v>
          </cell>
          <cell r="I157">
            <v>195996.94</v>
          </cell>
        </row>
        <row r="158">
          <cell r="G158" t="str">
            <v>KH008573</v>
          </cell>
          <cell r="H158">
            <v>195996.94</v>
          </cell>
          <cell r="I158">
            <v>195996.94</v>
          </cell>
        </row>
        <row r="159">
          <cell r="G159" t="str">
            <v>KH009075</v>
          </cell>
          <cell r="H159">
            <v>195996.94</v>
          </cell>
          <cell r="I159">
            <v>195996.94</v>
          </cell>
        </row>
        <row r="160">
          <cell r="G160" t="str">
            <v>KH009089</v>
          </cell>
          <cell r="H160">
            <v>195996.94</v>
          </cell>
          <cell r="I160">
            <v>195996.94</v>
          </cell>
        </row>
        <row r="161">
          <cell r="G161" t="str">
            <v>KH009402</v>
          </cell>
          <cell r="H161">
            <v>195996.94</v>
          </cell>
          <cell r="I161">
            <v>195996.94</v>
          </cell>
        </row>
        <row r="162">
          <cell r="G162" t="str">
            <v>KH009447</v>
          </cell>
          <cell r="H162">
            <v>195996.94</v>
          </cell>
          <cell r="I162">
            <v>195996.94</v>
          </cell>
        </row>
        <row r="163">
          <cell r="G163" t="str">
            <v>KH009528</v>
          </cell>
          <cell r="H163">
            <v>195996.94</v>
          </cell>
          <cell r="I163">
            <v>195996.94</v>
          </cell>
        </row>
        <row r="164">
          <cell r="G164" t="str">
            <v>KH009531</v>
          </cell>
          <cell r="H164">
            <v>195996.94</v>
          </cell>
          <cell r="I164">
            <v>195996.94</v>
          </cell>
        </row>
        <row r="165">
          <cell r="G165" t="str">
            <v>KH008274</v>
          </cell>
          <cell r="H165">
            <v>195996.94</v>
          </cell>
          <cell r="I165">
            <v>195996.94</v>
          </cell>
        </row>
        <row r="166">
          <cell r="G166" t="str">
            <v>KH008548</v>
          </cell>
          <cell r="H166">
            <v>195996.94</v>
          </cell>
          <cell r="I166">
            <v>195996.94</v>
          </cell>
        </row>
        <row r="167">
          <cell r="G167" t="str">
            <v>KH008713</v>
          </cell>
          <cell r="H167">
            <v>195996.94</v>
          </cell>
          <cell r="I167">
            <v>195996.94</v>
          </cell>
        </row>
        <row r="168">
          <cell r="G168" t="str">
            <v>KH009831</v>
          </cell>
          <cell r="H168">
            <v>214208.06</v>
          </cell>
          <cell r="I168">
            <v>214208.06</v>
          </cell>
        </row>
        <row r="169">
          <cell r="G169" t="str">
            <v>KH005741</v>
          </cell>
          <cell r="H169">
            <v>195996.94</v>
          </cell>
          <cell r="I169">
            <v>195996.94</v>
          </cell>
        </row>
        <row r="170">
          <cell r="G170" t="str">
            <v>KH008574</v>
          </cell>
          <cell r="H170">
            <v>195996.94</v>
          </cell>
          <cell r="I170">
            <v>195996.94</v>
          </cell>
        </row>
        <row r="171">
          <cell r="G171" t="str">
            <v>KH008719</v>
          </cell>
          <cell r="H171">
            <v>195996.94</v>
          </cell>
          <cell r="I171">
            <v>195996.94</v>
          </cell>
        </row>
        <row r="172">
          <cell r="G172" t="str">
            <v>KH009076</v>
          </cell>
          <cell r="H172">
            <v>195996.94</v>
          </cell>
          <cell r="I172">
            <v>195996.94</v>
          </cell>
        </row>
        <row r="173">
          <cell r="G173" t="str">
            <v>KH009403</v>
          </cell>
          <cell r="H173">
            <v>195996.94</v>
          </cell>
          <cell r="I173">
            <v>195996.94</v>
          </cell>
        </row>
        <row r="174">
          <cell r="G174" t="str">
            <v>KH009529</v>
          </cell>
          <cell r="H174">
            <v>195996.94</v>
          </cell>
          <cell r="I174">
            <v>195996.94</v>
          </cell>
        </row>
        <row r="175">
          <cell r="G175" t="str">
            <v>KH009532</v>
          </cell>
          <cell r="H175">
            <v>195996.94</v>
          </cell>
          <cell r="I175">
            <v>195996.94</v>
          </cell>
        </row>
        <row r="176">
          <cell r="G176" t="str">
            <v>KH008549</v>
          </cell>
          <cell r="H176">
            <v>195996.94</v>
          </cell>
          <cell r="I176">
            <v>195996.94</v>
          </cell>
        </row>
        <row r="177">
          <cell r="G177" t="str">
            <v>KH009832</v>
          </cell>
          <cell r="H177">
            <v>214208.06</v>
          </cell>
          <cell r="I177">
            <v>214208.06</v>
          </cell>
        </row>
        <row r="178">
          <cell r="G178" t="str">
            <v>LH000307</v>
          </cell>
          <cell r="H178">
            <v>218761.71</v>
          </cell>
          <cell r="I178">
            <v>218761.71</v>
          </cell>
        </row>
        <row r="179">
          <cell r="G179" t="str">
            <v>KH009077</v>
          </cell>
          <cell r="H179">
            <v>195996.94</v>
          </cell>
          <cell r="I179">
            <v>195996.94</v>
          </cell>
        </row>
        <row r="180">
          <cell r="G180" t="str">
            <v>KH009404</v>
          </cell>
          <cell r="H180">
            <v>195996.94</v>
          </cell>
          <cell r="I180">
            <v>195996.94</v>
          </cell>
        </row>
        <row r="181">
          <cell r="G181" t="str">
            <v>LH001711</v>
          </cell>
          <cell r="H181">
            <v>218761.71</v>
          </cell>
          <cell r="I181">
            <v>218761.71</v>
          </cell>
        </row>
        <row r="182">
          <cell r="G182" t="str">
            <v>LH000299</v>
          </cell>
          <cell r="H182">
            <v>241526.48</v>
          </cell>
          <cell r="I182">
            <v>241526.48</v>
          </cell>
        </row>
        <row r="183">
          <cell r="G183" t="str">
            <v>LH001826</v>
          </cell>
          <cell r="H183">
            <v>241526.48</v>
          </cell>
          <cell r="I183">
            <v>241526.48</v>
          </cell>
        </row>
        <row r="184">
          <cell r="G184" t="str">
            <v>LH001571</v>
          </cell>
          <cell r="H184">
            <v>241526.48</v>
          </cell>
          <cell r="I184">
            <v>241526.48</v>
          </cell>
        </row>
        <row r="185">
          <cell r="G185" t="str">
            <v>LH002057</v>
          </cell>
          <cell r="H185">
            <v>241526.48</v>
          </cell>
          <cell r="I185">
            <v>241526.48</v>
          </cell>
        </row>
        <row r="186">
          <cell r="G186" t="str">
            <v>LH001676</v>
          </cell>
          <cell r="H186">
            <v>241526.48</v>
          </cell>
          <cell r="I186">
            <v>241526.48</v>
          </cell>
        </row>
        <row r="187">
          <cell r="G187" t="str">
            <v>L6P01688</v>
          </cell>
          <cell r="H187">
            <v>239527.2</v>
          </cell>
          <cell r="I187">
            <v>239527.2</v>
          </cell>
        </row>
        <row r="188">
          <cell r="G188" t="str">
            <v>182</v>
          </cell>
          <cell r="I188">
            <v>73020145.230000049</v>
          </cell>
        </row>
        <row r="189">
          <cell r="G189" t="str">
            <v/>
          </cell>
        </row>
        <row r="190">
          <cell r="G190" t="str">
            <v>HW610542</v>
          </cell>
          <cell r="H190">
            <v>260000</v>
          </cell>
          <cell r="I190">
            <v>260000</v>
          </cell>
        </row>
        <row r="191">
          <cell r="G191" t="str">
            <v>FC816080</v>
          </cell>
          <cell r="H191">
            <v>232000</v>
          </cell>
          <cell r="I191">
            <v>232000</v>
          </cell>
        </row>
        <row r="192">
          <cell r="G192" t="str">
            <v>FC807585</v>
          </cell>
          <cell r="H192">
            <v>348000</v>
          </cell>
          <cell r="I192">
            <v>348000</v>
          </cell>
        </row>
        <row r="193">
          <cell r="G193" t="str">
            <v>FJ130321</v>
          </cell>
          <cell r="H193">
            <v>237200</v>
          </cell>
          <cell r="I193">
            <v>237200</v>
          </cell>
        </row>
        <row r="194">
          <cell r="G194" t="str">
            <v>GN760112</v>
          </cell>
          <cell r="H194">
            <v>238080</v>
          </cell>
          <cell r="I194">
            <v>119040</v>
          </cell>
        </row>
        <row r="195">
          <cell r="G195" t="str">
            <v>GT128635</v>
          </cell>
          <cell r="H195">
            <v>144000</v>
          </cell>
          <cell r="I195">
            <v>144000</v>
          </cell>
        </row>
        <row r="196">
          <cell r="G196" t="str">
            <v>HT551906</v>
          </cell>
          <cell r="H196">
            <v>185600</v>
          </cell>
          <cell r="I196">
            <v>185600</v>
          </cell>
        </row>
        <row r="197">
          <cell r="G197" t="str">
            <v>JT328554</v>
          </cell>
          <cell r="H197">
            <v>249200</v>
          </cell>
          <cell r="I197">
            <v>124600</v>
          </cell>
        </row>
        <row r="198">
          <cell r="G198" t="str">
            <v>HG544916</v>
          </cell>
          <cell r="H198">
            <v>248000</v>
          </cell>
          <cell r="I198">
            <v>248000</v>
          </cell>
        </row>
        <row r="199">
          <cell r="G199" t="str">
            <v>GG246503</v>
          </cell>
          <cell r="H199">
            <v>311840</v>
          </cell>
          <cell r="I199">
            <v>176720</v>
          </cell>
        </row>
        <row r="200">
          <cell r="G200" t="str">
            <v>HR242907</v>
          </cell>
          <cell r="H200">
            <v>229280</v>
          </cell>
          <cell r="I200">
            <v>114640</v>
          </cell>
        </row>
        <row r="201">
          <cell r="G201" t="str">
            <v>JS583141</v>
          </cell>
          <cell r="H201">
            <v>161120</v>
          </cell>
          <cell r="I201">
            <v>161120</v>
          </cell>
        </row>
        <row r="202">
          <cell r="G202" t="str">
            <v>GS588984</v>
          </cell>
          <cell r="H202">
            <v>106400</v>
          </cell>
          <cell r="I202">
            <v>106400</v>
          </cell>
        </row>
        <row r="203">
          <cell r="G203" t="str">
            <v>JE001920</v>
          </cell>
          <cell r="H203">
            <v>162560</v>
          </cell>
          <cell r="I203">
            <v>81280</v>
          </cell>
        </row>
        <row r="204">
          <cell r="G204" t="str">
            <v>FM279550</v>
          </cell>
          <cell r="H204">
            <v>120800</v>
          </cell>
          <cell r="I204">
            <v>60400</v>
          </cell>
        </row>
        <row r="205">
          <cell r="G205" t="str">
            <v>G0770325</v>
          </cell>
          <cell r="H205">
            <v>86640</v>
          </cell>
          <cell r="I205">
            <v>86640</v>
          </cell>
        </row>
        <row r="206">
          <cell r="G206" t="str">
            <v>H3328337</v>
          </cell>
          <cell r="H206">
            <v>76320</v>
          </cell>
          <cell r="I206">
            <v>76320</v>
          </cell>
        </row>
        <row r="207">
          <cell r="G207" t="str">
            <v>J7508740</v>
          </cell>
          <cell r="H207">
            <v>177200</v>
          </cell>
          <cell r="I207">
            <v>177200</v>
          </cell>
        </row>
        <row r="208">
          <cell r="G208" t="str">
            <v>JD126442</v>
          </cell>
          <cell r="H208">
            <v>105520</v>
          </cell>
          <cell r="I208">
            <v>105520</v>
          </cell>
        </row>
        <row r="209">
          <cell r="G209" t="str">
            <v>HM189248</v>
          </cell>
          <cell r="H209">
            <v>84560</v>
          </cell>
          <cell r="I209">
            <v>84560</v>
          </cell>
        </row>
        <row r="210">
          <cell r="G210" t="str">
            <v>GH000591</v>
          </cell>
          <cell r="H210">
            <v>77920</v>
          </cell>
          <cell r="I210">
            <v>77920</v>
          </cell>
        </row>
        <row r="211">
          <cell r="G211" t="str">
            <v>JK147373</v>
          </cell>
          <cell r="H211">
            <v>227760</v>
          </cell>
          <cell r="I211">
            <v>227760</v>
          </cell>
        </row>
        <row r="212">
          <cell r="G212" t="str">
            <v>FE057053</v>
          </cell>
          <cell r="H212">
            <v>127680</v>
          </cell>
          <cell r="I212">
            <v>127680</v>
          </cell>
        </row>
        <row r="213">
          <cell r="G213" t="str">
            <v>GX047828</v>
          </cell>
          <cell r="H213">
            <v>168480</v>
          </cell>
          <cell r="I213">
            <v>168480</v>
          </cell>
        </row>
        <row r="214">
          <cell r="G214" t="str">
            <v>GD681780</v>
          </cell>
          <cell r="H214">
            <v>176720</v>
          </cell>
          <cell r="I214">
            <v>176720</v>
          </cell>
        </row>
        <row r="215">
          <cell r="G215" t="str">
            <v>HT527870</v>
          </cell>
          <cell r="H215">
            <v>208880</v>
          </cell>
          <cell r="I215">
            <v>208880</v>
          </cell>
        </row>
        <row r="216">
          <cell r="G216" t="str">
            <v>HT551489</v>
          </cell>
          <cell r="H216">
            <v>236080</v>
          </cell>
          <cell r="I216">
            <v>236080</v>
          </cell>
        </row>
        <row r="217">
          <cell r="G217" t="str">
            <v>GC441949</v>
          </cell>
          <cell r="H217">
            <v>325520</v>
          </cell>
          <cell r="I217">
            <v>325520</v>
          </cell>
        </row>
        <row r="218">
          <cell r="G218" t="str">
            <v>HH006296</v>
          </cell>
          <cell r="H218">
            <v>92000</v>
          </cell>
          <cell r="I218">
            <v>92000</v>
          </cell>
        </row>
        <row r="219">
          <cell r="G219" t="str">
            <v>GX047740</v>
          </cell>
          <cell r="H219">
            <v>140800</v>
          </cell>
          <cell r="I219">
            <v>140800</v>
          </cell>
        </row>
        <row r="220">
          <cell r="G220" t="str">
            <v>30</v>
          </cell>
          <cell r="I220">
            <v>4911080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H6">
            <v>135120</v>
          </cell>
          <cell r="I6">
            <v>-135120</v>
          </cell>
        </row>
        <row r="7">
          <cell r="G7" t="str">
            <v>KW674025</v>
          </cell>
          <cell r="H7">
            <v>694932.47</v>
          </cell>
          <cell r="I7">
            <v>694932.47</v>
          </cell>
        </row>
        <row r="8">
          <cell r="G8" t="str">
            <v>LW130080</v>
          </cell>
          <cell r="H8">
            <v>709936.05</v>
          </cell>
          <cell r="I8">
            <v>709936.05</v>
          </cell>
        </row>
        <row r="9">
          <cell r="G9" t="str">
            <v>LW117981</v>
          </cell>
          <cell r="H9">
            <v>825226.38</v>
          </cell>
          <cell r="I9">
            <v>825226.38</v>
          </cell>
        </row>
        <row r="10">
          <cell r="G10" t="str">
            <v>LW117960</v>
          </cell>
          <cell r="H10">
            <v>825226.38</v>
          </cell>
          <cell r="I10">
            <v>825226.38</v>
          </cell>
        </row>
        <row r="11">
          <cell r="G11" t="str">
            <v>LW117988</v>
          </cell>
          <cell r="H11">
            <v>825226.38</v>
          </cell>
          <cell r="I11">
            <v>825226.38</v>
          </cell>
        </row>
        <row r="12">
          <cell r="G12" t="str">
            <v>LC113704</v>
          </cell>
          <cell r="H12">
            <v>736501.96</v>
          </cell>
          <cell r="I12">
            <v>736501.96</v>
          </cell>
        </row>
        <row r="13">
          <cell r="G13" t="str">
            <v>KC774843</v>
          </cell>
          <cell r="H13">
            <v>1518340.17</v>
          </cell>
          <cell r="I13">
            <v>1518340.17</v>
          </cell>
        </row>
        <row r="14">
          <cell r="G14" t="str">
            <v>LC105790</v>
          </cell>
          <cell r="H14">
            <v>797720.99</v>
          </cell>
          <cell r="I14">
            <v>797720.99</v>
          </cell>
        </row>
        <row r="15">
          <cell r="G15" t="str">
            <v>KR758133</v>
          </cell>
          <cell r="H15">
            <v>491760.21</v>
          </cell>
          <cell r="I15">
            <v>491760.21</v>
          </cell>
        </row>
        <row r="16">
          <cell r="G16" t="str">
            <v>KR748589</v>
          </cell>
          <cell r="H16">
            <v>491760.21</v>
          </cell>
          <cell r="I16">
            <v>491760.21</v>
          </cell>
        </row>
        <row r="17">
          <cell r="G17" t="str">
            <v>LT110449</v>
          </cell>
          <cell r="H17">
            <v>546853.94999999995</v>
          </cell>
          <cell r="I17">
            <v>546853.94999999995</v>
          </cell>
        </row>
        <row r="18">
          <cell r="G18" t="str">
            <v>LT110446</v>
          </cell>
          <cell r="H18">
            <v>546853.94999999995</v>
          </cell>
          <cell r="I18">
            <v>546853.94999999995</v>
          </cell>
        </row>
        <row r="19">
          <cell r="G19" t="str">
            <v>LT110447</v>
          </cell>
          <cell r="H19">
            <v>546853.94999999995</v>
          </cell>
          <cell r="I19">
            <v>546853.94999999995</v>
          </cell>
        </row>
        <row r="20">
          <cell r="G20" t="str">
            <v>LT110448</v>
          </cell>
          <cell r="H20">
            <v>546853.94999999995</v>
          </cell>
          <cell r="I20">
            <v>546853.94999999995</v>
          </cell>
        </row>
        <row r="21">
          <cell r="G21" t="str">
            <v>KG572493</v>
          </cell>
          <cell r="H21">
            <v>515180.59</v>
          </cell>
          <cell r="I21">
            <v>515180.59</v>
          </cell>
        </row>
        <row r="22">
          <cell r="G22" t="str">
            <v>KG575667</v>
          </cell>
          <cell r="H22">
            <v>515180.59</v>
          </cell>
          <cell r="I22">
            <v>515180.59</v>
          </cell>
        </row>
        <row r="23">
          <cell r="G23" t="str">
            <v>KG575670</v>
          </cell>
          <cell r="H23">
            <v>515180.59</v>
          </cell>
          <cell r="I23">
            <v>515180.59</v>
          </cell>
        </row>
        <row r="24">
          <cell r="G24" t="str">
            <v>KG575684</v>
          </cell>
          <cell r="H24">
            <v>515180.59</v>
          </cell>
          <cell r="I24">
            <v>515180.59</v>
          </cell>
        </row>
        <row r="25">
          <cell r="G25" t="str">
            <v>KG575698</v>
          </cell>
          <cell r="H25">
            <v>519421.09</v>
          </cell>
          <cell r="I25">
            <v>519421.09</v>
          </cell>
        </row>
        <row r="26">
          <cell r="G26" t="str">
            <v>KG575720</v>
          </cell>
          <cell r="H26">
            <v>515180.59</v>
          </cell>
          <cell r="I26">
            <v>515180.59</v>
          </cell>
        </row>
        <row r="27">
          <cell r="G27" t="str">
            <v>KG575533</v>
          </cell>
          <cell r="H27">
            <v>515180.59</v>
          </cell>
          <cell r="I27">
            <v>515180.59</v>
          </cell>
        </row>
        <row r="28">
          <cell r="G28" t="str">
            <v>KG575726</v>
          </cell>
          <cell r="H28">
            <v>515180.59</v>
          </cell>
          <cell r="I28">
            <v>515180.59</v>
          </cell>
        </row>
        <row r="29">
          <cell r="G29" t="str">
            <v>KG572513</v>
          </cell>
          <cell r="H29">
            <v>515180.59</v>
          </cell>
          <cell r="I29">
            <v>515180.59</v>
          </cell>
        </row>
        <row r="30">
          <cell r="G30" t="str">
            <v>KG575458</v>
          </cell>
          <cell r="H30">
            <v>515180.59</v>
          </cell>
          <cell r="I30">
            <v>515180.59</v>
          </cell>
        </row>
        <row r="31">
          <cell r="G31" t="str">
            <v>KG575511</v>
          </cell>
          <cell r="H31">
            <v>515180.59</v>
          </cell>
          <cell r="I31">
            <v>515180.59</v>
          </cell>
        </row>
        <row r="32">
          <cell r="G32" t="str">
            <v>KG575556</v>
          </cell>
          <cell r="H32">
            <v>515180.59</v>
          </cell>
          <cell r="I32">
            <v>515180.59</v>
          </cell>
        </row>
        <row r="33">
          <cell r="G33" t="str">
            <v>KG575637</v>
          </cell>
          <cell r="H33">
            <v>515180.59</v>
          </cell>
          <cell r="I33">
            <v>515180.59</v>
          </cell>
        </row>
        <row r="34">
          <cell r="G34" t="str">
            <v>KG575671</v>
          </cell>
          <cell r="H34">
            <v>515180.59</v>
          </cell>
          <cell r="I34">
            <v>515180.59</v>
          </cell>
        </row>
        <row r="35">
          <cell r="G35" t="str">
            <v>KG575704</v>
          </cell>
          <cell r="H35">
            <v>519421.09</v>
          </cell>
          <cell r="I35">
            <v>519421.09</v>
          </cell>
        </row>
        <row r="36">
          <cell r="G36" t="str">
            <v>KG575718</v>
          </cell>
          <cell r="H36">
            <v>515180.59</v>
          </cell>
          <cell r="I36">
            <v>515180.59</v>
          </cell>
        </row>
        <row r="37">
          <cell r="G37" t="str">
            <v>KG575721</v>
          </cell>
          <cell r="H37">
            <v>515180.59</v>
          </cell>
          <cell r="I37">
            <v>515180.59</v>
          </cell>
        </row>
        <row r="38">
          <cell r="G38" t="str">
            <v>KG572486</v>
          </cell>
          <cell r="H38">
            <v>515180.59</v>
          </cell>
          <cell r="I38">
            <v>515180.59</v>
          </cell>
        </row>
        <row r="39">
          <cell r="G39" t="str">
            <v>KG575632</v>
          </cell>
          <cell r="H39">
            <v>515180.59</v>
          </cell>
          <cell r="I39">
            <v>515180.59</v>
          </cell>
        </row>
        <row r="40">
          <cell r="G40" t="str">
            <v>KG575694</v>
          </cell>
          <cell r="H40">
            <v>515180.59</v>
          </cell>
          <cell r="I40">
            <v>515180.59</v>
          </cell>
        </row>
        <row r="41">
          <cell r="G41" t="str">
            <v>KG575713</v>
          </cell>
          <cell r="H41">
            <v>515180.59</v>
          </cell>
          <cell r="I41">
            <v>515180.59</v>
          </cell>
        </row>
        <row r="42">
          <cell r="G42" t="str">
            <v>KG575727</v>
          </cell>
          <cell r="H42">
            <v>515180.59</v>
          </cell>
          <cell r="I42">
            <v>515180.59</v>
          </cell>
        </row>
        <row r="43">
          <cell r="G43" t="str">
            <v>KG575428</v>
          </cell>
          <cell r="H43">
            <v>515180.59</v>
          </cell>
          <cell r="I43">
            <v>515180.59</v>
          </cell>
        </row>
        <row r="44">
          <cell r="G44" t="str">
            <v>KG575722</v>
          </cell>
          <cell r="H44">
            <v>515180.59</v>
          </cell>
          <cell r="I44">
            <v>515180.59</v>
          </cell>
        </row>
        <row r="45">
          <cell r="G45" t="str">
            <v>KG575736</v>
          </cell>
          <cell r="H45">
            <v>515180.59</v>
          </cell>
          <cell r="I45">
            <v>515180.59</v>
          </cell>
        </row>
        <row r="46">
          <cell r="G46" t="str">
            <v>KG575731</v>
          </cell>
          <cell r="H46">
            <v>515180.59</v>
          </cell>
          <cell r="I46">
            <v>515180.59</v>
          </cell>
        </row>
        <row r="47">
          <cell r="G47" t="str">
            <v>KG575639</v>
          </cell>
          <cell r="H47">
            <v>515180.59</v>
          </cell>
          <cell r="I47">
            <v>515180.59</v>
          </cell>
        </row>
        <row r="48">
          <cell r="G48" t="str">
            <v>KG575690</v>
          </cell>
          <cell r="H48">
            <v>515180.59</v>
          </cell>
          <cell r="I48">
            <v>515180.59</v>
          </cell>
        </row>
        <row r="49">
          <cell r="G49" t="str">
            <v>KG575706</v>
          </cell>
          <cell r="H49">
            <v>515180.59</v>
          </cell>
          <cell r="I49">
            <v>515180.59</v>
          </cell>
        </row>
        <row r="50">
          <cell r="G50" t="str">
            <v>KG575723</v>
          </cell>
          <cell r="H50">
            <v>515180.59</v>
          </cell>
          <cell r="I50">
            <v>515180.59</v>
          </cell>
        </row>
        <row r="51">
          <cell r="G51" t="str">
            <v>KG575696</v>
          </cell>
          <cell r="H51">
            <v>515180.59</v>
          </cell>
          <cell r="I51">
            <v>515180.59</v>
          </cell>
        </row>
        <row r="52">
          <cell r="G52" t="str">
            <v>KG575701</v>
          </cell>
          <cell r="H52">
            <v>515180.59</v>
          </cell>
          <cell r="I52">
            <v>515180.59</v>
          </cell>
        </row>
        <row r="53">
          <cell r="G53" t="str">
            <v>KG528855</v>
          </cell>
          <cell r="H53">
            <v>508395.1</v>
          </cell>
          <cell r="I53">
            <v>457395.1</v>
          </cell>
        </row>
        <row r="54">
          <cell r="G54" t="str">
            <v>KG528905</v>
          </cell>
          <cell r="H54">
            <v>508395.1</v>
          </cell>
          <cell r="I54">
            <v>457395.1</v>
          </cell>
        </row>
        <row r="55">
          <cell r="G55" t="str">
            <v>KG528936</v>
          </cell>
          <cell r="H55">
            <v>508395.1</v>
          </cell>
          <cell r="I55">
            <v>457395.1</v>
          </cell>
        </row>
        <row r="56">
          <cell r="G56" t="str">
            <v>KG528970</v>
          </cell>
          <cell r="H56">
            <v>508395.1</v>
          </cell>
          <cell r="I56">
            <v>457395.1</v>
          </cell>
        </row>
        <row r="57">
          <cell r="G57" t="str">
            <v>KG575514</v>
          </cell>
          <cell r="H57">
            <v>515180.59</v>
          </cell>
          <cell r="I57">
            <v>515180.59</v>
          </cell>
        </row>
        <row r="58">
          <cell r="G58" t="str">
            <v>KG575643</v>
          </cell>
          <cell r="H58">
            <v>515180.59</v>
          </cell>
          <cell r="I58">
            <v>515180.59</v>
          </cell>
        </row>
        <row r="59">
          <cell r="G59" t="str">
            <v>KG575707</v>
          </cell>
          <cell r="H59">
            <v>515180.59</v>
          </cell>
          <cell r="I59">
            <v>515180.59</v>
          </cell>
        </row>
        <row r="60">
          <cell r="G60" t="str">
            <v>KG575724</v>
          </cell>
          <cell r="H60">
            <v>515180.59</v>
          </cell>
          <cell r="I60">
            <v>515180.59</v>
          </cell>
        </row>
        <row r="61">
          <cell r="G61" t="str">
            <v>KG528735</v>
          </cell>
          <cell r="H61">
            <v>508395.1</v>
          </cell>
          <cell r="I61">
            <v>457395.1</v>
          </cell>
        </row>
        <row r="62">
          <cell r="G62" t="str">
            <v>KG572511</v>
          </cell>
          <cell r="H62">
            <v>515180.59</v>
          </cell>
          <cell r="I62">
            <v>515180.59</v>
          </cell>
        </row>
        <row r="63">
          <cell r="G63" t="str">
            <v>KG575487</v>
          </cell>
          <cell r="H63">
            <v>515180.59</v>
          </cell>
          <cell r="I63">
            <v>515180.59</v>
          </cell>
        </row>
        <row r="64">
          <cell r="G64" t="str">
            <v>KG575649</v>
          </cell>
          <cell r="H64">
            <v>515180.59</v>
          </cell>
          <cell r="I64">
            <v>515180.59</v>
          </cell>
        </row>
        <row r="65">
          <cell r="G65" t="str">
            <v>KG575666</v>
          </cell>
          <cell r="H65">
            <v>515180.59</v>
          </cell>
          <cell r="I65">
            <v>515180.59</v>
          </cell>
        </row>
        <row r="66">
          <cell r="G66" t="str">
            <v>KG575697</v>
          </cell>
          <cell r="H66">
            <v>519421.09</v>
          </cell>
          <cell r="I66">
            <v>519421.09</v>
          </cell>
        </row>
        <row r="67">
          <cell r="G67" t="str">
            <v>KG575702</v>
          </cell>
          <cell r="H67">
            <v>515180.59</v>
          </cell>
          <cell r="I67">
            <v>515180.59</v>
          </cell>
        </row>
        <row r="68">
          <cell r="G68" t="str">
            <v>KG528730</v>
          </cell>
          <cell r="H68">
            <v>508395.1</v>
          </cell>
          <cell r="I68">
            <v>457395.1</v>
          </cell>
        </row>
        <row r="69">
          <cell r="G69" t="str">
            <v>KG575515</v>
          </cell>
          <cell r="H69">
            <v>515180.59</v>
          </cell>
          <cell r="I69">
            <v>515180.59</v>
          </cell>
        </row>
        <row r="70">
          <cell r="G70" t="str">
            <v>KG575708</v>
          </cell>
          <cell r="H70">
            <v>515180.59</v>
          </cell>
          <cell r="I70">
            <v>515180.59</v>
          </cell>
        </row>
        <row r="71">
          <cell r="G71" t="str">
            <v>KG575711</v>
          </cell>
          <cell r="H71">
            <v>515180.59</v>
          </cell>
          <cell r="I71">
            <v>515180.59</v>
          </cell>
        </row>
        <row r="72">
          <cell r="G72" t="str">
            <v>KG575725</v>
          </cell>
          <cell r="H72">
            <v>515180.59</v>
          </cell>
          <cell r="I72">
            <v>515180.59</v>
          </cell>
        </row>
        <row r="73">
          <cell r="G73" t="str">
            <v>KG594257</v>
          </cell>
          <cell r="H73">
            <v>519421.09</v>
          </cell>
          <cell r="I73">
            <v>519421.09</v>
          </cell>
        </row>
        <row r="74">
          <cell r="G74" t="str">
            <v>KG657953</v>
          </cell>
          <cell r="H74">
            <v>496518.43</v>
          </cell>
          <cell r="I74">
            <v>496518.43</v>
          </cell>
        </row>
        <row r="75">
          <cell r="G75" t="str">
            <v>KG657954</v>
          </cell>
          <cell r="H75">
            <v>496518.43</v>
          </cell>
          <cell r="I75">
            <v>496518.43</v>
          </cell>
        </row>
        <row r="76">
          <cell r="G76" t="str">
            <v>KG651791</v>
          </cell>
          <cell r="H76">
            <v>496518.43</v>
          </cell>
          <cell r="I76">
            <v>496518.43</v>
          </cell>
        </row>
        <row r="77">
          <cell r="G77" t="str">
            <v>KG651792</v>
          </cell>
          <cell r="H77">
            <v>496518.43</v>
          </cell>
          <cell r="I77">
            <v>496518.43</v>
          </cell>
        </row>
        <row r="78">
          <cell r="G78" t="str">
            <v>KG657952</v>
          </cell>
          <cell r="H78">
            <v>496518.43</v>
          </cell>
          <cell r="I78">
            <v>496518.43</v>
          </cell>
        </row>
        <row r="79">
          <cell r="G79" t="str">
            <v>KG557702</v>
          </cell>
          <cell r="H79">
            <v>518903.44</v>
          </cell>
          <cell r="I79">
            <v>518903.44</v>
          </cell>
        </row>
        <row r="80">
          <cell r="G80" t="str">
            <v>KG594340</v>
          </cell>
          <cell r="H80">
            <v>509107.35</v>
          </cell>
          <cell r="I80">
            <v>509107.35</v>
          </cell>
        </row>
        <row r="81">
          <cell r="G81" t="str">
            <v>KG557703</v>
          </cell>
          <cell r="H81">
            <v>518903.44</v>
          </cell>
          <cell r="I81">
            <v>518903.44</v>
          </cell>
        </row>
        <row r="82">
          <cell r="G82" t="str">
            <v>KG575795</v>
          </cell>
          <cell r="H82">
            <v>509107.35</v>
          </cell>
          <cell r="I82">
            <v>509107.35</v>
          </cell>
        </row>
        <row r="83">
          <cell r="G83" t="str">
            <v>KG595957</v>
          </cell>
          <cell r="H83">
            <v>509107.35</v>
          </cell>
          <cell r="I83">
            <v>509107.35</v>
          </cell>
        </row>
        <row r="84">
          <cell r="G84" t="str">
            <v>KG575796</v>
          </cell>
          <cell r="H84">
            <v>524706.86</v>
          </cell>
          <cell r="I84">
            <v>524706.86</v>
          </cell>
        </row>
        <row r="85">
          <cell r="G85" t="str">
            <v>KG561566</v>
          </cell>
          <cell r="H85">
            <v>518903.44</v>
          </cell>
          <cell r="I85">
            <v>518903.44</v>
          </cell>
        </row>
        <row r="86">
          <cell r="G86" t="str">
            <v>KG575788</v>
          </cell>
          <cell r="H86">
            <v>509107.35</v>
          </cell>
          <cell r="I86">
            <v>509107.35</v>
          </cell>
        </row>
        <row r="87">
          <cell r="G87" t="str">
            <v>KG575791</v>
          </cell>
          <cell r="H87">
            <v>509107.35</v>
          </cell>
          <cell r="I87">
            <v>509107.35</v>
          </cell>
        </row>
        <row r="88">
          <cell r="G88" t="str">
            <v>KG585902</v>
          </cell>
          <cell r="H88">
            <v>509107.35</v>
          </cell>
          <cell r="I88">
            <v>509107.35</v>
          </cell>
        </row>
        <row r="89">
          <cell r="G89" t="str">
            <v>KG557700</v>
          </cell>
          <cell r="H89">
            <v>518903.44</v>
          </cell>
          <cell r="I89">
            <v>518903.44</v>
          </cell>
        </row>
        <row r="90">
          <cell r="G90" t="str">
            <v>KG568874</v>
          </cell>
          <cell r="H90">
            <v>518903.44</v>
          </cell>
          <cell r="I90">
            <v>518903.44</v>
          </cell>
        </row>
        <row r="91">
          <cell r="G91" t="str">
            <v>KG575792</v>
          </cell>
          <cell r="H91">
            <v>509107.35</v>
          </cell>
          <cell r="I91">
            <v>509107.35</v>
          </cell>
        </row>
        <row r="92">
          <cell r="G92" t="str">
            <v>KG557701</v>
          </cell>
          <cell r="H92">
            <v>518903.44</v>
          </cell>
          <cell r="I92">
            <v>518903.44</v>
          </cell>
        </row>
        <row r="93">
          <cell r="G93" t="str">
            <v>KG603124</v>
          </cell>
          <cell r="H93">
            <v>671255.17</v>
          </cell>
          <cell r="I93">
            <v>671255.17</v>
          </cell>
        </row>
        <row r="94">
          <cell r="G94" t="str">
            <v>KG603125</v>
          </cell>
          <cell r="H94">
            <v>671255.17</v>
          </cell>
          <cell r="I94">
            <v>671255.17</v>
          </cell>
        </row>
        <row r="95">
          <cell r="G95" t="str">
            <v>LK274923</v>
          </cell>
          <cell r="H95">
            <v>437222.68</v>
          </cell>
          <cell r="I95">
            <v>437222.68</v>
          </cell>
        </row>
        <row r="96">
          <cell r="G96" t="str">
            <v>LK268189</v>
          </cell>
          <cell r="H96">
            <v>437222.68</v>
          </cell>
          <cell r="I96">
            <v>437222.68</v>
          </cell>
        </row>
        <row r="97">
          <cell r="G97" t="str">
            <v>LK268337</v>
          </cell>
          <cell r="H97">
            <v>437222.68</v>
          </cell>
          <cell r="I97">
            <v>437222.68</v>
          </cell>
        </row>
        <row r="98">
          <cell r="G98" t="str">
            <v>LK268176</v>
          </cell>
          <cell r="H98">
            <v>437222.68</v>
          </cell>
          <cell r="I98">
            <v>437222.68</v>
          </cell>
        </row>
        <row r="99">
          <cell r="G99" t="str">
            <v>LK268222</v>
          </cell>
          <cell r="H99">
            <v>437222.68</v>
          </cell>
          <cell r="I99">
            <v>437222.68</v>
          </cell>
        </row>
        <row r="100">
          <cell r="G100" t="str">
            <v>LK268236</v>
          </cell>
          <cell r="H100">
            <v>437222.68</v>
          </cell>
          <cell r="I100">
            <v>437222.68</v>
          </cell>
        </row>
        <row r="101">
          <cell r="G101" t="str">
            <v>L0868328</v>
          </cell>
          <cell r="H101">
            <v>213180.72</v>
          </cell>
          <cell r="I101">
            <v>213180.72</v>
          </cell>
        </row>
        <row r="102">
          <cell r="G102" t="str">
            <v>L0868429</v>
          </cell>
          <cell r="H102">
            <v>213180.72</v>
          </cell>
          <cell r="I102">
            <v>213180.72</v>
          </cell>
        </row>
        <row r="103">
          <cell r="G103" t="str">
            <v>L0868214</v>
          </cell>
          <cell r="H103">
            <v>213180.72</v>
          </cell>
          <cell r="I103">
            <v>213180.72</v>
          </cell>
        </row>
        <row r="104">
          <cell r="G104" t="str">
            <v>K0865329</v>
          </cell>
          <cell r="H104">
            <v>216330.12</v>
          </cell>
          <cell r="I104">
            <v>216330.12</v>
          </cell>
        </row>
        <row r="105">
          <cell r="G105" t="str">
            <v>K0865749</v>
          </cell>
          <cell r="H105">
            <v>216330.12</v>
          </cell>
          <cell r="I105">
            <v>216330.12</v>
          </cell>
        </row>
        <row r="106">
          <cell r="G106" t="str">
            <v>K0865428</v>
          </cell>
          <cell r="H106">
            <v>216330.12</v>
          </cell>
          <cell r="I106">
            <v>216330.12</v>
          </cell>
        </row>
        <row r="107">
          <cell r="G107" t="str">
            <v>K0865513</v>
          </cell>
          <cell r="H107">
            <v>216330.12</v>
          </cell>
          <cell r="I107">
            <v>216330.12</v>
          </cell>
        </row>
        <row r="108">
          <cell r="G108" t="str">
            <v>K0865673</v>
          </cell>
          <cell r="H108">
            <v>216330.12</v>
          </cell>
          <cell r="I108">
            <v>216330.12</v>
          </cell>
        </row>
        <row r="109">
          <cell r="G109" t="str">
            <v>K0865148</v>
          </cell>
          <cell r="H109">
            <v>216330.12</v>
          </cell>
          <cell r="I109">
            <v>216330.12</v>
          </cell>
        </row>
        <row r="110">
          <cell r="G110" t="str">
            <v>L9137102</v>
          </cell>
          <cell r="H110">
            <v>226510.79</v>
          </cell>
          <cell r="I110">
            <v>226510.79</v>
          </cell>
        </row>
        <row r="111">
          <cell r="G111" t="str">
            <v>L9136723</v>
          </cell>
          <cell r="H111">
            <v>226510.79</v>
          </cell>
          <cell r="I111">
            <v>226510.79</v>
          </cell>
        </row>
        <row r="112">
          <cell r="G112" t="str">
            <v>L9136997</v>
          </cell>
          <cell r="H112">
            <v>226510.79</v>
          </cell>
          <cell r="I112">
            <v>226510.79</v>
          </cell>
        </row>
        <row r="113">
          <cell r="G113" t="str">
            <v>LY630955</v>
          </cell>
          <cell r="H113">
            <v>185513.56</v>
          </cell>
          <cell r="I113">
            <v>185513.56</v>
          </cell>
        </row>
        <row r="114">
          <cell r="G114" t="str">
            <v>LY628009</v>
          </cell>
          <cell r="H114">
            <v>185513.56</v>
          </cell>
          <cell r="I114">
            <v>185513.56</v>
          </cell>
        </row>
        <row r="115">
          <cell r="G115" t="str">
            <v>LY629807</v>
          </cell>
          <cell r="H115">
            <v>185513.56</v>
          </cell>
          <cell r="I115">
            <v>185513.56</v>
          </cell>
        </row>
        <row r="116">
          <cell r="G116" t="str">
            <v>LY633325</v>
          </cell>
          <cell r="H116">
            <v>185513.56</v>
          </cell>
          <cell r="I116">
            <v>185513.56</v>
          </cell>
        </row>
        <row r="117">
          <cell r="G117" t="str">
            <v>LY629755</v>
          </cell>
          <cell r="H117">
            <v>185513.56</v>
          </cell>
          <cell r="I117">
            <v>185513.56</v>
          </cell>
        </row>
        <row r="118">
          <cell r="G118" t="str">
            <v>LY629248</v>
          </cell>
          <cell r="H118">
            <v>201893.92</v>
          </cell>
          <cell r="I118">
            <v>201893.92</v>
          </cell>
        </row>
        <row r="119">
          <cell r="G119" t="str">
            <v>LY628349</v>
          </cell>
          <cell r="H119">
            <v>201893.92</v>
          </cell>
          <cell r="I119">
            <v>201893.92</v>
          </cell>
        </row>
        <row r="120">
          <cell r="G120" t="str">
            <v>LY630630</v>
          </cell>
          <cell r="H120">
            <v>201893.92</v>
          </cell>
          <cell r="I120">
            <v>201893.92</v>
          </cell>
        </row>
        <row r="121">
          <cell r="G121" t="str">
            <v>LY629702</v>
          </cell>
          <cell r="H121">
            <v>201893.92</v>
          </cell>
          <cell r="I121">
            <v>201893.92</v>
          </cell>
        </row>
        <row r="122">
          <cell r="G122" t="str">
            <v>LY355042</v>
          </cell>
          <cell r="H122">
            <v>298134.17</v>
          </cell>
          <cell r="I122">
            <v>298134.17</v>
          </cell>
        </row>
        <row r="123">
          <cell r="G123" t="str">
            <v>LY348410</v>
          </cell>
          <cell r="H123">
            <v>298134.17</v>
          </cell>
          <cell r="I123">
            <v>298134.17</v>
          </cell>
        </row>
        <row r="124">
          <cell r="G124" t="str">
            <v>LY348505</v>
          </cell>
          <cell r="H124">
            <v>298134.17</v>
          </cell>
          <cell r="I124">
            <v>298134.17</v>
          </cell>
        </row>
        <row r="125">
          <cell r="G125" t="str">
            <v>LY354210</v>
          </cell>
          <cell r="H125">
            <v>298134.17</v>
          </cell>
          <cell r="I125">
            <v>298134.17</v>
          </cell>
        </row>
        <row r="126">
          <cell r="G126" t="str">
            <v>LY354331</v>
          </cell>
          <cell r="H126">
            <v>298134.17</v>
          </cell>
          <cell r="I126">
            <v>298134.17</v>
          </cell>
        </row>
        <row r="127">
          <cell r="G127" t="str">
            <v>LY354998</v>
          </cell>
          <cell r="H127">
            <v>298134.17</v>
          </cell>
          <cell r="I127">
            <v>298134.17</v>
          </cell>
        </row>
        <row r="128">
          <cell r="G128" t="str">
            <v>LY355357</v>
          </cell>
          <cell r="H128">
            <v>298134.17</v>
          </cell>
          <cell r="I128">
            <v>298134.17</v>
          </cell>
        </row>
        <row r="129">
          <cell r="G129" t="str">
            <v>LY357495</v>
          </cell>
          <cell r="H129">
            <v>298134.17</v>
          </cell>
          <cell r="I129">
            <v>298134.17</v>
          </cell>
        </row>
        <row r="130">
          <cell r="G130" t="str">
            <v>LY358302</v>
          </cell>
          <cell r="H130">
            <v>298134.17</v>
          </cell>
          <cell r="I130">
            <v>298134.17</v>
          </cell>
        </row>
        <row r="131">
          <cell r="G131" t="str">
            <v>LY355099</v>
          </cell>
          <cell r="H131">
            <v>298134.17</v>
          </cell>
          <cell r="I131">
            <v>298134.17</v>
          </cell>
        </row>
        <row r="132">
          <cell r="G132" t="str">
            <v>LY355331</v>
          </cell>
          <cell r="H132">
            <v>298134.17</v>
          </cell>
          <cell r="I132">
            <v>298134.17</v>
          </cell>
        </row>
        <row r="133">
          <cell r="G133" t="str">
            <v>LY358402</v>
          </cell>
          <cell r="H133">
            <v>298134.17</v>
          </cell>
          <cell r="I133">
            <v>298134.17</v>
          </cell>
        </row>
        <row r="134">
          <cell r="G134" t="str">
            <v>LY358277</v>
          </cell>
          <cell r="H134">
            <v>298134.17</v>
          </cell>
          <cell r="I134">
            <v>298134.17</v>
          </cell>
        </row>
        <row r="135">
          <cell r="G135" t="str">
            <v>KH008724</v>
          </cell>
          <cell r="H135">
            <v>195996.94</v>
          </cell>
          <cell r="I135">
            <v>195996.94</v>
          </cell>
        </row>
        <row r="136">
          <cell r="G136" t="str">
            <v>KH007792</v>
          </cell>
          <cell r="H136">
            <v>195996.94</v>
          </cell>
          <cell r="I136">
            <v>195996.94</v>
          </cell>
        </row>
        <row r="137">
          <cell r="G137" t="str">
            <v>KH009462</v>
          </cell>
          <cell r="H137">
            <v>195996.94</v>
          </cell>
          <cell r="I137">
            <v>195996.94</v>
          </cell>
        </row>
        <row r="138">
          <cell r="G138" t="str">
            <v>KH008278</v>
          </cell>
          <cell r="H138">
            <v>195996.94</v>
          </cell>
          <cell r="I138">
            <v>195996.94</v>
          </cell>
        </row>
        <row r="139">
          <cell r="G139" t="str">
            <v>KH008717</v>
          </cell>
          <cell r="H139">
            <v>195996.94</v>
          </cell>
          <cell r="I139">
            <v>195996.94</v>
          </cell>
        </row>
        <row r="140">
          <cell r="G140" t="str">
            <v>KH008720</v>
          </cell>
          <cell r="H140">
            <v>195996.94</v>
          </cell>
          <cell r="I140">
            <v>195996.94</v>
          </cell>
        </row>
        <row r="141">
          <cell r="G141" t="str">
            <v>KH008721</v>
          </cell>
          <cell r="H141">
            <v>195996.94</v>
          </cell>
          <cell r="I141">
            <v>195996.94</v>
          </cell>
        </row>
        <row r="142">
          <cell r="G142" t="str">
            <v>KH008713</v>
          </cell>
          <cell r="H142">
            <v>195996.94</v>
          </cell>
          <cell r="I142">
            <v>195996.94</v>
          </cell>
        </row>
        <row r="143">
          <cell r="G143" t="str">
            <v>KH009831</v>
          </cell>
          <cell r="H143">
            <v>214208.06</v>
          </cell>
          <cell r="I143">
            <v>214208.06</v>
          </cell>
        </row>
        <row r="144">
          <cell r="G144" t="str">
            <v>KH008719</v>
          </cell>
          <cell r="H144">
            <v>195996.94</v>
          </cell>
          <cell r="I144">
            <v>195996.94</v>
          </cell>
        </row>
        <row r="145">
          <cell r="G145" t="str">
            <v>KH009832</v>
          </cell>
          <cell r="H145">
            <v>214208.06</v>
          </cell>
          <cell r="I145">
            <v>214208.06</v>
          </cell>
        </row>
        <row r="146">
          <cell r="G146" t="str">
            <v>KH008897</v>
          </cell>
          <cell r="H146">
            <v>195996.94</v>
          </cell>
          <cell r="I146">
            <v>195996.94</v>
          </cell>
        </row>
        <row r="147">
          <cell r="G147" t="str">
            <v>LH000335</v>
          </cell>
          <cell r="H147">
            <v>229688.38</v>
          </cell>
          <cell r="I147">
            <v>229688.38</v>
          </cell>
        </row>
        <row r="148">
          <cell r="G148" t="str">
            <v>LH000853</v>
          </cell>
          <cell r="H148">
            <v>229688.38</v>
          </cell>
          <cell r="I148">
            <v>229688.38</v>
          </cell>
        </row>
        <row r="149">
          <cell r="G149" t="str">
            <v>LH000568</v>
          </cell>
          <cell r="H149">
            <v>229688.38</v>
          </cell>
          <cell r="I149">
            <v>229688.38</v>
          </cell>
        </row>
        <row r="150">
          <cell r="G150" t="str">
            <v>LH000451</v>
          </cell>
          <cell r="H150">
            <v>229688.38</v>
          </cell>
          <cell r="I150">
            <v>229688.38</v>
          </cell>
        </row>
        <row r="151">
          <cell r="G151" t="str">
            <v>LH001571</v>
          </cell>
          <cell r="H151">
            <v>241526.48</v>
          </cell>
          <cell r="I151">
            <v>241526.48</v>
          </cell>
        </row>
        <row r="152">
          <cell r="G152" t="str">
            <v>LH000476</v>
          </cell>
          <cell r="H152">
            <v>229688.38</v>
          </cell>
          <cell r="I152">
            <v>229688.38</v>
          </cell>
        </row>
        <row r="153">
          <cell r="G153" t="str">
            <v>LH002057</v>
          </cell>
          <cell r="H153">
            <v>241526.48</v>
          </cell>
          <cell r="I153">
            <v>241526.48</v>
          </cell>
        </row>
        <row r="154">
          <cell r="G154" t="str">
            <v>L6P01688</v>
          </cell>
          <cell r="H154">
            <v>239527.2</v>
          </cell>
          <cell r="I154">
            <v>239527.2</v>
          </cell>
        </row>
        <row r="155">
          <cell r="G155" t="str">
            <v>148</v>
          </cell>
          <cell r="I155">
            <v>63216535.370000027</v>
          </cell>
        </row>
        <row r="156">
          <cell r="G156" t="str">
            <v/>
          </cell>
        </row>
        <row r="157">
          <cell r="G157" t="str">
            <v>HW610542</v>
          </cell>
          <cell r="H157">
            <v>260000</v>
          </cell>
          <cell r="I157">
            <v>260000</v>
          </cell>
        </row>
        <row r="158">
          <cell r="G158" t="str">
            <v>FC816080</v>
          </cell>
          <cell r="H158">
            <v>232000</v>
          </cell>
          <cell r="I158">
            <v>232000</v>
          </cell>
        </row>
        <row r="159">
          <cell r="G159" t="str">
            <v>FC807585</v>
          </cell>
          <cell r="H159">
            <v>348000</v>
          </cell>
          <cell r="I159">
            <v>348000</v>
          </cell>
        </row>
        <row r="160">
          <cell r="G160" t="str">
            <v>FJ130321</v>
          </cell>
          <cell r="H160">
            <v>237200</v>
          </cell>
          <cell r="I160">
            <v>237200</v>
          </cell>
        </row>
        <row r="161">
          <cell r="G161" t="str">
            <v>GN760112</v>
          </cell>
          <cell r="H161">
            <v>238080</v>
          </cell>
          <cell r="I161">
            <v>119040</v>
          </cell>
        </row>
        <row r="162">
          <cell r="G162" t="str">
            <v>GT128635</v>
          </cell>
          <cell r="H162">
            <v>144000</v>
          </cell>
          <cell r="I162">
            <v>144000</v>
          </cell>
        </row>
        <row r="163">
          <cell r="G163" t="str">
            <v>HT551906</v>
          </cell>
          <cell r="H163">
            <v>185600</v>
          </cell>
          <cell r="I163">
            <v>185600</v>
          </cell>
        </row>
        <row r="164">
          <cell r="G164" t="str">
            <v>JT328554</v>
          </cell>
          <cell r="H164">
            <v>249200</v>
          </cell>
          <cell r="I164">
            <v>124600</v>
          </cell>
        </row>
        <row r="165">
          <cell r="G165" t="str">
            <v>GG246503</v>
          </cell>
          <cell r="H165">
            <v>311840</v>
          </cell>
          <cell r="I165">
            <v>311840</v>
          </cell>
        </row>
        <row r="166">
          <cell r="G166" t="str">
            <v>HR242907</v>
          </cell>
          <cell r="H166">
            <v>229280</v>
          </cell>
          <cell r="I166">
            <v>114640</v>
          </cell>
        </row>
        <row r="167">
          <cell r="G167" t="str">
            <v>JS583141</v>
          </cell>
          <cell r="H167">
            <v>161120</v>
          </cell>
          <cell r="I167">
            <v>161120</v>
          </cell>
        </row>
        <row r="168">
          <cell r="G168" t="str">
            <v>JE001920</v>
          </cell>
          <cell r="H168">
            <v>162560</v>
          </cell>
          <cell r="I168">
            <v>81280</v>
          </cell>
        </row>
        <row r="169">
          <cell r="G169" t="str">
            <v>FM279550</v>
          </cell>
          <cell r="H169">
            <v>120800</v>
          </cell>
          <cell r="I169">
            <v>60400</v>
          </cell>
        </row>
        <row r="170">
          <cell r="G170" t="str">
            <v>G0770325</v>
          </cell>
          <cell r="H170">
            <v>86640</v>
          </cell>
          <cell r="I170">
            <v>86640</v>
          </cell>
        </row>
        <row r="171">
          <cell r="G171" t="str">
            <v>H3328337</v>
          </cell>
          <cell r="H171">
            <v>76320</v>
          </cell>
          <cell r="I171">
            <v>76320</v>
          </cell>
        </row>
        <row r="172">
          <cell r="G172" t="str">
            <v>H3325253</v>
          </cell>
          <cell r="H172">
            <v>103680</v>
          </cell>
          <cell r="I172">
            <v>51840</v>
          </cell>
        </row>
        <row r="173">
          <cell r="G173" t="str">
            <v>J7508740</v>
          </cell>
          <cell r="H173">
            <v>177200</v>
          </cell>
          <cell r="I173">
            <v>177200</v>
          </cell>
        </row>
        <row r="174">
          <cell r="G174" t="str">
            <v>JD126442</v>
          </cell>
          <cell r="H174">
            <v>105520</v>
          </cell>
          <cell r="I174">
            <v>105520</v>
          </cell>
        </row>
        <row r="175">
          <cell r="G175" t="str">
            <v>GH000591</v>
          </cell>
          <cell r="H175">
            <v>77920</v>
          </cell>
          <cell r="I175">
            <v>77920</v>
          </cell>
        </row>
        <row r="176">
          <cell r="G176" t="str">
            <v>JK147373</v>
          </cell>
          <cell r="H176">
            <v>227760</v>
          </cell>
          <cell r="I176">
            <v>227760</v>
          </cell>
        </row>
        <row r="177">
          <cell r="G177" t="str">
            <v>FE057053</v>
          </cell>
          <cell r="H177">
            <v>127680</v>
          </cell>
          <cell r="I177">
            <v>127680</v>
          </cell>
        </row>
        <row r="178">
          <cell r="G178" t="str">
            <v>GX047828</v>
          </cell>
          <cell r="H178">
            <v>168480</v>
          </cell>
          <cell r="I178">
            <v>168480</v>
          </cell>
        </row>
        <row r="179">
          <cell r="G179" t="str">
            <v>HH543387</v>
          </cell>
          <cell r="H179">
            <v>340800</v>
          </cell>
          <cell r="I179">
            <v>340800</v>
          </cell>
        </row>
        <row r="180">
          <cell r="G180" t="str">
            <v>GD681780</v>
          </cell>
          <cell r="H180">
            <v>176720</v>
          </cell>
          <cell r="I180">
            <v>176720</v>
          </cell>
        </row>
        <row r="181">
          <cell r="G181" t="str">
            <v>HT527870</v>
          </cell>
          <cell r="H181">
            <v>208880</v>
          </cell>
          <cell r="I181">
            <v>208880</v>
          </cell>
        </row>
        <row r="182">
          <cell r="G182" t="str">
            <v>HT551489</v>
          </cell>
          <cell r="H182">
            <v>236080</v>
          </cell>
          <cell r="I182">
            <v>236080</v>
          </cell>
        </row>
        <row r="183">
          <cell r="G183" t="str">
            <v>HH006296</v>
          </cell>
          <cell r="H183">
            <v>92000</v>
          </cell>
          <cell r="I183">
            <v>92000</v>
          </cell>
        </row>
        <row r="184">
          <cell r="G184" t="str">
            <v>27</v>
          </cell>
          <cell r="I184">
            <v>4533560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LW130080</v>
          </cell>
          <cell r="H6">
            <v>709936.05</v>
          </cell>
          <cell r="I6">
            <v>709936.05</v>
          </cell>
        </row>
        <row r="7">
          <cell r="G7" t="str">
            <v>KW647290</v>
          </cell>
          <cell r="H7">
            <v>759475.89</v>
          </cell>
          <cell r="I7">
            <v>759475.89</v>
          </cell>
        </row>
        <row r="8">
          <cell r="G8" t="str">
            <v>LW125250</v>
          </cell>
          <cell r="H8">
            <v>853850.02</v>
          </cell>
          <cell r="I8">
            <v>853850.02</v>
          </cell>
        </row>
        <row r="9">
          <cell r="G9" t="str">
            <v>LW124442</v>
          </cell>
          <cell r="H9">
            <v>854954.25</v>
          </cell>
          <cell r="I9">
            <v>854954.25</v>
          </cell>
        </row>
        <row r="10">
          <cell r="G10" t="str">
            <v>LW117981</v>
          </cell>
          <cell r="H10">
            <v>825226.38</v>
          </cell>
          <cell r="I10">
            <v>825226.38</v>
          </cell>
        </row>
        <row r="11">
          <cell r="G11" t="str">
            <v>LW117988</v>
          </cell>
          <cell r="H11">
            <v>825226.38</v>
          </cell>
          <cell r="I11">
            <v>825226.38</v>
          </cell>
        </row>
        <row r="12">
          <cell r="G12" t="str">
            <v>KC805440</v>
          </cell>
          <cell r="H12">
            <v>721874.64</v>
          </cell>
          <cell r="I12">
            <v>721874.64</v>
          </cell>
        </row>
        <row r="13">
          <cell r="G13" t="str">
            <v>LC145191</v>
          </cell>
          <cell r="H13">
            <v>736501.96</v>
          </cell>
          <cell r="I13">
            <v>736501.96</v>
          </cell>
        </row>
        <row r="14">
          <cell r="G14" t="str">
            <v>LC145189</v>
          </cell>
          <cell r="H14">
            <v>736501.96</v>
          </cell>
          <cell r="I14">
            <v>736501.96</v>
          </cell>
        </row>
        <row r="15">
          <cell r="G15" t="str">
            <v>LC113704</v>
          </cell>
          <cell r="H15">
            <v>736501.96</v>
          </cell>
          <cell r="I15">
            <v>736501.96</v>
          </cell>
        </row>
        <row r="16">
          <cell r="G16" t="str">
            <v>LC145190</v>
          </cell>
          <cell r="H16">
            <v>736501.96</v>
          </cell>
          <cell r="I16">
            <v>736501.96</v>
          </cell>
        </row>
        <row r="17">
          <cell r="G17" t="str">
            <v>LC105790</v>
          </cell>
          <cell r="H17">
            <v>797720.99</v>
          </cell>
          <cell r="I17">
            <v>797720.99</v>
          </cell>
        </row>
        <row r="18">
          <cell r="G18" t="str">
            <v>LN139761</v>
          </cell>
          <cell r="H18">
            <v>1067218.17</v>
          </cell>
          <cell r="I18">
            <v>1067218.17</v>
          </cell>
        </row>
        <row r="19">
          <cell r="G19" t="str">
            <v>KR758133</v>
          </cell>
          <cell r="H19">
            <v>491760.21</v>
          </cell>
          <cell r="I19">
            <v>491760.21</v>
          </cell>
        </row>
        <row r="20">
          <cell r="G20" t="str">
            <v>KR748589</v>
          </cell>
          <cell r="H20">
            <v>491760.21</v>
          </cell>
          <cell r="I20">
            <v>491760.21</v>
          </cell>
        </row>
        <row r="21">
          <cell r="G21" t="str">
            <v>KR757415</v>
          </cell>
          <cell r="H21">
            <v>547903.27</v>
          </cell>
          <cell r="I21">
            <v>547903.27</v>
          </cell>
        </row>
        <row r="22">
          <cell r="G22" t="str">
            <v>KT819926</v>
          </cell>
          <cell r="H22">
            <v>494559.95</v>
          </cell>
          <cell r="I22">
            <v>494559.95</v>
          </cell>
        </row>
        <row r="23">
          <cell r="G23" t="str">
            <v>LT110446</v>
          </cell>
          <cell r="H23">
            <v>546853.94999999995</v>
          </cell>
          <cell r="I23">
            <v>546853.94999999995</v>
          </cell>
        </row>
        <row r="24">
          <cell r="G24" t="str">
            <v>LT110447</v>
          </cell>
          <cell r="H24">
            <v>546853.94999999995</v>
          </cell>
          <cell r="I24">
            <v>546853.94999999995</v>
          </cell>
        </row>
        <row r="25">
          <cell r="G25" t="str">
            <v>KT757832</v>
          </cell>
          <cell r="H25">
            <v>451062.43</v>
          </cell>
          <cell r="I25">
            <v>451062.43</v>
          </cell>
        </row>
        <row r="26">
          <cell r="G26" t="str">
            <v>KG572493</v>
          </cell>
          <cell r="H26">
            <v>515180.59</v>
          </cell>
          <cell r="I26">
            <v>515180.59</v>
          </cell>
        </row>
        <row r="27">
          <cell r="G27" t="str">
            <v>KG575667</v>
          </cell>
          <cell r="H27">
            <v>515180.59</v>
          </cell>
          <cell r="I27">
            <v>515180.59</v>
          </cell>
        </row>
        <row r="28">
          <cell r="G28" t="str">
            <v>KG575670</v>
          </cell>
          <cell r="H28">
            <v>515180.59</v>
          </cell>
          <cell r="I28">
            <v>515180.59</v>
          </cell>
        </row>
        <row r="29">
          <cell r="G29" t="str">
            <v>KG575684</v>
          </cell>
          <cell r="H29">
            <v>515180.59</v>
          </cell>
          <cell r="I29">
            <v>515180.59</v>
          </cell>
        </row>
        <row r="30">
          <cell r="G30" t="str">
            <v>KG575698</v>
          </cell>
          <cell r="H30">
            <v>519421.09</v>
          </cell>
          <cell r="I30">
            <v>519421.09</v>
          </cell>
        </row>
        <row r="31">
          <cell r="G31" t="str">
            <v>KG575720</v>
          </cell>
          <cell r="H31">
            <v>515180.59</v>
          </cell>
          <cell r="I31">
            <v>515180.59</v>
          </cell>
        </row>
        <row r="32">
          <cell r="G32" t="str">
            <v>KG575533</v>
          </cell>
          <cell r="H32">
            <v>515180.59</v>
          </cell>
          <cell r="I32">
            <v>515180.59</v>
          </cell>
        </row>
        <row r="33">
          <cell r="G33" t="str">
            <v>KG575726</v>
          </cell>
          <cell r="H33">
            <v>515180.59</v>
          </cell>
          <cell r="I33">
            <v>515180.59</v>
          </cell>
        </row>
        <row r="34">
          <cell r="G34" t="str">
            <v>KG572513</v>
          </cell>
          <cell r="H34">
            <v>515180.59</v>
          </cell>
          <cell r="I34">
            <v>515180.59</v>
          </cell>
        </row>
        <row r="35">
          <cell r="G35" t="str">
            <v>KG575458</v>
          </cell>
          <cell r="H35">
            <v>515180.59</v>
          </cell>
          <cell r="I35">
            <v>515180.59</v>
          </cell>
        </row>
        <row r="36">
          <cell r="G36" t="str">
            <v>KG575511</v>
          </cell>
          <cell r="H36">
            <v>515180.59</v>
          </cell>
          <cell r="I36">
            <v>515180.59</v>
          </cell>
        </row>
        <row r="37">
          <cell r="G37" t="str">
            <v>KG575556</v>
          </cell>
          <cell r="H37">
            <v>515180.59</v>
          </cell>
          <cell r="I37">
            <v>515180.59</v>
          </cell>
        </row>
        <row r="38">
          <cell r="G38" t="str">
            <v>KG575637</v>
          </cell>
          <cell r="H38">
            <v>515180.59</v>
          </cell>
          <cell r="I38">
            <v>515180.59</v>
          </cell>
        </row>
        <row r="39">
          <cell r="G39" t="str">
            <v>KG575671</v>
          </cell>
          <cell r="H39">
            <v>515180.59</v>
          </cell>
          <cell r="I39">
            <v>515180.59</v>
          </cell>
        </row>
        <row r="40">
          <cell r="G40" t="str">
            <v>KG575704</v>
          </cell>
          <cell r="H40">
            <v>519421.09</v>
          </cell>
          <cell r="I40">
            <v>519421.09</v>
          </cell>
        </row>
        <row r="41">
          <cell r="G41" t="str">
            <v>KG575718</v>
          </cell>
          <cell r="H41">
            <v>515180.59</v>
          </cell>
          <cell r="I41">
            <v>515180.59</v>
          </cell>
        </row>
        <row r="42">
          <cell r="G42" t="str">
            <v>KG575721</v>
          </cell>
          <cell r="H42">
            <v>515180.59</v>
          </cell>
          <cell r="I42">
            <v>515180.59</v>
          </cell>
        </row>
        <row r="43">
          <cell r="G43" t="str">
            <v>KG572486</v>
          </cell>
          <cell r="H43">
            <v>515180.59</v>
          </cell>
          <cell r="I43">
            <v>515180.59</v>
          </cell>
        </row>
        <row r="44">
          <cell r="G44" t="str">
            <v>KG575632</v>
          </cell>
          <cell r="H44">
            <v>515180.59</v>
          </cell>
          <cell r="I44">
            <v>515180.59</v>
          </cell>
        </row>
        <row r="45">
          <cell r="G45" t="str">
            <v>KG575694</v>
          </cell>
          <cell r="H45">
            <v>515180.59</v>
          </cell>
          <cell r="I45">
            <v>515180.59</v>
          </cell>
        </row>
        <row r="46">
          <cell r="G46" t="str">
            <v>KG575713</v>
          </cell>
          <cell r="H46">
            <v>515180.59</v>
          </cell>
          <cell r="I46">
            <v>515180.59</v>
          </cell>
        </row>
        <row r="47">
          <cell r="G47" t="str">
            <v>KG575727</v>
          </cell>
          <cell r="H47">
            <v>515180.59</v>
          </cell>
          <cell r="I47">
            <v>515180.59</v>
          </cell>
        </row>
        <row r="48">
          <cell r="G48" t="str">
            <v>KG575428</v>
          </cell>
          <cell r="H48">
            <v>515180.59</v>
          </cell>
          <cell r="I48">
            <v>515180.59</v>
          </cell>
        </row>
        <row r="49">
          <cell r="G49" t="str">
            <v>KG575722</v>
          </cell>
          <cell r="H49">
            <v>515180.59</v>
          </cell>
          <cell r="I49">
            <v>515180.59</v>
          </cell>
        </row>
        <row r="50">
          <cell r="G50" t="str">
            <v>KG575736</v>
          </cell>
          <cell r="H50">
            <v>515180.59</v>
          </cell>
          <cell r="I50">
            <v>515180.59</v>
          </cell>
        </row>
        <row r="51">
          <cell r="G51" t="str">
            <v>KG575731</v>
          </cell>
          <cell r="H51">
            <v>515180.59</v>
          </cell>
          <cell r="I51">
            <v>515180.59</v>
          </cell>
        </row>
        <row r="52">
          <cell r="G52" t="str">
            <v>KG575639</v>
          </cell>
          <cell r="H52">
            <v>515180.59</v>
          </cell>
          <cell r="I52">
            <v>515180.59</v>
          </cell>
        </row>
        <row r="53">
          <cell r="G53" t="str">
            <v>KG575690</v>
          </cell>
          <cell r="H53">
            <v>515180.59</v>
          </cell>
          <cell r="I53">
            <v>515180.59</v>
          </cell>
        </row>
        <row r="54">
          <cell r="G54" t="str">
            <v>KG575706</v>
          </cell>
          <cell r="H54">
            <v>515180.59</v>
          </cell>
          <cell r="I54">
            <v>515180.59</v>
          </cell>
        </row>
        <row r="55">
          <cell r="G55" t="str">
            <v>KG575723</v>
          </cell>
          <cell r="H55">
            <v>515180.59</v>
          </cell>
          <cell r="I55">
            <v>515180.59</v>
          </cell>
        </row>
        <row r="56">
          <cell r="G56" t="str">
            <v>KG575696</v>
          </cell>
          <cell r="H56">
            <v>515180.59</v>
          </cell>
          <cell r="I56">
            <v>515180.59</v>
          </cell>
        </row>
        <row r="57">
          <cell r="G57" t="str">
            <v>KG575701</v>
          </cell>
          <cell r="H57">
            <v>515180.59</v>
          </cell>
          <cell r="I57">
            <v>515180.59</v>
          </cell>
        </row>
        <row r="58">
          <cell r="G58" t="str">
            <v>KG528855</v>
          </cell>
          <cell r="H58">
            <v>508395.1</v>
          </cell>
          <cell r="I58">
            <v>457395.1</v>
          </cell>
        </row>
        <row r="59">
          <cell r="G59" t="str">
            <v>KG528905</v>
          </cell>
          <cell r="H59">
            <v>508395.1</v>
          </cell>
          <cell r="I59">
            <v>457395.1</v>
          </cell>
        </row>
        <row r="60">
          <cell r="G60" t="str">
            <v>KG528936</v>
          </cell>
          <cell r="H60">
            <v>508395.1</v>
          </cell>
          <cell r="I60">
            <v>457395.1</v>
          </cell>
        </row>
        <row r="61">
          <cell r="G61" t="str">
            <v>KG528970</v>
          </cell>
          <cell r="H61">
            <v>508395.1</v>
          </cell>
          <cell r="I61">
            <v>457395.1</v>
          </cell>
        </row>
        <row r="62">
          <cell r="G62" t="str">
            <v>KG575514</v>
          </cell>
          <cell r="H62">
            <v>515180.59</v>
          </cell>
          <cell r="I62">
            <v>515180.59</v>
          </cell>
        </row>
        <row r="63">
          <cell r="G63" t="str">
            <v>KG575643</v>
          </cell>
          <cell r="H63">
            <v>515180.59</v>
          </cell>
          <cell r="I63">
            <v>515180.59</v>
          </cell>
        </row>
        <row r="64">
          <cell r="G64" t="str">
            <v>KG575707</v>
          </cell>
          <cell r="H64">
            <v>515180.59</v>
          </cell>
          <cell r="I64">
            <v>515180.59</v>
          </cell>
        </row>
        <row r="65">
          <cell r="G65" t="str">
            <v>KG575724</v>
          </cell>
          <cell r="H65">
            <v>515180.59</v>
          </cell>
          <cell r="I65">
            <v>515180.59</v>
          </cell>
        </row>
        <row r="66">
          <cell r="G66" t="str">
            <v>KG528735</v>
          </cell>
          <cell r="H66">
            <v>508395.1</v>
          </cell>
          <cell r="I66">
            <v>457395.1</v>
          </cell>
        </row>
        <row r="67">
          <cell r="G67" t="str">
            <v>KG572511</v>
          </cell>
          <cell r="H67">
            <v>515180.59</v>
          </cell>
          <cell r="I67">
            <v>515180.59</v>
          </cell>
        </row>
        <row r="68">
          <cell r="G68" t="str">
            <v>KG575487</v>
          </cell>
          <cell r="H68">
            <v>515180.59</v>
          </cell>
          <cell r="I68">
            <v>515180.59</v>
          </cell>
        </row>
        <row r="69">
          <cell r="G69" t="str">
            <v>KG575649</v>
          </cell>
          <cell r="H69">
            <v>515180.59</v>
          </cell>
          <cell r="I69">
            <v>515180.59</v>
          </cell>
        </row>
        <row r="70">
          <cell r="G70" t="str">
            <v>KG575666</v>
          </cell>
          <cell r="H70">
            <v>515180.59</v>
          </cell>
          <cell r="I70">
            <v>515180.59</v>
          </cell>
        </row>
        <row r="71">
          <cell r="G71" t="str">
            <v>KG575697</v>
          </cell>
          <cell r="H71">
            <v>519421.09</v>
          </cell>
          <cell r="I71">
            <v>519421.09</v>
          </cell>
        </row>
        <row r="72">
          <cell r="G72" t="str">
            <v>KG575702</v>
          </cell>
          <cell r="H72">
            <v>515180.59</v>
          </cell>
          <cell r="I72">
            <v>515180.59</v>
          </cell>
        </row>
        <row r="73">
          <cell r="G73" t="str">
            <v>KG528730</v>
          </cell>
          <cell r="H73">
            <v>508395.1</v>
          </cell>
          <cell r="I73">
            <v>457395.1</v>
          </cell>
        </row>
        <row r="74">
          <cell r="G74" t="str">
            <v>KG575515</v>
          </cell>
          <cell r="H74">
            <v>515180.59</v>
          </cell>
          <cell r="I74">
            <v>515180.59</v>
          </cell>
        </row>
        <row r="75">
          <cell r="G75" t="str">
            <v>KG575708</v>
          </cell>
          <cell r="H75">
            <v>515180.59</v>
          </cell>
          <cell r="I75">
            <v>515180.59</v>
          </cell>
        </row>
        <row r="76">
          <cell r="G76" t="str">
            <v>KG575711</v>
          </cell>
          <cell r="H76">
            <v>515180.59</v>
          </cell>
          <cell r="I76">
            <v>515180.59</v>
          </cell>
        </row>
        <row r="77">
          <cell r="G77" t="str">
            <v>KG575725</v>
          </cell>
          <cell r="H77">
            <v>515180.59</v>
          </cell>
          <cell r="I77">
            <v>515180.59</v>
          </cell>
        </row>
        <row r="78">
          <cell r="G78" t="str">
            <v>KG657953</v>
          </cell>
          <cell r="H78">
            <v>496518.43</v>
          </cell>
          <cell r="I78">
            <v>496518.43</v>
          </cell>
        </row>
        <row r="79">
          <cell r="G79" t="str">
            <v>KG657954</v>
          </cell>
          <cell r="H79">
            <v>496518.43</v>
          </cell>
          <cell r="I79">
            <v>496518.43</v>
          </cell>
        </row>
        <row r="80">
          <cell r="G80" t="str">
            <v>KG651791</v>
          </cell>
          <cell r="H80">
            <v>496518.43</v>
          </cell>
          <cell r="I80">
            <v>496518.43</v>
          </cell>
        </row>
        <row r="81">
          <cell r="G81" t="str">
            <v>KG651792</v>
          </cell>
          <cell r="H81">
            <v>496518.43</v>
          </cell>
          <cell r="I81">
            <v>496518.43</v>
          </cell>
        </row>
        <row r="82">
          <cell r="G82" t="str">
            <v>KG657952</v>
          </cell>
          <cell r="H82">
            <v>496518.43</v>
          </cell>
          <cell r="I82">
            <v>496518.43</v>
          </cell>
        </row>
        <row r="83">
          <cell r="G83" t="str">
            <v>KG557702</v>
          </cell>
          <cell r="H83">
            <v>518903.44</v>
          </cell>
          <cell r="I83">
            <v>518903.44</v>
          </cell>
        </row>
        <row r="84">
          <cell r="G84" t="str">
            <v>KG594340</v>
          </cell>
          <cell r="H84">
            <v>509107.35</v>
          </cell>
          <cell r="I84">
            <v>509107.35</v>
          </cell>
        </row>
        <row r="85">
          <cell r="G85" t="str">
            <v>KG557703</v>
          </cell>
          <cell r="H85">
            <v>518903.44</v>
          </cell>
          <cell r="I85">
            <v>518903.44</v>
          </cell>
        </row>
        <row r="86">
          <cell r="G86" t="str">
            <v>KG575795</v>
          </cell>
          <cell r="H86">
            <v>509107.35</v>
          </cell>
          <cell r="I86">
            <v>509107.35</v>
          </cell>
        </row>
        <row r="87">
          <cell r="G87" t="str">
            <v>KG595957</v>
          </cell>
          <cell r="H87">
            <v>509107.35</v>
          </cell>
          <cell r="I87">
            <v>509107.35</v>
          </cell>
        </row>
        <row r="88">
          <cell r="G88" t="str">
            <v>KG575796</v>
          </cell>
          <cell r="H88">
            <v>524706.86</v>
          </cell>
          <cell r="I88">
            <v>524706.86</v>
          </cell>
        </row>
        <row r="89">
          <cell r="G89" t="str">
            <v>KG561566</v>
          </cell>
          <cell r="H89">
            <v>518903.44</v>
          </cell>
          <cell r="I89">
            <v>518903.44</v>
          </cell>
        </row>
        <row r="90">
          <cell r="G90" t="str">
            <v>KG575788</v>
          </cell>
          <cell r="H90">
            <v>509107.35</v>
          </cell>
          <cell r="I90">
            <v>509107.35</v>
          </cell>
        </row>
        <row r="91">
          <cell r="G91" t="str">
            <v>KG575791</v>
          </cell>
          <cell r="H91">
            <v>509107.35</v>
          </cell>
          <cell r="I91">
            <v>509107.35</v>
          </cell>
        </row>
        <row r="92">
          <cell r="G92" t="str">
            <v>KG585902</v>
          </cell>
          <cell r="H92">
            <v>509107.35</v>
          </cell>
          <cell r="I92">
            <v>509107.35</v>
          </cell>
        </row>
        <row r="93">
          <cell r="G93" t="str">
            <v>KG575797</v>
          </cell>
          <cell r="H93">
            <v>524706.86</v>
          </cell>
          <cell r="I93">
            <v>524706.86</v>
          </cell>
        </row>
        <row r="94">
          <cell r="G94" t="str">
            <v>KG557700</v>
          </cell>
          <cell r="H94">
            <v>518903.44</v>
          </cell>
          <cell r="I94">
            <v>518903.44</v>
          </cell>
        </row>
        <row r="95">
          <cell r="G95" t="str">
            <v>KG568874</v>
          </cell>
          <cell r="H95">
            <v>518903.44</v>
          </cell>
          <cell r="I95">
            <v>518903.44</v>
          </cell>
        </row>
        <row r="96">
          <cell r="G96" t="str">
            <v>KG575792</v>
          </cell>
          <cell r="H96">
            <v>509107.35</v>
          </cell>
          <cell r="I96">
            <v>509107.35</v>
          </cell>
        </row>
        <row r="97">
          <cell r="G97" t="str">
            <v>KG557701</v>
          </cell>
          <cell r="H97">
            <v>518903.44</v>
          </cell>
          <cell r="I97">
            <v>518903.44</v>
          </cell>
        </row>
        <row r="98">
          <cell r="G98" t="str">
            <v>KG575793</v>
          </cell>
          <cell r="H98">
            <v>509107.35</v>
          </cell>
          <cell r="I98">
            <v>509107.35</v>
          </cell>
        </row>
        <row r="99">
          <cell r="G99" t="str">
            <v>KG603124</v>
          </cell>
          <cell r="H99">
            <v>671255.17</v>
          </cell>
          <cell r="I99">
            <v>671255.17</v>
          </cell>
        </row>
        <row r="100">
          <cell r="G100" t="str">
            <v>KG603125</v>
          </cell>
          <cell r="H100">
            <v>671255.17</v>
          </cell>
          <cell r="I100">
            <v>671255.17</v>
          </cell>
        </row>
        <row r="101">
          <cell r="G101" t="str">
            <v>LK274923</v>
          </cell>
          <cell r="H101">
            <v>437222.68</v>
          </cell>
          <cell r="I101">
            <v>437222.68</v>
          </cell>
        </row>
        <row r="102">
          <cell r="G102" t="str">
            <v>L0871158</v>
          </cell>
          <cell r="H102">
            <v>199230.56</v>
          </cell>
          <cell r="I102">
            <v>199230.56</v>
          </cell>
        </row>
        <row r="103">
          <cell r="G103" t="str">
            <v>L0874571</v>
          </cell>
          <cell r="H103">
            <v>199230.56</v>
          </cell>
          <cell r="I103">
            <v>199230.56</v>
          </cell>
        </row>
        <row r="104">
          <cell r="G104" t="str">
            <v>L0874621</v>
          </cell>
          <cell r="H104">
            <v>199230.56</v>
          </cell>
          <cell r="I104">
            <v>199230.56</v>
          </cell>
        </row>
        <row r="105">
          <cell r="G105" t="str">
            <v>L0870757</v>
          </cell>
          <cell r="H105">
            <v>213180.72</v>
          </cell>
          <cell r="I105">
            <v>213180.72</v>
          </cell>
        </row>
        <row r="106">
          <cell r="G106" t="str">
            <v>L0868578</v>
          </cell>
          <cell r="H106">
            <v>213180.72</v>
          </cell>
          <cell r="I106">
            <v>213180.72</v>
          </cell>
        </row>
        <row r="107">
          <cell r="G107" t="str">
            <v>L0868617</v>
          </cell>
          <cell r="H107">
            <v>213180.72</v>
          </cell>
          <cell r="I107">
            <v>213180.72</v>
          </cell>
        </row>
        <row r="108">
          <cell r="G108" t="str">
            <v>L0870761</v>
          </cell>
          <cell r="H108">
            <v>221279.84</v>
          </cell>
          <cell r="I108">
            <v>221279.84</v>
          </cell>
        </row>
        <row r="109">
          <cell r="G109" t="str">
            <v>K0865148</v>
          </cell>
          <cell r="H109">
            <v>216330.12</v>
          </cell>
          <cell r="I109">
            <v>216330.12</v>
          </cell>
        </row>
        <row r="110">
          <cell r="G110" t="str">
            <v>L0868441</v>
          </cell>
          <cell r="H110">
            <v>221279.84</v>
          </cell>
          <cell r="I110">
            <v>221279.84</v>
          </cell>
        </row>
        <row r="111">
          <cell r="G111" t="str">
            <v>L0870481</v>
          </cell>
          <cell r="H111">
            <v>221279.84</v>
          </cell>
          <cell r="I111">
            <v>221279.84</v>
          </cell>
        </row>
        <row r="112">
          <cell r="G112" t="str">
            <v>L0870495</v>
          </cell>
          <cell r="H112">
            <v>221279.84</v>
          </cell>
          <cell r="I112">
            <v>221279.84</v>
          </cell>
        </row>
        <row r="113">
          <cell r="G113" t="str">
            <v>L0871616</v>
          </cell>
          <cell r="H113">
            <v>221279.84</v>
          </cell>
          <cell r="I113">
            <v>221279.84</v>
          </cell>
        </row>
        <row r="114">
          <cell r="G114" t="str">
            <v>L9140008</v>
          </cell>
          <cell r="H114">
            <v>226510.79</v>
          </cell>
          <cell r="I114">
            <v>226510.79</v>
          </cell>
        </row>
        <row r="115">
          <cell r="G115" t="str">
            <v>L9140092</v>
          </cell>
          <cell r="H115">
            <v>226510.79</v>
          </cell>
          <cell r="I115">
            <v>226510.79</v>
          </cell>
        </row>
        <row r="116">
          <cell r="G116" t="str">
            <v>L9139887</v>
          </cell>
          <cell r="H116">
            <v>226510.79</v>
          </cell>
          <cell r="I116">
            <v>226510.79</v>
          </cell>
        </row>
        <row r="117">
          <cell r="G117" t="str">
            <v>L9136854</v>
          </cell>
          <cell r="H117">
            <v>226510.79</v>
          </cell>
          <cell r="I117">
            <v>226510.79</v>
          </cell>
        </row>
        <row r="118">
          <cell r="G118" t="str">
            <v>LY633205</v>
          </cell>
          <cell r="H118">
            <v>185513.56</v>
          </cell>
          <cell r="I118">
            <v>185513.56</v>
          </cell>
        </row>
        <row r="119">
          <cell r="G119" t="str">
            <v>LY633097</v>
          </cell>
          <cell r="H119">
            <v>185513.56</v>
          </cell>
          <cell r="I119">
            <v>185513.56</v>
          </cell>
        </row>
        <row r="120">
          <cell r="G120" t="str">
            <v>L5107918</v>
          </cell>
          <cell r="H120">
            <v>271219</v>
          </cell>
          <cell r="I120">
            <v>271219</v>
          </cell>
        </row>
        <row r="121">
          <cell r="G121" t="str">
            <v>LY354507</v>
          </cell>
          <cell r="H121">
            <v>231014.2</v>
          </cell>
          <cell r="I121">
            <v>231014.2</v>
          </cell>
        </row>
        <row r="122">
          <cell r="G122" t="str">
            <v>LY361456</v>
          </cell>
          <cell r="H122">
            <v>231014.2</v>
          </cell>
          <cell r="I122">
            <v>231014.2</v>
          </cell>
        </row>
        <row r="123">
          <cell r="G123" t="str">
            <v>LY357280</v>
          </cell>
          <cell r="H123">
            <v>231014.2</v>
          </cell>
          <cell r="I123">
            <v>231014.2</v>
          </cell>
        </row>
        <row r="124">
          <cell r="G124" t="str">
            <v>LY362219</v>
          </cell>
          <cell r="H124">
            <v>231014.2</v>
          </cell>
          <cell r="I124">
            <v>231014.2</v>
          </cell>
        </row>
        <row r="125">
          <cell r="G125" t="str">
            <v>LY363354</v>
          </cell>
          <cell r="H125">
            <v>231014.2</v>
          </cell>
          <cell r="I125">
            <v>231014.2</v>
          </cell>
        </row>
        <row r="126">
          <cell r="G126" t="str">
            <v>LY357319</v>
          </cell>
          <cell r="H126">
            <v>231014.2</v>
          </cell>
          <cell r="I126">
            <v>231014.2</v>
          </cell>
        </row>
        <row r="127">
          <cell r="G127" t="str">
            <v>LY361726</v>
          </cell>
          <cell r="H127">
            <v>231014.2</v>
          </cell>
          <cell r="I127">
            <v>231014.2</v>
          </cell>
        </row>
        <row r="128">
          <cell r="G128" t="str">
            <v>LY354560</v>
          </cell>
          <cell r="H128">
            <v>231014.2</v>
          </cell>
          <cell r="I128">
            <v>231014.2</v>
          </cell>
        </row>
        <row r="129">
          <cell r="G129" t="str">
            <v>LY362223</v>
          </cell>
          <cell r="H129">
            <v>231014.2</v>
          </cell>
          <cell r="I129">
            <v>231014.2</v>
          </cell>
        </row>
        <row r="130">
          <cell r="G130" t="str">
            <v>LY363307</v>
          </cell>
          <cell r="H130">
            <v>231014.2</v>
          </cell>
          <cell r="I130">
            <v>231014.2</v>
          </cell>
        </row>
        <row r="131">
          <cell r="G131" t="str">
            <v>LY354480</v>
          </cell>
          <cell r="H131">
            <v>231014.2</v>
          </cell>
          <cell r="I131">
            <v>231014.2</v>
          </cell>
        </row>
        <row r="132">
          <cell r="G132" t="str">
            <v>LY361731</v>
          </cell>
          <cell r="H132">
            <v>231014.2</v>
          </cell>
          <cell r="I132">
            <v>231014.2</v>
          </cell>
        </row>
        <row r="133">
          <cell r="G133" t="str">
            <v>LY356974</v>
          </cell>
          <cell r="H133">
            <v>231014.2</v>
          </cell>
          <cell r="I133">
            <v>231014.2</v>
          </cell>
        </row>
        <row r="134">
          <cell r="G134" t="str">
            <v>LY362547</v>
          </cell>
          <cell r="H134">
            <v>231014.2</v>
          </cell>
          <cell r="I134">
            <v>231014.2</v>
          </cell>
        </row>
        <row r="135">
          <cell r="G135" t="str">
            <v>LY363150</v>
          </cell>
          <cell r="H135">
            <v>231014.2</v>
          </cell>
          <cell r="I135">
            <v>231014.2</v>
          </cell>
        </row>
        <row r="136">
          <cell r="G136" t="str">
            <v>KJ000791</v>
          </cell>
          <cell r="H136">
            <v>561584.46</v>
          </cell>
          <cell r="I136">
            <v>561584.46</v>
          </cell>
        </row>
        <row r="137">
          <cell r="G137" t="str">
            <v>KJ000764</v>
          </cell>
          <cell r="H137">
            <v>561584.46</v>
          </cell>
          <cell r="I137">
            <v>561584.46</v>
          </cell>
        </row>
        <row r="138">
          <cell r="G138" t="str">
            <v>KJ000773</v>
          </cell>
          <cell r="H138">
            <v>561584.46</v>
          </cell>
          <cell r="I138">
            <v>561584.46</v>
          </cell>
        </row>
        <row r="139">
          <cell r="G139" t="str">
            <v>KH006771</v>
          </cell>
          <cell r="H139">
            <v>195996.94</v>
          </cell>
          <cell r="I139">
            <v>195996.94</v>
          </cell>
        </row>
        <row r="140">
          <cell r="G140" t="str">
            <v>KH008570</v>
          </cell>
          <cell r="H140">
            <v>195996.94</v>
          </cell>
          <cell r="I140">
            <v>195996.94</v>
          </cell>
        </row>
        <row r="141">
          <cell r="G141" t="str">
            <v>LH000938</v>
          </cell>
          <cell r="H141">
            <v>218761.71</v>
          </cell>
          <cell r="I141">
            <v>218761.71</v>
          </cell>
        </row>
        <row r="142">
          <cell r="G142" t="str">
            <v>KH009078</v>
          </cell>
          <cell r="H142">
            <v>195996.94</v>
          </cell>
          <cell r="I142">
            <v>195996.94</v>
          </cell>
        </row>
        <row r="143">
          <cell r="G143" t="str">
            <v>KH009405</v>
          </cell>
          <cell r="H143">
            <v>195996.94</v>
          </cell>
          <cell r="I143">
            <v>195996.94</v>
          </cell>
        </row>
        <row r="144">
          <cell r="G144" t="str">
            <v>KH008571</v>
          </cell>
          <cell r="H144">
            <v>195996.94</v>
          </cell>
          <cell r="I144">
            <v>195996.94</v>
          </cell>
        </row>
        <row r="145">
          <cell r="G145" t="str">
            <v>KH009090</v>
          </cell>
          <cell r="H145">
            <v>195996.94</v>
          </cell>
          <cell r="I145">
            <v>195996.94</v>
          </cell>
        </row>
        <row r="146">
          <cell r="G146" t="str">
            <v>KH008546</v>
          </cell>
          <cell r="H146">
            <v>195996.94</v>
          </cell>
          <cell r="I146">
            <v>195996.94</v>
          </cell>
        </row>
        <row r="147">
          <cell r="G147" t="str">
            <v>KH009079</v>
          </cell>
          <cell r="H147">
            <v>195996.94</v>
          </cell>
          <cell r="I147">
            <v>195996.94</v>
          </cell>
        </row>
        <row r="148">
          <cell r="G148" t="str">
            <v>LH000870</v>
          </cell>
          <cell r="H148">
            <v>218761.71</v>
          </cell>
          <cell r="I148">
            <v>218761.71</v>
          </cell>
        </row>
        <row r="149">
          <cell r="G149" t="str">
            <v>KH008054</v>
          </cell>
          <cell r="H149">
            <v>195996.94</v>
          </cell>
          <cell r="I149">
            <v>195996.94</v>
          </cell>
        </row>
        <row r="150">
          <cell r="G150" t="str">
            <v>KH008569</v>
          </cell>
          <cell r="H150">
            <v>195996.94</v>
          </cell>
          <cell r="I150">
            <v>195996.94</v>
          </cell>
        </row>
        <row r="151">
          <cell r="G151" t="str">
            <v>KH008572</v>
          </cell>
          <cell r="H151">
            <v>195996.94</v>
          </cell>
          <cell r="I151">
            <v>195996.94</v>
          </cell>
        </row>
        <row r="152">
          <cell r="G152" t="str">
            <v>KH009088</v>
          </cell>
          <cell r="H152">
            <v>195996.94</v>
          </cell>
          <cell r="I152">
            <v>195996.94</v>
          </cell>
        </row>
        <row r="153">
          <cell r="G153" t="str">
            <v>KH009401</v>
          </cell>
          <cell r="H153">
            <v>195996.94</v>
          </cell>
          <cell r="I153">
            <v>195996.94</v>
          </cell>
        </row>
        <row r="154">
          <cell r="G154" t="str">
            <v>KH009527</v>
          </cell>
          <cell r="H154">
            <v>195996.94</v>
          </cell>
          <cell r="I154">
            <v>195996.94</v>
          </cell>
        </row>
        <row r="155">
          <cell r="G155" t="str">
            <v>KH009530</v>
          </cell>
          <cell r="H155">
            <v>195996.94</v>
          </cell>
          <cell r="I155">
            <v>195996.94</v>
          </cell>
        </row>
        <row r="156">
          <cell r="G156" t="str">
            <v>LH000912</v>
          </cell>
          <cell r="H156">
            <v>218761.71</v>
          </cell>
          <cell r="I156">
            <v>218761.71</v>
          </cell>
        </row>
        <row r="157">
          <cell r="G157" t="str">
            <v>KH008547</v>
          </cell>
          <cell r="H157">
            <v>195996.94</v>
          </cell>
          <cell r="I157">
            <v>195996.94</v>
          </cell>
        </row>
        <row r="158">
          <cell r="G158" t="str">
            <v>KH008550</v>
          </cell>
          <cell r="H158">
            <v>195996.94</v>
          </cell>
          <cell r="I158">
            <v>195996.94</v>
          </cell>
        </row>
        <row r="159">
          <cell r="G159" t="str">
            <v>KH008573</v>
          </cell>
          <cell r="H159">
            <v>195996.94</v>
          </cell>
          <cell r="I159">
            <v>195996.94</v>
          </cell>
        </row>
        <row r="160">
          <cell r="G160" t="str">
            <v>KH009075</v>
          </cell>
          <cell r="H160">
            <v>195996.94</v>
          </cell>
          <cell r="I160">
            <v>195996.94</v>
          </cell>
        </row>
        <row r="161">
          <cell r="G161" t="str">
            <v>KH009089</v>
          </cell>
          <cell r="H161">
            <v>195996.94</v>
          </cell>
          <cell r="I161">
            <v>195996.94</v>
          </cell>
        </row>
        <row r="162">
          <cell r="G162" t="str">
            <v>KH009402</v>
          </cell>
          <cell r="H162">
            <v>195996.94</v>
          </cell>
          <cell r="I162">
            <v>195996.94</v>
          </cell>
        </row>
        <row r="163">
          <cell r="G163" t="str">
            <v>KH009447</v>
          </cell>
          <cell r="H163">
            <v>195996.94</v>
          </cell>
          <cell r="I163">
            <v>195996.94</v>
          </cell>
        </row>
        <row r="164">
          <cell r="G164" t="str">
            <v>KH009528</v>
          </cell>
          <cell r="H164">
            <v>195996.94</v>
          </cell>
          <cell r="I164">
            <v>195996.94</v>
          </cell>
        </row>
        <row r="165">
          <cell r="G165" t="str">
            <v>KH009531</v>
          </cell>
          <cell r="H165">
            <v>195996.94</v>
          </cell>
          <cell r="I165">
            <v>195996.94</v>
          </cell>
        </row>
        <row r="166">
          <cell r="G166" t="str">
            <v>KH008274</v>
          </cell>
          <cell r="H166">
            <v>195996.94</v>
          </cell>
          <cell r="I166">
            <v>195996.94</v>
          </cell>
        </row>
        <row r="167">
          <cell r="G167" t="str">
            <v>KH008548</v>
          </cell>
          <cell r="H167">
            <v>195996.94</v>
          </cell>
          <cell r="I167">
            <v>195996.94</v>
          </cell>
        </row>
        <row r="168">
          <cell r="G168" t="str">
            <v>KH008713</v>
          </cell>
          <cell r="H168">
            <v>195996.94</v>
          </cell>
          <cell r="I168">
            <v>195996.94</v>
          </cell>
        </row>
        <row r="169">
          <cell r="G169" t="str">
            <v>KH009831</v>
          </cell>
          <cell r="H169">
            <v>214208.06</v>
          </cell>
          <cell r="I169">
            <v>214208.06</v>
          </cell>
        </row>
        <row r="170">
          <cell r="G170" t="str">
            <v>KH005741</v>
          </cell>
          <cell r="H170">
            <v>195996.94</v>
          </cell>
          <cell r="I170">
            <v>195996.94</v>
          </cell>
        </row>
        <row r="171">
          <cell r="G171" t="str">
            <v>KH008574</v>
          </cell>
          <cell r="H171">
            <v>195996.94</v>
          </cell>
          <cell r="I171">
            <v>195996.94</v>
          </cell>
        </row>
        <row r="172">
          <cell r="G172" t="str">
            <v>KH008719</v>
          </cell>
          <cell r="H172">
            <v>195996.94</v>
          </cell>
          <cell r="I172">
            <v>195996.94</v>
          </cell>
        </row>
        <row r="173">
          <cell r="G173" t="str">
            <v>KH009076</v>
          </cell>
          <cell r="H173">
            <v>195996.94</v>
          </cell>
          <cell r="I173">
            <v>195996.94</v>
          </cell>
        </row>
        <row r="174">
          <cell r="G174" t="str">
            <v>KH009403</v>
          </cell>
          <cell r="H174">
            <v>195996.94</v>
          </cell>
          <cell r="I174">
            <v>195996.94</v>
          </cell>
        </row>
        <row r="175">
          <cell r="G175" t="str">
            <v>KH009529</v>
          </cell>
          <cell r="H175">
            <v>195996.94</v>
          </cell>
          <cell r="I175">
            <v>195996.94</v>
          </cell>
        </row>
        <row r="176">
          <cell r="G176" t="str">
            <v>KH009532</v>
          </cell>
          <cell r="H176">
            <v>195996.94</v>
          </cell>
          <cell r="I176">
            <v>195996.94</v>
          </cell>
        </row>
        <row r="177">
          <cell r="G177" t="str">
            <v>KH008549</v>
          </cell>
          <cell r="H177">
            <v>195996.94</v>
          </cell>
          <cell r="I177">
            <v>195996.94</v>
          </cell>
        </row>
        <row r="178">
          <cell r="G178" t="str">
            <v>KH009832</v>
          </cell>
          <cell r="H178">
            <v>214208.06</v>
          </cell>
          <cell r="I178">
            <v>214208.06</v>
          </cell>
        </row>
        <row r="179">
          <cell r="G179" t="str">
            <v>LH000307</v>
          </cell>
          <cell r="H179">
            <v>218761.71</v>
          </cell>
          <cell r="I179">
            <v>218761.71</v>
          </cell>
        </row>
        <row r="180">
          <cell r="G180" t="str">
            <v>KH009077</v>
          </cell>
          <cell r="H180">
            <v>195996.94</v>
          </cell>
          <cell r="I180">
            <v>195996.94</v>
          </cell>
        </row>
        <row r="181">
          <cell r="G181" t="str">
            <v>KH009404</v>
          </cell>
          <cell r="H181">
            <v>195996.94</v>
          </cell>
          <cell r="I181">
            <v>195996.94</v>
          </cell>
        </row>
        <row r="182">
          <cell r="G182" t="str">
            <v>LH001711</v>
          </cell>
          <cell r="H182">
            <v>218761.71</v>
          </cell>
          <cell r="I182">
            <v>218761.71</v>
          </cell>
        </row>
        <row r="183">
          <cell r="G183" t="str">
            <v>LH000299</v>
          </cell>
          <cell r="H183">
            <v>241526.48</v>
          </cell>
          <cell r="I183">
            <v>241526.48</v>
          </cell>
        </row>
        <row r="184">
          <cell r="G184" t="str">
            <v>LH001826</v>
          </cell>
          <cell r="H184">
            <v>241526.48</v>
          </cell>
          <cell r="I184">
            <v>241526.48</v>
          </cell>
        </row>
        <row r="185">
          <cell r="G185" t="str">
            <v>LH001571</v>
          </cell>
          <cell r="H185">
            <v>241526.48</v>
          </cell>
          <cell r="I185">
            <v>241526.48</v>
          </cell>
        </row>
        <row r="186">
          <cell r="G186" t="str">
            <v>LH002057</v>
          </cell>
          <cell r="H186">
            <v>241526.48</v>
          </cell>
          <cell r="I186">
            <v>241526.48</v>
          </cell>
        </row>
        <row r="187">
          <cell r="G187" t="str">
            <v>LH001676</v>
          </cell>
          <cell r="H187">
            <v>241526.48</v>
          </cell>
          <cell r="I187">
            <v>241526.48</v>
          </cell>
        </row>
        <row r="188">
          <cell r="G188" t="str">
            <v>L6P01688</v>
          </cell>
          <cell r="H188">
            <v>239527.2</v>
          </cell>
          <cell r="I188">
            <v>239527.2</v>
          </cell>
        </row>
        <row r="189">
          <cell r="G189" t="str">
            <v>183</v>
          </cell>
          <cell r="I189">
            <v>72365152.020000041</v>
          </cell>
        </row>
        <row r="190">
          <cell r="G190" t="str">
            <v/>
          </cell>
        </row>
        <row r="191">
          <cell r="G191" t="str">
            <v>HW610542</v>
          </cell>
          <cell r="H191">
            <v>260000</v>
          </cell>
          <cell r="I191">
            <v>260000</v>
          </cell>
        </row>
        <row r="192">
          <cell r="G192" t="str">
            <v>FC816080</v>
          </cell>
          <cell r="H192">
            <v>232000</v>
          </cell>
          <cell r="I192">
            <v>232000</v>
          </cell>
        </row>
        <row r="193">
          <cell r="G193" t="str">
            <v>FC807585</v>
          </cell>
          <cell r="H193">
            <v>348000</v>
          </cell>
          <cell r="I193">
            <v>348000</v>
          </cell>
        </row>
        <row r="194">
          <cell r="G194" t="str">
            <v>FJ130321</v>
          </cell>
          <cell r="H194">
            <v>237200</v>
          </cell>
          <cell r="I194">
            <v>237200</v>
          </cell>
        </row>
        <row r="195">
          <cell r="G195" t="str">
            <v>GN760112</v>
          </cell>
          <cell r="H195">
            <v>238080</v>
          </cell>
          <cell r="I195">
            <v>119040</v>
          </cell>
        </row>
        <row r="196">
          <cell r="G196" t="str">
            <v>GT128635</v>
          </cell>
          <cell r="H196">
            <v>144000</v>
          </cell>
          <cell r="I196">
            <v>144000</v>
          </cell>
        </row>
        <row r="197">
          <cell r="G197" t="str">
            <v>HT551906</v>
          </cell>
          <cell r="H197">
            <v>185600</v>
          </cell>
          <cell r="I197">
            <v>185600</v>
          </cell>
        </row>
        <row r="198">
          <cell r="G198" t="str">
            <v>JT328554</v>
          </cell>
          <cell r="H198">
            <v>249200</v>
          </cell>
          <cell r="I198">
            <v>124600</v>
          </cell>
        </row>
        <row r="199">
          <cell r="G199" t="str">
            <v>HG544916</v>
          </cell>
          <cell r="H199">
            <v>248000</v>
          </cell>
          <cell r="I199">
            <v>248000</v>
          </cell>
        </row>
        <row r="200">
          <cell r="G200" t="str">
            <v>GG246503</v>
          </cell>
          <cell r="H200">
            <v>311840</v>
          </cell>
          <cell r="I200">
            <v>176720</v>
          </cell>
        </row>
        <row r="201">
          <cell r="G201" t="str">
            <v>HR242907</v>
          </cell>
          <cell r="H201">
            <v>229280</v>
          </cell>
          <cell r="I201">
            <v>114640</v>
          </cell>
        </row>
        <row r="202">
          <cell r="G202" t="str">
            <v>JS583141</v>
          </cell>
          <cell r="H202">
            <v>161120</v>
          </cell>
          <cell r="I202">
            <v>161120</v>
          </cell>
        </row>
        <row r="203">
          <cell r="G203" t="str">
            <v>GS588984</v>
          </cell>
          <cell r="H203">
            <v>106400</v>
          </cell>
          <cell r="I203">
            <v>106400</v>
          </cell>
        </row>
        <row r="204">
          <cell r="G204" t="str">
            <v>JE001920</v>
          </cell>
          <cell r="H204">
            <v>162560</v>
          </cell>
          <cell r="I204">
            <v>81280</v>
          </cell>
        </row>
        <row r="205">
          <cell r="G205" t="str">
            <v>FM279550</v>
          </cell>
          <cell r="H205">
            <v>120800</v>
          </cell>
          <cell r="I205">
            <v>60400</v>
          </cell>
        </row>
        <row r="206">
          <cell r="G206" t="str">
            <v>G0770325</v>
          </cell>
          <cell r="H206">
            <v>86640</v>
          </cell>
          <cell r="I206">
            <v>86640</v>
          </cell>
        </row>
        <row r="207">
          <cell r="G207" t="str">
            <v>H3328337</v>
          </cell>
          <cell r="H207">
            <v>76320</v>
          </cell>
          <cell r="I207">
            <v>76320</v>
          </cell>
        </row>
        <row r="208">
          <cell r="G208" t="str">
            <v>J7508740</v>
          </cell>
          <cell r="H208">
            <v>177200</v>
          </cell>
          <cell r="I208">
            <v>177200</v>
          </cell>
        </row>
        <row r="209">
          <cell r="G209" t="str">
            <v>JD126442</v>
          </cell>
          <cell r="H209">
            <v>105520</v>
          </cell>
          <cell r="I209">
            <v>105520</v>
          </cell>
        </row>
        <row r="210">
          <cell r="G210" t="str">
            <v>HM189248</v>
          </cell>
          <cell r="H210">
            <v>84560</v>
          </cell>
          <cell r="I210">
            <v>84560</v>
          </cell>
        </row>
        <row r="211">
          <cell r="G211" t="str">
            <v>GH000591</v>
          </cell>
          <cell r="H211">
            <v>77920</v>
          </cell>
          <cell r="I211">
            <v>77920</v>
          </cell>
        </row>
        <row r="212">
          <cell r="G212" t="str">
            <v>JK147373</v>
          </cell>
          <cell r="H212">
            <v>227760</v>
          </cell>
          <cell r="I212">
            <v>227760</v>
          </cell>
        </row>
        <row r="213">
          <cell r="G213" t="str">
            <v>FE057053</v>
          </cell>
          <cell r="H213">
            <v>127680</v>
          </cell>
          <cell r="I213">
            <v>127680</v>
          </cell>
        </row>
        <row r="214">
          <cell r="G214" t="str">
            <v>GX047828</v>
          </cell>
          <cell r="H214">
            <v>168480</v>
          </cell>
          <cell r="I214">
            <v>168480</v>
          </cell>
        </row>
        <row r="215">
          <cell r="G215" t="str">
            <v>HH543387</v>
          </cell>
          <cell r="H215">
            <v>340800</v>
          </cell>
          <cell r="I215">
            <v>340800</v>
          </cell>
        </row>
        <row r="216">
          <cell r="G216" t="str">
            <v>GD622915</v>
          </cell>
          <cell r="H216">
            <v>176720</v>
          </cell>
          <cell r="I216">
            <v>176720</v>
          </cell>
        </row>
        <row r="217">
          <cell r="G217" t="str">
            <v>GD681780</v>
          </cell>
          <cell r="H217">
            <v>176720</v>
          </cell>
          <cell r="I217">
            <v>176720</v>
          </cell>
        </row>
        <row r="218">
          <cell r="G218" t="str">
            <v>HT527870</v>
          </cell>
          <cell r="H218">
            <v>208880</v>
          </cell>
          <cell r="I218">
            <v>208880</v>
          </cell>
        </row>
        <row r="219">
          <cell r="G219" t="str">
            <v>HT551489</v>
          </cell>
          <cell r="H219">
            <v>236080</v>
          </cell>
          <cell r="I219">
            <v>236080</v>
          </cell>
        </row>
        <row r="220">
          <cell r="G220" t="str">
            <v>GC441949</v>
          </cell>
          <cell r="H220">
            <v>325520</v>
          </cell>
          <cell r="I220">
            <v>325520</v>
          </cell>
        </row>
        <row r="221">
          <cell r="G221" t="str">
            <v>HH006296</v>
          </cell>
          <cell r="H221">
            <v>92000</v>
          </cell>
          <cell r="I221">
            <v>92000</v>
          </cell>
        </row>
        <row r="222">
          <cell r="G222" t="str">
            <v>GX047740</v>
          </cell>
          <cell r="H222">
            <v>140800</v>
          </cell>
          <cell r="I222">
            <v>140800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LW130080</v>
          </cell>
          <cell r="H6">
            <v>709936.05</v>
          </cell>
          <cell r="I6">
            <v>709936.05</v>
          </cell>
        </row>
        <row r="7">
          <cell r="G7" t="str">
            <v>KW647290</v>
          </cell>
          <cell r="H7">
            <v>759475.89</v>
          </cell>
          <cell r="I7">
            <v>759475.89</v>
          </cell>
        </row>
        <row r="8">
          <cell r="G8" t="str">
            <v>LW125250</v>
          </cell>
          <cell r="H8">
            <v>853850.02</v>
          </cell>
          <cell r="I8">
            <v>853850.02</v>
          </cell>
        </row>
        <row r="9">
          <cell r="G9" t="str">
            <v>LW124442</v>
          </cell>
          <cell r="H9">
            <v>854954.25</v>
          </cell>
          <cell r="I9">
            <v>854954.25</v>
          </cell>
        </row>
        <row r="10">
          <cell r="G10" t="str">
            <v>LW117981</v>
          </cell>
          <cell r="H10">
            <v>825226.38</v>
          </cell>
          <cell r="I10">
            <v>825226.38</v>
          </cell>
        </row>
        <row r="11">
          <cell r="G11" t="str">
            <v>LW117988</v>
          </cell>
          <cell r="H11">
            <v>825226.38</v>
          </cell>
          <cell r="I11">
            <v>825226.38</v>
          </cell>
        </row>
        <row r="12">
          <cell r="G12" t="str">
            <v>KC805440</v>
          </cell>
          <cell r="H12">
            <v>721874.64</v>
          </cell>
          <cell r="I12">
            <v>721874.64</v>
          </cell>
        </row>
        <row r="13">
          <cell r="G13" t="str">
            <v>LC145191</v>
          </cell>
          <cell r="H13">
            <v>736501.96</v>
          </cell>
          <cell r="I13">
            <v>736501.96</v>
          </cell>
        </row>
        <row r="14">
          <cell r="G14" t="str">
            <v>LC145189</v>
          </cell>
          <cell r="H14">
            <v>736501.96</v>
          </cell>
          <cell r="I14">
            <v>736501.96</v>
          </cell>
        </row>
        <row r="15">
          <cell r="G15" t="str">
            <v>LC145192</v>
          </cell>
          <cell r="H15">
            <v>736501.96</v>
          </cell>
          <cell r="I15">
            <v>736501.96</v>
          </cell>
        </row>
        <row r="16">
          <cell r="G16" t="str">
            <v>LC113704</v>
          </cell>
          <cell r="H16">
            <v>736501.96</v>
          </cell>
          <cell r="I16">
            <v>736501.96</v>
          </cell>
        </row>
        <row r="17">
          <cell r="G17" t="str">
            <v>LC145190</v>
          </cell>
          <cell r="H17">
            <v>736501.96</v>
          </cell>
          <cell r="I17">
            <v>736501.96</v>
          </cell>
        </row>
        <row r="18">
          <cell r="G18" t="str">
            <v>LC105790</v>
          </cell>
          <cell r="H18">
            <v>797720.99</v>
          </cell>
          <cell r="I18">
            <v>797720.99</v>
          </cell>
        </row>
        <row r="19">
          <cell r="G19" t="str">
            <v>LN139761</v>
          </cell>
          <cell r="H19">
            <v>1067218.17</v>
          </cell>
          <cell r="I19">
            <v>1067218.17</v>
          </cell>
        </row>
        <row r="20">
          <cell r="G20" t="str">
            <v>KR758133</v>
          </cell>
          <cell r="H20">
            <v>491760.21</v>
          </cell>
          <cell r="I20">
            <v>491760.21</v>
          </cell>
        </row>
        <row r="21">
          <cell r="G21" t="str">
            <v>KR748589</v>
          </cell>
          <cell r="H21">
            <v>491760.21</v>
          </cell>
          <cell r="I21">
            <v>491760.21</v>
          </cell>
        </row>
        <row r="22">
          <cell r="G22" t="str">
            <v>KR757415</v>
          </cell>
          <cell r="H22">
            <v>547903.27</v>
          </cell>
          <cell r="I22">
            <v>547903.27</v>
          </cell>
        </row>
        <row r="23">
          <cell r="G23" t="str">
            <v>KT819926</v>
          </cell>
          <cell r="H23">
            <v>494559.95</v>
          </cell>
          <cell r="I23">
            <v>494559.95</v>
          </cell>
        </row>
        <row r="24">
          <cell r="G24" t="str">
            <v>LT110446</v>
          </cell>
          <cell r="H24">
            <v>546853.94999999995</v>
          </cell>
          <cell r="I24">
            <v>546853.94999999995</v>
          </cell>
        </row>
        <row r="25">
          <cell r="G25" t="str">
            <v>KT832340</v>
          </cell>
          <cell r="H25">
            <v>531490.48</v>
          </cell>
          <cell r="I25">
            <v>531490.48</v>
          </cell>
        </row>
        <row r="26">
          <cell r="G26" t="str">
            <v>LT110447</v>
          </cell>
          <cell r="H26">
            <v>546853.94999999995</v>
          </cell>
          <cell r="I26">
            <v>546853.94999999995</v>
          </cell>
        </row>
        <row r="27">
          <cell r="G27" t="str">
            <v>KT832341</v>
          </cell>
          <cell r="H27">
            <v>531490.48</v>
          </cell>
          <cell r="I27">
            <v>531490.48</v>
          </cell>
        </row>
        <row r="28">
          <cell r="G28" t="str">
            <v>KT757832</v>
          </cell>
          <cell r="H28">
            <v>451062.43</v>
          </cell>
          <cell r="I28">
            <v>451062.43</v>
          </cell>
        </row>
        <row r="29">
          <cell r="G29" t="str">
            <v>KG572493</v>
          </cell>
          <cell r="H29">
            <v>515180.59</v>
          </cell>
          <cell r="I29">
            <v>515180.59</v>
          </cell>
        </row>
        <row r="30">
          <cell r="G30" t="str">
            <v>KG575667</v>
          </cell>
          <cell r="H30">
            <v>515180.59</v>
          </cell>
          <cell r="I30">
            <v>515180.59</v>
          </cell>
        </row>
        <row r="31">
          <cell r="G31" t="str">
            <v>KG575670</v>
          </cell>
          <cell r="H31">
            <v>515180.59</v>
          </cell>
          <cell r="I31">
            <v>515180.59</v>
          </cell>
        </row>
        <row r="32">
          <cell r="G32" t="str">
            <v>KG575684</v>
          </cell>
          <cell r="H32">
            <v>515180.59</v>
          </cell>
          <cell r="I32">
            <v>515180.59</v>
          </cell>
        </row>
        <row r="33">
          <cell r="G33" t="str">
            <v>KG575698</v>
          </cell>
          <cell r="H33">
            <v>519421.09</v>
          </cell>
          <cell r="I33">
            <v>519421.09</v>
          </cell>
        </row>
        <row r="34">
          <cell r="G34" t="str">
            <v>KG575720</v>
          </cell>
          <cell r="H34">
            <v>515180.59</v>
          </cell>
          <cell r="I34">
            <v>515180.59</v>
          </cell>
        </row>
        <row r="35">
          <cell r="G35" t="str">
            <v>KG575533</v>
          </cell>
          <cell r="H35">
            <v>515180.59</v>
          </cell>
          <cell r="I35">
            <v>515180.59</v>
          </cell>
        </row>
        <row r="36">
          <cell r="G36" t="str">
            <v>KG575726</v>
          </cell>
          <cell r="H36">
            <v>515180.59</v>
          </cell>
          <cell r="I36">
            <v>515180.59</v>
          </cell>
        </row>
        <row r="37">
          <cell r="G37" t="str">
            <v>KG572513</v>
          </cell>
          <cell r="H37">
            <v>515180.59</v>
          </cell>
          <cell r="I37">
            <v>515180.59</v>
          </cell>
        </row>
        <row r="38">
          <cell r="G38" t="str">
            <v>KG575458</v>
          </cell>
          <cell r="H38">
            <v>515180.59</v>
          </cell>
          <cell r="I38">
            <v>515180.59</v>
          </cell>
        </row>
        <row r="39">
          <cell r="G39" t="str">
            <v>KG575511</v>
          </cell>
          <cell r="H39">
            <v>515180.59</v>
          </cell>
          <cell r="I39">
            <v>515180.59</v>
          </cell>
        </row>
        <row r="40">
          <cell r="G40" t="str">
            <v>KG575556</v>
          </cell>
          <cell r="H40">
            <v>515180.59</v>
          </cell>
          <cell r="I40">
            <v>515180.59</v>
          </cell>
        </row>
        <row r="41">
          <cell r="G41" t="str">
            <v>KG575637</v>
          </cell>
          <cell r="H41">
            <v>515180.59</v>
          </cell>
          <cell r="I41">
            <v>515180.59</v>
          </cell>
        </row>
        <row r="42">
          <cell r="G42" t="str">
            <v>KG575671</v>
          </cell>
          <cell r="H42">
            <v>515180.59</v>
          </cell>
          <cell r="I42">
            <v>515180.59</v>
          </cell>
        </row>
        <row r="43">
          <cell r="G43" t="str">
            <v>KG575704</v>
          </cell>
          <cell r="H43">
            <v>519421.09</v>
          </cell>
          <cell r="I43">
            <v>519421.09</v>
          </cell>
        </row>
        <row r="44">
          <cell r="G44" t="str">
            <v>KG575718</v>
          </cell>
          <cell r="H44">
            <v>515180.59</v>
          </cell>
          <cell r="I44">
            <v>515180.59</v>
          </cell>
        </row>
        <row r="45">
          <cell r="G45" t="str">
            <v>KG575721</v>
          </cell>
          <cell r="H45">
            <v>515180.59</v>
          </cell>
          <cell r="I45">
            <v>515180.59</v>
          </cell>
        </row>
        <row r="46">
          <cell r="G46" t="str">
            <v>KG572486</v>
          </cell>
          <cell r="H46">
            <v>515180.59</v>
          </cell>
          <cell r="I46">
            <v>515180.59</v>
          </cell>
        </row>
        <row r="47">
          <cell r="G47" t="str">
            <v>KG575632</v>
          </cell>
          <cell r="H47">
            <v>515180.59</v>
          </cell>
          <cell r="I47">
            <v>515180.59</v>
          </cell>
        </row>
        <row r="48">
          <cell r="G48" t="str">
            <v>KG575694</v>
          </cell>
          <cell r="H48">
            <v>515180.59</v>
          </cell>
          <cell r="I48">
            <v>515180.59</v>
          </cell>
        </row>
        <row r="49">
          <cell r="G49" t="str">
            <v>KG575713</v>
          </cell>
          <cell r="H49">
            <v>515180.59</v>
          </cell>
          <cell r="I49">
            <v>515180.59</v>
          </cell>
        </row>
        <row r="50">
          <cell r="G50" t="str">
            <v>KG575727</v>
          </cell>
          <cell r="H50">
            <v>515180.59</v>
          </cell>
          <cell r="I50">
            <v>515180.59</v>
          </cell>
        </row>
        <row r="51">
          <cell r="G51" t="str">
            <v>KG575428</v>
          </cell>
          <cell r="H51">
            <v>515180.59</v>
          </cell>
          <cell r="I51">
            <v>515180.59</v>
          </cell>
        </row>
        <row r="52">
          <cell r="G52" t="str">
            <v>KG575722</v>
          </cell>
          <cell r="H52">
            <v>515180.59</v>
          </cell>
          <cell r="I52">
            <v>515180.59</v>
          </cell>
        </row>
        <row r="53">
          <cell r="G53" t="str">
            <v>KG575736</v>
          </cell>
          <cell r="H53">
            <v>515180.59</v>
          </cell>
          <cell r="I53">
            <v>515180.59</v>
          </cell>
        </row>
        <row r="54">
          <cell r="G54" t="str">
            <v>KG575731</v>
          </cell>
          <cell r="H54">
            <v>515180.59</v>
          </cell>
          <cell r="I54">
            <v>515180.59</v>
          </cell>
        </row>
        <row r="55">
          <cell r="G55" t="str">
            <v>KG575639</v>
          </cell>
          <cell r="H55">
            <v>515180.59</v>
          </cell>
          <cell r="I55">
            <v>515180.59</v>
          </cell>
        </row>
        <row r="56">
          <cell r="G56" t="str">
            <v>KG575690</v>
          </cell>
          <cell r="H56">
            <v>515180.59</v>
          </cell>
          <cell r="I56">
            <v>515180.59</v>
          </cell>
        </row>
        <row r="57">
          <cell r="G57" t="str">
            <v>KG575706</v>
          </cell>
          <cell r="H57">
            <v>515180.59</v>
          </cell>
          <cell r="I57">
            <v>515180.59</v>
          </cell>
        </row>
        <row r="58">
          <cell r="G58" t="str">
            <v>KG575723</v>
          </cell>
          <cell r="H58">
            <v>515180.59</v>
          </cell>
          <cell r="I58">
            <v>515180.59</v>
          </cell>
        </row>
        <row r="59">
          <cell r="G59" t="str">
            <v>KG575696</v>
          </cell>
          <cell r="H59">
            <v>515180.59</v>
          </cell>
          <cell r="I59">
            <v>515180.59</v>
          </cell>
        </row>
        <row r="60">
          <cell r="G60" t="str">
            <v>KG575701</v>
          </cell>
          <cell r="H60">
            <v>515180.59</v>
          </cell>
          <cell r="I60">
            <v>515180.59</v>
          </cell>
        </row>
        <row r="61">
          <cell r="G61" t="str">
            <v>KG528855</v>
          </cell>
          <cell r="H61">
            <v>508395.1</v>
          </cell>
          <cell r="I61">
            <v>457395.1</v>
          </cell>
        </row>
        <row r="62">
          <cell r="G62" t="str">
            <v>KG528905</v>
          </cell>
          <cell r="H62">
            <v>508395.1</v>
          </cell>
          <cell r="I62">
            <v>457395.1</v>
          </cell>
        </row>
        <row r="63">
          <cell r="G63" t="str">
            <v>KG528936</v>
          </cell>
          <cell r="H63">
            <v>508395.1</v>
          </cell>
          <cell r="I63">
            <v>457395.1</v>
          </cell>
        </row>
        <row r="64">
          <cell r="G64" t="str">
            <v>KG528970</v>
          </cell>
          <cell r="H64">
            <v>508395.1</v>
          </cell>
          <cell r="I64">
            <v>457395.1</v>
          </cell>
        </row>
        <row r="65">
          <cell r="G65" t="str">
            <v>KG575514</v>
          </cell>
          <cell r="H65">
            <v>515180.59</v>
          </cell>
          <cell r="I65">
            <v>515180.59</v>
          </cell>
        </row>
        <row r="66">
          <cell r="G66" t="str">
            <v>KG575643</v>
          </cell>
          <cell r="H66">
            <v>515180.59</v>
          </cell>
          <cell r="I66">
            <v>515180.59</v>
          </cell>
        </row>
        <row r="67">
          <cell r="G67" t="str">
            <v>KG575707</v>
          </cell>
          <cell r="H67">
            <v>515180.59</v>
          </cell>
          <cell r="I67">
            <v>515180.59</v>
          </cell>
        </row>
        <row r="68">
          <cell r="G68" t="str">
            <v>KG575724</v>
          </cell>
          <cell r="H68">
            <v>515180.59</v>
          </cell>
          <cell r="I68">
            <v>515180.59</v>
          </cell>
        </row>
        <row r="69">
          <cell r="G69" t="str">
            <v>KG528735</v>
          </cell>
          <cell r="H69">
            <v>508395.1</v>
          </cell>
          <cell r="I69">
            <v>457395.1</v>
          </cell>
        </row>
        <row r="70">
          <cell r="G70" t="str">
            <v>KG572511</v>
          </cell>
          <cell r="H70">
            <v>515180.59</v>
          </cell>
          <cell r="I70">
            <v>515180.59</v>
          </cell>
        </row>
        <row r="71">
          <cell r="G71" t="str">
            <v>KG575487</v>
          </cell>
          <cell r="H71">
            <v>515180.59</v>
          </cell>
          <cell r="I71">
            <v>515180.59</v>
          </cell>
        </row>
        <row r="72">
          <cell r="G72" t="str">
            <v>KG575649</v>
          </cell>
          <cell r="H72">
            <v>515180.59</v>
          </cell>
          <cell r="I72">
            <v>515180.59</v>
          </cell>
        </row>
        <row r="73">
          <cell r="G73" t="str">
            <v>KG575666</v>
          </cell>
          <cell r="H73">
            <v>515180.59</v>
          </cell>
          <cell r="I73">
            <v>515180.59</v>
          </cell>
        </row>
        <row r="74">
          <cell r="G74" t="str">
            <v>KG575697</v>
          </cell>
          <cell r="H74">
            <v>519421.09</v>
          </cell>
          <cell r="I74">
            <v>519421.09</v>
          </cell>
        </row>
        <row r="75">
          <cell r="G75" t="str">
            <v>KG575702</v>
          </cell>
          <cell r="H75">
            <v>515180.59</v>
          </cell>
          <cell r="I75">
            <v>515180.59</v>
          </cell>
        </row>
        <row r="76">
          <cell r="G76" t="str">
            <v>KG528730</v>
          </cell>
          <cell r="H76">
            <v>508395.1</v>
          </cell>
          <cell r="I76">
            <v>457395.1</v>
          </cell>
        </row>
        <row r="77">
          <cell r="G77" t="str">
            <v>KG575515</v>
          </cell>
          <cell r="H77">
            <v>515180.59</v>
          </cell>
          <cell r="I77">
            <v>515180.59</v>
          </cell>
        </row>
        <row r="78">
          <cell r="G78" t="str">
            <v>KG575708</v>
          </cell>
          <cell r="H78">
            <v>515180.59</v>
          </cell>
          <cell r="I78">
            <v>515180.59</v>
          </cell>
        </row>
        <row r="79">
          <cell r="G79" t="str">
            <v>KG575711</v>
          </cell>
          <cell r="H79">
            <v>515180.59</v>
          </cell>
          <cell r="I79">
            <v>515180.59</v>
          </cell>
        </row>
        <row r="80">
          <cell r="G80" t="str">
            <v>KG575725</v>
          </cell>
          <cell r="H80">
            <v>515180.59</v>
          </cell>
          <cell r="I80">
            <v>515180.59</v>
          </cell>
        </row>
        <row r="81">
          <cell r="G81" t="str">
            <v>KG657953</v>
          </cell>
          <cell r="H81">
            <v>496518.43</v>
          </cell>
          <cell r="I81">
            <v>496518.43</v>
          </cell>
        </row>
        <row r="82">
          <cell r="G82" t="str">
            <v>KG657954</v>
          </cell>
          <cell r="H82">
            <v>496518.43</v>
          </cell>
          <cell r="I82">
            <v>496518.43</v>
          </cell>
        </row>
        <row r="83">
          <cell r="G83" t="str">
            <v>KG651791</v>
          </cell>
          <cell r="H83">
            <v>496518.43</v>
          </cell>
          <cell r="I83">
            <v>496518.43</v>
          </cell>
        </row>
        <row r="84">
          <cell r="G84" t="str">
            <v>KG651792</v>
          </cell>
          <cell r="H84">
            <v>496518.43</v>
          </cell>
          <cell r="I84">
            <v>496518.43</v>
          </cell>
        </row>
        <row r="85">
          <cell r="G85" t="str">
            <v>KG657952</v>
          </cell>
          <cell r="H85">
            <v>496518.43</v>
          </cell>
          <cell r="I85">
            <v>496518.43</v>
          </cell>
        </row>
        <row r="86">
          <cell r="G86" t="str">
            <v>KG557702</v>
          </cell>
          <cell r="H86">
            <v>518903.44</v>
          </cell>
          <cell r="I86">
            <v>518903.44</v>
          </cell>
        </row>
        <row r="87">
          <cell r="G87" t="str">
            <v>KG594340</v>
          </cell>
          <cell r="H87">
            <v>509107.35</v>
          </cell>
          <cell r="I87">
            <v>509107.35</v>
          </cell>
        </row>
        <row r="88">
          <cell r="G88" t="str">
            <v>KG557703</v>
          </cell>
          <cell r="H88">
            <v>518903.44</v>
          </cell>
          <cell r="I88">
            <v>518903.44</v>
          </cell>
        </row>
        <row r="89">
          <cell r="G89" t="str">
            <v>KG575795</v>
          </cell>
          <cell r="H89">
            <v>509107.35</v>
          </cell>
          <cell r="I89">
            <v>509107.35</v>
          </cell>
        </row>
        <row r="90">
          <cell r="G90" t="str">
            <v>KG595957</v>
          </cell>
          <cell r="H90">
            <v>509107.35</v>
          </cell>
          <cell r="I90">
            <v>509107.35</v>
          </cell>
        </row>
        <row r="91">
          <cell r="G91" t="str">
            <v>KG575796</v>
          </cell>
          <cell r="H91">
            <v>524706.86</v>
          </cell>
          <cell r="I91">
            <v>524706.86</v>
          </cell>
        </row>
        <row r="92">
          <cell r="G92" t="str">
            <v>KG561566</v>
          </cell>
          <cell r="H92">
            <v>518903.44</v>
          </cell>
          <cell r="I92">
            <v>518903.44</v>
          </cell>
        </row>
        <row r="93">
          <cell r="G93" t="str">
            <v>KG575788</v>
          </cell>
          <cell r="H93">
            <v>509107.35</v>
          </cell>
          <cell r="I93">
            <v>509107.35</v>
          </cell>
        </row>
        <row r="94">
          <cell r="G94" t="str">
            <v>KG575791</v>
          </cell>
          <cell r="H94">
            <v>509107.35</v>
          </cell>
          <cell r="I94">
            <v>509107.35</v>
          </cell>
        </row>
        <row r="95">
          <cell r="G95" t="str">
            <v>KG585902</v>
          </cell>
          <cell r="H95">
            <v>509107.35</v>
          </cell>
          <cell r="I95">
            <v>509107.35</v>
          </cell>
        </row>
        <row r="96">
          <cell r="G96" t="str">
            <v>KG575797</v>
          </cell>
          <cell r="H96">
            <v>524706.86</v>
          </cell>
          <cell r="I96">
            <v>524706.86</v>
          </cell>
        </row>
        <row r="97">
          <cell r="G97" t="str">
            <v>KG557700</v>
          </cell>
          <cell r="H97">
            <v>518903.44</v>
          </cell>
          <cell r="I97">
            <v>518903.44</v>
          </cell>
        </row>
        <row r="98">
          <cell r="G98" t="str">
            <v>KG568874</v>
          </cell>
          <cell r="H98">
            <v>518903.44</v>
          </cell>
          <cell r="I98">
            <v>518903.44</v>
          </cell>
        </row>
        <row r="99">
          <cell r="G99" t="str">
            <v>KG575792</v>
          </cell>
          <cell r="H99">
            <v>509107.35</v>
          </cell>
          <cell r="I99">
            <v>509107.35</v>
          </cell>
        </row>
        <row r="100">
          <cell r="G100" t="str">
            <v>KG557701</v>
          </cell>
          <cell r="H100">
            <v>518903.44</v>
          </cell>
          <cell r="I100">
            <v>518903.44</v>
          </cell>
        </row>
        <row r="101">
          <cell r="G101" t="str">
            <v>KG575793</v>
          </cell>
          <cell r="H101">
            <v>509107.35</v>
          </cell>
          <cell r="I101">
            <v>509107.35</v>
          </cell>
        </row>
        <row r="102">
          <cell r="G102" t="str">
            <v>KG603124</v>
          </cell>
          <cell r="H102">
            <v>671255.17</v>
          </cell>
          <cell r="I102">
            <v>671255.17</v>
          </cell>
        </row>
        <row r="103">
          <cell r="G103" t="str">
            <v>KG603125</v>
          </cell>
          <cell r="H103">
            <v>671255.17</v>
          </cell>
          <cell r="I103">
            <v>671255.17</v>
          </cell>
        </row>
        <row r="104">
          <cell r="G104" t="str">
            <v>LK274923</v>
          </cell>
          <cell r="H104">
            <v>437222.68</v>
          </cell>
          <cell r="I104">
            <v>437222.68</v>
          </cell>
        </row>
        <row r="105">
          <cell r="G105" t="str">
            <v>L0871158</v>
          </cell>
          <cell r="H105">
            <v>199230.56</v>
          </cell>
          <cell r="I105">
            <v>199230.56</v>
          </cell>
        </row>
        <row r="106">
          <cell r="G106" t="str">
            <v>L0874571</v>
          </cell>
          <cell r="H106">
            <v>199230.56</v>
          </cell>
          <cell r="I106">
            <v>199230.56</v>
          </cell>
        </row>
        <row r="107">
          <cell r="G107" t="str">
            <v>L0874621</v>
          </cell>
          <cell r="H107">
            <v>199230.56</v>
          </cell>
          <cell r="I107">
            <v>199230.56</v>
          </cell>
        </row>
        <row r="108">
          <cell r="G108" t="str">
            <v>L0870757</v>
          </cell>
          <cell r="H108">
            <v>213180.72</v>
          </cell>
          <cell r="I108">
            <v>213180.72</v>
          </cell>
        </row>
        <row r="109">
          <cell r="G109" t="str">
            <v>L0868578</v>
          </cell>
          <cell r="H109">
            <v>213180.72</v>
          </cell>
          <cell r="I109">
            <v>213180.72</v>
          </cell>
        </row>
        <row r="110">
          <cell r="G110" t="str">
            <v>L0868617</v>
          </cell>
          <cell r="H110">
            <v>213180.72</v>
          </cell>
          <cell r="I110">
            <v>213180.72</v>
          </cell>
        </row>
        <row r="111">
          <cell r="G111" t="str">
            <v>L0870761</v>
          </cell>
          <cell r="H111">
            <v>221279.84</v>
          </cell>
          <cell r="I111">
            <v>221279.84</v>
          </cell>
        </row>
        <row r="112">
          <cell r="G112" t="str">
            <v>K0865148</v>
          </cell>
          <cell r="H112">
            <v>216330.12</v>
          </cell>
          <cell r="I112">
            <v>216330.12</v>
          </cell>
        </row>
        <row r="113">
          <cell r="G113" t="str">
            <v>L0868441</v>
          </cell>
          <cell r="H113">
            <v>221279.84</v>
          </cell>
          <cell r="I113">
            <v>221279.84</v>
          </cell>
        </row>
        <row r="114">
          <cell r="G114" t="str">
            <v>L0870481</v>
          </cell>
          <cell r="H114">
            <v>221279.84</v>
          </cell>
          <cell r="I114">
            <v>221279.84</v>
          </cell>
        </row>
        <row r="115">
          <cell r="G115" t="str">
            <v>L0870495</v>
          </cell>
          <cell r="H115">
            <v>221279.84</v>
          </cell>
          <cell r="I115">
            <v>221279.84</v>
          </cell>
        </row>
        <row r="116">
          <cell r="G116" t="str">
            <v>L0871616</v>
          </cell>
          <cell r="H116">
            <v>221279.84</v>
          </cell>
          <cell r="I116">
            <v>221279.84</v>
          </cell>
        </row>
        <row r="117">
          <cell r="G117" t="str">
            <v>L9140008</v>
          </cell>
          <cell r="H117">
            <v>226510.79</v>
          </cell>
          <cell r="I117">
            <v>226510.79</v>
          </cell>
        </row>
        <row r="118">
          <cell r="G118" t="str">
            <v>L9140092</v>
          </cell>
          <cell r="H118">
            <v>226510.79</v>
          </cell>
          <cell r="I118">
            <v>226510.79</v>
          </cell>
        </row>
        <row r="119">
          <cell r="G119" t="str">
            <v>L9139887</v>
          </cell>
          <cell r="H119">
            <v>226510.79</v>
          </cell>
          <cell r="I119">
            <v>226510.79</v>
          </cell>
        </row>
        <row r="120">
          <cell r="G120" t="str">
            <v>L9136854</v>
          </cell>
          <cell r="H120">
            <v>226510.79</v>
          </cell>
          <cell r="I120">
            <v>226510.79</v>
          </cell>
        </row>
        <row r="121">
          <cell r="G121" t="str">
            <v>LY633205</v>
          </cell>
          <cell r="H121">
            <v>185513.56</v>
          </cell>
          <cell r="I121">
            <v>185513.56</v>
          </cell>
        </row>
        <row r="122">
          <cell r="G122" t="str">
            <v>LY633097</v>
          </cell>
          <cell r="H122">
            <v>185513.56</v>
          </cell>
          <cell r="I122">
            <v>185513.56</v>
          </cell>
        </row>
        <row r="123">
          <cell r="G123" t="str">
            <v>L5107918</v>
          </cell>
          <cell r="H123">
            <v>271219</v>
          </cell>
          <cell r="I123">
            <v>271219</v>
          </cell>
        </row>
        <row r="124">
          <cell r="G124" t="str">
            <v>LY354507</v>
          </cell>
          <cell r="H124">
            <v>231014.2</v>
          </cell>
          <cell r="I124">
            <v>231014.2</v>
          </cell>
        </row>
        <row r="125">
          <cell r="G125" t="str">
            <v>LY361456</v>
          </cell>
          <cell r="H125">
            <v>231014.2</v>
          </cell>
          <cell r="I125">
            <v>231014.2</v>
          </cell>
        </row>
        <row r="126">
          <cell r="G126" t="str">
            <v>LY357280</v>
          </cell>
          <cell r="H126">
            <v>231014.2</v>
          </cell>
          <cell r="I126">
            <v>231014.2</v>
          </cell>
        </row>
        <row r="127">
          <cell r="G127" t="str">
            <v>LY362219</v>
          </cell>
          <cell r="H127">
            <v>231014.2</v>
          </cell>
          <cell r="I127">
            <v>231014.2</v>
          </cell>
        </row>
        <row r="128">
          <cell r="G128" t="str">
            <v>LY363354</v>
          </cell>
          <cell r="H128">
            <v>231014.2</v>
          </cell>
          <cell r="I128">
            <v>231014.2</v>
          </cell>
        </row>
        <row r="129">
          <cell r="G129" t="str">
            <v>LY357319</v>
          </cell>
          <cell r="H129">
            <v>231014.2</v>
          </cell>
          <cell r="I129">
            <v>231014.2</v>
          </cell>
        </row>
        <row r="130">
          <cell r="G130" t="str">
            <v>LY361726</v>
          </cell>
          <cell r="H130">
            <v>231014.2</v>
          </cell>
          <cell r="I130">
            <v>231014.2</v>
          </cell>
        </row>
        <row r="131">
          <cell r="G131" t="str">
            <v>LY354560</v>
          </cell>
          <cell r="H131">
            <v>231014.2</v>
          </cell>
          <cell r="I131">
            <v>231014.2</v>
          </cell>
        </row>
        <row r="132">
          <cell r="G132" t="str">
            <v>LY362223</v>
          </cell>
          <cell r="H132">
            <v>231014.2</v>
          </cell>
          <cell r="I132">
            <v>231014.2</v>
          </cell>
        </row>
        <row r="133">
          <cell r="G133" t="str">
            <v>LY363307</v>
          </cell>
          <cell r="H133">
            <v>231014.2</v>
          </cell>
          <cell r="I133">
            <v>231014.2</v>
          </cell>
        </row>
        <row r="134">
          <cell r="G134" t="str">
            <v>LY354480</v>
          </cell>
          <cell r="H134">
            <v>231014.2</v>
          </cell>
          <cell r="I134">
            <v>231014.2</v>
          </cell>
        </row>
        <row r="135">
          <cell r="G135" t="str">
            <v>LY361731</v>
          </cell>
          <cell r="H135">
            <v>231014.2</v>
          </cell>
          <cell r="I135">
            <v>231014.2</v>
          </cell>
        </row>
        <row r="136">
          <cell r="G136" t="str">
            <v>LY356974</v>
          </cell>
          <cell r="H136">
            <v>231014.2</v>
          </cell>
          <cell r="I136">
            <v>231014.2</v>
          </cell>
        </row>
        <row r="137">
          <cell r="G137" t="str">
            <v>LY362547</v>
          </cell>
          <cell r="H137">
            <v>231014.2</v>
          </cell>
          <cell r="I137">
            <v>231014.2</v>
          </cell>
        </row>
        <row r="138">
          <cell r="G138" t="str">
            <v>LY363150</v>
          </cell>
          <cell r="H138">
            <v>231014.2</v>
          </cell>
          <cell r="I138">
            <v>231014.2</v>
          </cell>
        </row>
        <row r="139">
          <cell r="G139" t="str">
            <v>KJ000791</v>
          </cell>
          <cell r="H139">
            <v>561584.46</v>
          </cell>
          <cell r="I139">
            <v>561584.46</v>
          </cell>
        </row>
        <row r="140">
          <cell r="G140" t="str">
            <v>KJ000764</v>
          </cell>
          <cell r="H140">
            <v>561584.46</v>
          </cell>
          <cell r="I140">
            <v>561584.46</v>
          </cell>
        </row>
        <row r="141">
          <cell r="G141" t="str">
            <v>KJ000773</v>
          </cell>
          <cell r="H141">
            <v>561584.46</v>
          </cell>
          <cell r="I141">
            <v>561584.46</v>
          </cell>
        </row>
        <row r="142">
          <cell r="G142" t="str">
            <v>KH006771</v>
          </cell>
          <cell r="H142">
            <v>195996.94</v>
          </cell>
          <cell r="I142">
            <v>195996.94</v>
          </cell>
        </row>
        <row r="143">
          <cell r="G143" t="str">
            <v>KH008570</v>
          </cell>
          <cell r="H143">
            <v>195996.94</v>
          </cell>
          <cell r="I143">
            <v>195996.94</v>
          </cell>
        </row>
        <row r="144">
          <cell r="G144" t="str">
            <v>LH000938</v>
          </cell>
          <cell r="H144">
            <v>218761.71</v>
          </cell>
          <cell r="I144">
            <v>218761.71</v>
          </cell>
        </row>
        <row r="145">
          <cell r="G145" t="str">
            <v>KH009078</v>
          </cell>
          <cell r="H145">
            <v>195996.94</v>
          </cell>
          <cell r="I145">
            <v>195996.94</v>
          </cell>
        </row>
        <row r="146">
          <cell r="G146" t="str">
            <v>KH009405</v>
          </cell>
          <cell r="H146">
            <v>195996.94</v>
          </cell>
          <cell r="I146">
            <v>195996.94</v>
          </cell>
        </row>
        <row r="147">
          <cell r="G147" t="str">
            <v>KH008571</v>
          </cell>
          <cell r="H147">
            <v>195996.94</v>
          </cell>
          <cell r="I147">
            <v>195996.94</v>
          </cell>
        </row>
        <row r="148">
          <cell r="G148" t="str">
            <v>KH009090</v>
          </cell>
          <cell r="H148">
            <v>195996.94</v>
          </cell>
          <cell r="I148">
            <v>195996.94</v>
          </cell>
        </row>
        <row r="149">
          <cell r="G149" t="str">
            <v>KH008546</v>
          </cell>
          <cell r="H149">
            <v>195996.94</v>
          </cell>
          <cell r="I149">
            <v>195996.94</v>
          </cell>
        </row>
        <row r="150">
          <cell r="G150" t="str">
            <v>KH009079</v>
          </cell>
          <cell r="H150">
            <v>195996.94</v>
          </cell>
          <cell r="I150">
            <v>195996.94</v>
          </cell>
        </row>
        <row r="151">
          <cell r="G151" t="str">
            <v>LH000870</v>
          </cell>
          <cell r="H151">
            <v>218761.71</v>
          </cell>
          <cell r="I151">
            <v>218761.71</v>
          </cell>
        </row>
        <row r="152">
          <cell r="G152" t="str">
            <v>KH008054</v>
          </cell>
          <cell r="H152">
            <v>195996.94</v>
          </cell>
          <cell r="I152">
            <v>195996.94</v>
          </cell>
        </row>
        <row r="153">
          <cell r="G153" t="str">
            <v>KH008569</v>
          </cell>
          <cell r="H153">
            <v>195996.94</v>
          </cell>
          <cell r="I153">
            <v>195996.94</v>
          </cell>
        </row>
        <row r="154">
          <cell r="G154" t="str">
            <v>KH008572</v>
          </cell>
          <cell r="H154">
            <v>195996.94</v>
          </cell>
          <cell r="I154">
            <v>195996.94</v>
          </cell>
        </row>
        <row r="155">
          <cell r="G155" t="str">
            <v>KH009088</v>
          </cell>
          <cell r="H155">
            <v>195996.94</v>
          </cell>
          <cell r="I155">
            <v>195996.94</v>
          </cell>
        </row>
        <row r="156">
          <cell r="G156" t="str">
            <v>KH009401</v>
          </cell>
          <cell r="H156">
            <v>195996.94</v>
          </cell>
          <cell r="I156">
            <v>195996.94</v>
          </cell>
        </row>
        <row r="157">
          <cell r="G157" t="str">
            <v>KH009527</v>
          </cell>
          <cell r="H157">
            <v>195996.94</v>
          </cell>
          <cell r="I157">
            <v>195996.94</v>
          </cell>
        </row>
        <row r="158">
          <cell r="G158" t="str">
            <v>KH009530</v>
          </cell>
          <cell r="H158">
            <v>195996.94</v>
          </cell>
          <cell r="I158">
            <v>195996.94</v>
          </cell>
        </row>
        <row r="159">
          <cell r="G159" t="str">
            <v>LH000912</v>
          </cell>
          <cell r="H159">
            <v>218761.71</v>
          </cell>
          <cell r="I159">
            <v>218761.71</v>
          </cell>
        </row>
        <row r="160">
          <cell r="G160" t="str">
            <v>KH008547</v>
          </cell>
          <cell r="H160">
            <v>195996.94</v>
          </cell>
          <cell r="I160">
            <v>195996.94</v>
          </cell>
        </row>
        <row r="161">
          <cell r="G161" t="str">
            <v>KH008550</v>
          </cell>
          <cell r="H161">
            <v>195996.94</v>
          </cell>
          <cell r="I161">
            <v>195996.94</v>
          </cell>
        </row>
        <row r="162">
          <cell r="G162" t="str">
            <v>KH008573</v>
          </cell>
          <cell r="H162">
            <v>195996.94</v>
          </cell>
          <cell r="I162">
            <v>195996.94</v>
          </cell>
        </row>
        <row r="163">
          <cell r="G163" t="str">
            <v>KH009075</v>
          </cell>
          <cell r="H163">
            <v>195996.94</v>
          </cell>
          <cell r="I163">
            <v>195996.94</v>
          </cell>
        </row>
        <row r="164">
          <cell r="G164" t="str">
            <v>KH009089</v>
          </cell>
          <cell r="H164">
            <v>195996.94</v>
          </cell>
          <cell r="I164">
            <v>195996.94</v>
          </cell>
        </row>
        <row r="165">
          <cell r="G165" t="str">
            <v>KH009402</v>
          </cell>
          <cell r="H165">
            <v>195996.94</v>
          </cell>
          <cell r="I165">
            <v>195996.94</v>
          </cell>
        </row>
        <row r="166">
          <cell r="G166" t="str">
            <v>KH009447</v>
          </cell>
          <cell r="H166">
            <v>195996.94</v>
          </cell>
          <cell r="I166">
            <v>195996.94</v>
          </cell>
        </row>
        <row r="167">
          <cell r="G167" t="str">
            <v>KH009528</v>
          </cell>
          <cell r="H167">
            <v>195996.94</v>
          </cell>
          <cell r="I167">
            <v>195996.94</v>
          </cell>
        </row>
        <row r="168">
          <cell r="G168" t="str">
            <v>KH009531</v>
          </cell>
          <cell r="H168">
            <v>195996.94</v>
          </cell>
          <cell r="I168">
            <v>195996.94</v>
          </cell>
        </row>
        <row r="169">
          <cell r="G169" t="str">
            <v>KH008274</v>
          </cell>
          <cell r="H169">
            <v>195996.94</v>
          </cell>
          <cell r="I169">
            <v>195996.94</v>
          </cell>
        </row>
        <row r="170">
          <cell r="G170" t="str">
            <v>KH008548</v>
          </cell>
          <cell r="H170">
            <v>195996.94</v>
          </cell>
          <cell r="I170">
            <v>195996.94</v>
          </cell>
        </row>
        <row r="171">
          <cell r="G171" t="str">
            <v>KH008713</v>
          </cell>
          <cell r="H171">
            <v>195996.94</v>
          </cell>
          <cell r="I171">
            <v>195996.94</v>
          </cell>
        </row>
        <row r="172">
          <cell r="G172" t="str">
            <v>KH009831</v>
          </cell>
          <cell r="H172">
            <v>214208.06</v>
          </cell>
          <cell r="I172">
            <v>214208.06</v>
          </cell>
        </row>
        <row r="173">
          <cell r="G173" t="str">
            <v>KH005741</v>
          </cell>
          <cell r="H173">
            <v>195996.94</v>
          </cell>
          <cell r="I173">
            <v>195996.94</v>
          </cell>
        </row>
        <row r="174">
          <cell r="G174" t="str">
            <v>KH008574</v>
          </cell>
          <cell r="H174">
            <v>195996.94</v>
          </cell>
          <cell r="I174">
            <v>195996.94</v>
          </cell>
        </row>
        <row r="175">
          <cell r="G175" t="str">
            <v>KH008719</v>
          </cell>
          <cell r="H175">
            <v>195996.94</v>
          </cell>
          <cell r="I175">
            <v>195996.94</v>
          </cell>
        </row>
        <row r="176">
          <cell r="G176" t="str">
            <v>KH009076</v>
          </cell>
          <cell r="H176">
            <v>195996.94</v>
          </cell>
          <cell r="I176">
            <v>195996.94</v>
          </cell>
        </row>
        <row r="177">
          <cell r="G177" t="str">
            <v>KH009403</v>
          </cell>
          <cell r="H177">
            <v>195996.94</v>
          </cell>
          <cell r="I177">
            <v>195996.94</v>
          </cell>
        </row>
        <row r="178">
          <cell r="G178" t="str">
            <v>KH009529</v>
          </cell>
          <cell r="H178">
            <v>195996.94</v>
          </cell>
          <cell r="I178">
            <v>195996.94</v>
          </cell>
        </row>
        <row r="179">
          <cell r="G179" t="str">
            <v>KH009532</v>
          </cell>
          <cell r="H179">
            <v>195996.94</v>
          </cell>
          <cell r="I179">
            <v>195996.94</v>
          </cell>
        </row>
        <row r="180">
          <cell r="G180" t="str">
            <v>KH008549</v>
          </cell>
          <cell r="H180">
            <v>195996.94</v>
          </cell>
          <cell r="I180">
            <v>195996.94</v>
          </cell>
        </row>
        <row r="181">
          <cell r="G181" t="str">
            <v>KH009832</v>
          </cell>
          <cell r="H181">
            <v>214208.06</v>
          </cell>
          <cell r="I181">
            <v>214208.06</v>
          </cell>
        </row>
        <row r="182">
          <cell r="G182" t="str">
            <v>LH000307</v>
          </cell>
          <cell r="H182">
            <v>218761.71</v>
          </cell>
          <cell r="I182">
            <v>218761.71</v>
          </cell>
        </row>
        <row r="183">
          <cell r="G183" t="str">
            <v>KH009077</v>
          </cell>
          <cell r="H183">
            <v>195996.94</v>
          </cell>
          <cell r="I183">
            <v>195996.94</v>
          </cell>
        </row>
        <row r="184">
          <cell r="G184" t="str">
            <v>KH009404</v>
          </cell>
          <cell r="H184">
            <v>195996.94</v>
          </cell>
          <cell r="I184">
            <v>195996.94</v>
          </cell>
        </row>
        <row r="185">
          <cell r="G185" t="str">
            <v>LH001711</v>
          </cell>
          <cell r="H185">
            <v>218761.71</v>
          </cell>
          <cell r="I185">
            <v>218761.71</v>
          </cell>
        </row>
        <row r="186">
          <cell r="G186" t="str">
            <v>LH000299</v>
          </cell>
          <cell r="H186">
            <v>241526.48</v>
          </cell>
          <cell r="I186">
            <v>241526.48</v>
          </cell>
        </row>
        <row r="187">
          <cell r="G187" t="str">
            <v>LH001826</v>
          </cell>
          <cell r="H187">
            <v>241526.48</v>
          </cell>
          <cell r="I187">
            <v>241526.48</v>
          </cell>
        </row>
        <row r="188">
          <cell r="G188" t="str">
            <v>LH001571</v>
          </cell>
          <cell r="H188">
            <v>241526.48</v>
          </cell>
          <cell r="I188">
            <v>241526.48</v>
          </cell>
        </row>
        <row r="189">
          <cell r="G189" t="str">
            <v>LH002057</v>
          </cell>
          <cell r="H189">
            <v>241526.48</v>
          </cell>
          <cell r="I189">
            <v>241526.48</v>
          </cell>
        </row>
        <row r="190">
          <cell r="G190" t="str">
            <v>LH001676</v>
          </cell>
          <cell r="H190">
            <v>241526.48</v>
          </cell>
          <cell r="I190">
            <v>241526.48</v>
          </cell>
        </row>
        <row r="191">
          <cell r="G191" t="str">
            <v>L6P01688</v>
          </cell>
          <cell r="H191">
            <v>239527.2</v>
          </cell>
          <cell r="I191">
            <v>239527.2</v>
          </cell>
        </row>
        <row r="192">
          <cell r="G192" t="str">
            <v>186</v>
          </cell>
          <cell r="I192">
            <v>74164634.940000042</v>
          </cell>
        </row>
        <row r="193">
          <cell r="G193" t="str">
            <v/>
          </cell>
        </row>
        <row r="194">
          <cell r="G194" t="str">
            <v>HW610542</v>
          </cell>
          <cell r="H194">
            <v>260000</v>
          </cell>
          <cell r="I194">
            <v>260000</v>
          </cell>
        </row>
        <row r="195">
          <cell r="G195" t="str">
            <v>FC816080</v>
          </cell>
          <cell r="H195">
            <v>232000</v>
          </cell>
          <cell r="I195">
            <v>232000</v>
          </cell>
        </row>
        <row r="196">
          <cell r="G196" t="str">
            <v>FC807585</v>
          </cell>
          <cell r="H196">
            <v>348000</v>
          </cell>
          <cell r="I196">
            <v>348000</v>
          </cell>
        </row>
        <row r="197">
          <cell r="G197" t="str">
            <v>FJ130321</v>
          </cell>
          <cell r="H197">
            <v>237200</v>
          </cell>
          <cell r="I197">
            <v>237200</v>
          </cell>
        </row>
        <row r="198">
          <cell r="G198" t="str">
            <v>GN760112</v>
          </cell>
          <cell r="H198">
            <v>238080</v>
          </cell>
          <cell r="I198">
            <v>119040</v>
          </cell>
        </row>
        <row r="199">
          <cell r="G199" t="str">
            <v>GT128635</v>
          </cell>
          <cell r="H199">
            <v>144000</v>
          </cell>
          <cell r="I199">
            <v>144000</v>
          </cell>
        </row>
        <row r="200">
          <cell r="G200" t="str">
            <v>HT551906</v>
          </cell>
          <cell r="H200">
            <v>185600</v>
          </cell>
          <cell r="I200">
            <v>185600</v>
          </cell>
        </row>
        <row r="201">
          <cell r="G201" t="str">
            <v>JT328554</v>
          </cell>
          <cell r="H201">
            <v>249200</v>
          </cell>
          <cell r="I201">
            <v>124600</v>
          </cell>
        </row>
        <row r="202">
          <cell r="G202" t="str">
            <v>HG544916</v>
          </cell>
          <cell r="H202">
            <v>248000</v>
          </cell>
          <cell r="I202">
            <v>248000</v>
          </cell>
        </row>
        <row r="203">
          <cell r="G203" t="str">
            <v>GG246503</v>
          </cell>
          <cell r="H203">
            <v>311840</v>
          </cell>
          <cell r="I203">
            <v>176720</v>
          </cell>
        </row>
        <row r="204">
          <cell r="G204" t="str">
            <v>HR242907</v>
          </cell>
          <cell r="H204">
            <v>229280</v>
          </cell>
          <cell r="I204">
            <v>114640</v>
          </cell>
        </row>
        <row r="205">
          <cell r="G205" t="str">
            <v>JS583141</v>
          </cell>
          <cell r="H205">
            <v>161120</v>
          </cell>
          <cell r="I205">
            <v>161120</v>
          </cell>
        </row>
        <row r="206">
          <cell r="G206" t="str">
            <v>GS588984</v>
          </cell>
          <cell r="H206">
            <v>106400</v>
          </cell>
          <cell r="I206">
            <v>106400</v>
          </cell>
        </row>
        <row r="207">
          <cell r="G207" t="str">
            <v>JE001920</v>
          </cell>
          <cell r="H207">
            <v>162560</v>
          </cell>
          <cell r="I207">
            <v>81280</v>
          </cell>
        </row>
        <row r="208">
          <cell r="G208" t="str">
            <v>FM279550</v>
          </cell>
          <cell r="H208">
            <v>120800</v>
          </cell>
          <cell r="I208">
            <v>60400</v>
          </cell>
        </row>
        <row r="209">
          <cell r="G209" t="str">
            <v>G0770325</v>
          </cell>
          <cell r="H209">
            <v>86640</v>
          </cell>
          <cell r="I209">
            <v>86640</v>
          </cell>
        </row>
        <row r="210">
          <cell r="G210" t="str">
            <v>H3328337</v>
          </cell>
          <cell r="H210">
            <v>76320</v>
          </cell>
          <cell r="I210">
            <v>76320</v>
          </cell>
        </row>
        <row r="211">
          <cell r="G211" t="str">
            <v>J7508740</v>
          </cell>
          <cell r="H211">
            <v>177200</v>
          </cell>
          <cell r="I211">
            <v>177200</v>
          </cell>
        </row>
        <row r="212">
          <cell r="G212" t="str">
            <v>JD126442</v>
          </cell>
          <cell r="H212">
            <v>105520</v>
          </cell>
          <cell r="I212">
            <v>105520</v>
          </cell>
        </row>
        <row r="213">
          <cell r="G213" t="str">
            <v>HM189248</v>
          </cell>
          <cell r="H213">
            <v>84560</v>
          </cell>
          <cell r="I213">
            <v>84560</v>
          </cell>
        </row>
        <row r="214">
          <cell r="G214" t="str">
            <v>GH000591</v>
          </cell>
          <cell r="H214">
            <v>77920</v>
          </cell>
          <cell r="I214">
            <v>77920</v>
          </cell>
        </row>
        <row r="215">
          <cell r="G215" t="str">
            <v>JK147373</v>
          </cell>
          <cell r="H215">
            <v>227760</v>
          </cell>
          <cell r="I215">
            <v>227760</v>
          </cell>
        </row>
        <row r="216">
          <cell r="G216" t="str">
            <v>FE057053</v>
          </cell>
          <cell r="H216">
            <v>127680</v>
          </cell>
          <cell r="I216">
            <v>127680</v>
          </cell>
        </row>
        <row r="217">
          <cell r="G217" t="str">
            <v>GX047828</v>
          </cell>
          <cell r="H217">
            <v>168480</v>
          </cell>
          <cell r="I217">
            <v>168480</v>
          </cell>
        </row>
        <row r="218">
          <cell r="G218" t="str">
            <v>HH543387</v>
          </cell>
          <cell r="H218">
            <v>340800</v>
          </cell>
          <cell r="I218">
            <v>340800</v>
          </cell>
        </row>
        <row r="219">
          <cell r="G219" t="str">
            <v>GD622915</v>
          </cell>
          <cell r="H219">
            <v>176720</v>
          </cell>
          <cell r="I219">
            <v>176720</v>
          </cell>
        </row>
        <row r="220">
          <cell r="G220" t="str">
            <v>GD681780</v>
          </cell>
          <cell r="H220">
            <v>176720</v>
          </cell>
          <cell r="I220">
            <v>176720</v>
          </cell>
        </row>
        <row r="221">
          <cell r="G221" t="str">
            <v>HT527870</v>
          </cell>
          <cell r="H221">
            <v>208880</v>
          </cell>
          <cell r="I221">
            <v>208880</v>
          </cell>
        </row>
        <row r="222">
          <cell r="G222" t="str">
            <v>HT551489</v>
          </cell>
          <cell r="H222">
            <v>236080</v>
          </cell>
          <cell r="I222">
            <v>236080</v>
          </cell>
        </row>
        <row r="223">
          <cell r="G223" t="str">
            <v>GC441949</v>
          </cell>
          <cell r="H223">
            <v>325520</v>
          </cell>
          <cell r="I223">
            <v>325520</v>
          </cell>
        </row>
        <row r="224">
          <cell r="G224" t="str">
            <v>HH006296</v>
          </cell>
          <cell r="H224">
            <v>92000</v>
          </cell>
          <cell r="I224">
            <v>92000</v>
          </cell>
        </row>
        <row r="225">
          <cell r="G225" t="str">
            <v>GX047740</v>
          </cell>
          <cell r="H225">
            <v>140800</v>
          </cell>
          <cell r="I225">
            <v>140800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LW130080</v>
          </cell>
          <cell r="H6">
            <v>709936.05</v>
          </cell>
          <cell r="I6">
            <v>709936.05</v>
          </cell>
        </row>
        <row r="7">
          <cell r="G7" t="str">
            <v>KW647290</v>
          </cell>
          <cell r="H7">
            <v>759475.89</v>
          </cell>
          <cell r="I7">
            <v>759475.89</v>
          </cell>
        </row>
        <row r="8">
          <cell r="G8" t="str">
            <v>LW125250</v>
          </cell>
          <cell r="H8">
            <v>853850.02</v>
          </cell>
          <cell r="I8">
            <v>853850.02</v>
          </cell>
        </row>
        <row r="9">
          <cell r="G9" t="str">
            <v>LW124442</v>
          </cell>
          <cell r="H9">
            <v>854954.25</v>
          </cell>
          <cell r="I9">
            <v>854954.25</v>
          </cell>
        </row>
        <row r="10">
          <cell r="G10" t="str">
            <v>LW117981</v>
          </cell>
          <cell r="H10">
            <v>825226.38</v>
          </cell>
          <cell r="I10">
            <v>825226.38</v>
          </cell>
        </row>
        <row r="11">
          <cell r="G11" t="str">
            <v>LW117988</v>
          </cell>
          <cell r="H11">
            <v>825226.38</v>
          </cell>
          <cell r="I11">
            <v>825226.38</v>
          </cell>
        </row>
        <row r="12">
          <cell r="G12" t="str">
            <v>KC805440</v>
          </cell>
          <cell r="H12">
            <v>721874.64</v>
          </cell>
          <cell r="I12">
            <v>721874.64</v>
          </cell>
        </row>
        <row r="13">
          <cell r="G13" t="str">
            <v>LC145191</v>
          </cell>
          <cell r="H13">
            <v>736501.96</v>
          </cell>
          <cell r="I13">
            <v>736501.96</v>
          </cell>
        </row>
        <row r="14">
          <cell r="G14" t="str">
            <v>LC145189</v>
          </cell>
          <cell r="H14">
            <v>736501.96</v>
          </cell>
          <cell r="I14">
            <v>736501.96</v>
          </cell>
        </row>
        <row r="15">
          <cell r="G15" t="str">
            <v>LC145192</v>
          </cell>
          <cell r="H15">
            <v>736501.96</v>
          </cell>
          <cell r="I15">
            <v>736501.96</v>
          </cell>
        </row>
        <row r="16">
          <cell r="G16" t="str">
            <v>LC113704</v>
          </cell>
          <cell r="H16">
            <v>736501.96</v>
          </cell>
          <cell r="I16">
            <v>736501.96</v>
          </cell>
        </row>
        <row r="17">
          <cell r="G17" t="str">
            <v>LC145190</v>
          </cell>
          <cell r="H17">
            <v>736501.96</v>
          </cell>
          <cell r="I17">
            <v>736501.96</v>
          </cell>
        </row>
        <row r="18">
          <cell r="G18" t="str">
            <v>LC105790</v>
          </cell>
          <cell r="H18">
            <v>797720.99</v>
          </cell>
          <cell r="I18">
            <v>797720.99</v>
          </cell>
        </row>
        <row r="19">
          <cell r="G19" t="str">
            <v>LN139761</v>
          </cell>
          <cell r="H19">
            <v>1067218.17</v>
          </cell>
          <cell r="I19">
            <v>1067218.17</v>
          </cell>
        </row>
        <row r="20">
          <cell r="G20" t="str">
            <v>KR758133</v>
          </cell>
          <cell r="H20">
            <v>491760.21</v>
          </cell>
          <cell r="I20">
            <v>491760.21</v>
          </cell>
        </row>
        <row r="21">
          <cell r="G21" t="str">
            <v>KR748589</v>
          </cell>
          <cell r="H21">
            <v>491760.21</v>
          </cell>
          <cell r="I21">
            <v>491760.21</v>
          </cell>
        </row>
        <row r="22">
          <cell r="G22" t="str">
            <v>KR757415</v>
          </cell>
          <cell r="H22">
            <v>547903.27</v>
          </cell>
          <cell r="I22">
            <v>547903.27</v>
          </cell>
        </row>
        <row r="23">
          <cell r="G23" t="str">
            <v>KT819926</v>
          </cell>
          <cell r="H23">
            <v>494559.95</v>
          </cell>
          <cell r="I23">
            <v>494559.95</v>
          </cell>
        </row>
        <row r="24">
          <cell r="G24" t="str">
            <v>LT110446</v>
          </cell>
          <cell r="H24">
            <v>546853.94999999995</v>
          </cell>
          <cell r="I24">
            <v>546853.94999999995</v>
          </cell>
        </row>
        <row r="25">
          <cell r="G25" t="str">
            <v>KT832340</v>
          </cell>
          <cell r="H25">
            <v>531490.48</v>
          </cell>
          <cell r="I25">
            <v>531490.48</v>
          </cell>
        </row>
        <row r="26">
          <cell r="G26" t="str">
            <v>LT110447</v>
          </cell>
          <cell r="H26">
            <v>546853.94999999995</v>
          </cell>
          <cell r="I26">
            <v>546853.94999999995</v>
          </cell>
        </row>
        <row r="27">
          <cell r="G27" t="str">
            <v>KT832341</v>
          </cell>
          <cell r="H27">
            <v>531490.48</v>
          </cell>
          <cell r="I27">
            <v>531490.48</v>
          </cell>
        </row>
        <row r="28">
          <cell r="G28" t="str">
            <v>KT757832</v>
          </cell>
          <cell r="H28">
            <v>451062.43</v>
          </cell>
          <cell r="I28">
            <v>451062.43</v>
          </cell>
        </row>
        <row r="29">
          <cell r="G29" t="str">
            <v>KG572493</v>
          </cell>
          <cell r="H29">
            <v>515180.59</v>
          </cell>
          <cell r="I29">
            <v>515180.59</v>
          </cell>
        </row>
        <row r="30">
          <cell r="G30" t="str">
            <v>KG575667</v>
          </cell>
          <cell r="H30">
            <v>515180.59</v>
          </cell>
          <cell r="I30">
            <v>515180.59</v>
          </cell>
        </row>
        <row r="31">
          <cell r="G31" t="str">
            <v>KG575670</v>
          </cell>
          <cell r="H31">
            <v>515180.59</v>
          </cell>
          <cell r="I31">
            <v>515180.59</v>
          </cell>
        </row>
        <row r="32">
          <cell r="G32" t="str">
            <v>KG575684</v>
          </cell>
          <cell r="H32">
            <v>515180.59</v>
          </cell>
          <cell r="I32">
            <v>515180.59</v>
          </cell>
        </row>
        <row r="33">
          <cell r="G33" t="str">
            <v>KG575698</v>
          </cell>
          <cell r="H33">
            <v>519421.09</v>
          </cell>
          <cell r="I33">
            <v>519421.09</v>
          </cell>
        </row>
        <row r="34">
          <cell r="G34" t="str">
            <v>KG575720</v>
          </cell>
          <cell r="H34">
            <v>515180.59</v>
          </cell>
          <cell r="I34">
            <v>515180.59</v>
          </cell>
        </row>
        <row r="35">
          <cell r="G35" t="str">
            <v>KG575533</v>
          </cell>
          <cell r="H35">
            <v>515180.59</v>
          </cell>
          <cell r="I35">
            <v>515180.59</v>
          </cell>
        </row>
        <row r="36">
          <cell r="G36" t="str">
            <v>KG575726</v>
          </cell>
          <cell r="H36">
            <v>515180.59</v>
          </cell>
          <cell r="I36">
            <v>515180.59</v>
          </cell>
        </row>
        <row r="37">
          <cell r="G37" t="str">
            <v>KG572513</v>
          </cell>
          <cell r="H37">
            <v>515180.59</v>
          </cell>
          <cell r="I37">
            <v>515180.59</v>
          </cell>
        </row>
        <row r="38">
          <cell r="G38" t="str">
            <v>KG575458</v>
          </cell>
          <cell r="H38">
            <v>515180.59</v>
          </cell>
          <cell r="I38">
            <v>515180.59</v>
          </cell>
        </row>
        <row r="39">
          <cell r="G39" t="str">
            <v>KG575511</v>
          </cell>
          <cell r="H39">
            <v>515180.59</v>
          </cell>
          <cell r="I39">
            <v>515180.59</v>
          </cell>
        </row>
        <row r="40">
          <cell r="G40" t="str">
            <v>KG575556</v>
          </cell>
          <cell r="H40">
            <v>515180.59</v>
          </cell>
          <cell r="I40">
            <v>515180.59</v>
          </cell>
        </row>
        <row r="41">
          <cell r="G41" t="str">
            <v>KG575637</v>
          </cell>
          <cell r="H41">
            <v>515180.59</v>
          </cell>
          <cell r="I41">
            <v>515180.59</v>
          </cell>
        </row>
        <row r="42">
          <cell r="G42" t="str">
            <v>KG575671</v>
          </cell>
          <cell r="H42">
            <v>515180.59</v>
          </cell>
          <cell r="I42">
            <v>515180.59</v>
          </cell>
        </row>
        <row r="43">
          <cell r="G43" t="str">
            <v>KG575704</v>
          </cell>
          <cell r="H43">
            <v>519421.09</v>
          </cell>
          <cell r="I43">
            <v>519421.09</v>
          </cell>
        </row>
        <row r="44">
          <cell r="G44" t="str">
            <v>KG575718</v>
          </cell>
          <cell r="H44">
            <v>515180.59</v>
          </cell>
          <cell r="I44">
            <v>515180.59</v>
          </cell>
        </row>
        <row r="45">
          <cell r="G45" t="str">
            <v>KG575721</v>
          </cell>
          <cell r="H45">
            <v>515180.59</v>
          </cell>
          <cell r="I45">
            <v>515180.59</v>
          </cell>
        </row>
        <row r="46">
          <cell r="G46" t="str">
            <v>KG572486</v>
          </cell>
          <cell r="H46">
            <v>515180.59</v>
          </cell>
          <cell r="I46">
            <v>515180.59</v>
          </cell>
        </row>
        <row r="47">
          <cell r="G47" t="str">
            <v>KG575632</v>
          </cell>
          <cell r="H47">
            <v>515180.59</v>
          </cell>
          <cell r="I47">
            <v>515180.59</v>
          </cell>
        </row>
        <row r="48">
          <cell r="G48" t="str">
            <v>KG575694</v>
          </cell>
          <cell r="H48">
            <v>515180.59</v>
          </cell>
          <cell r="I48">
            <v>515180.59</v>
          </cell>
        </row>
        <row r="49">
          <cell r="G49" t="str">
            <v>KG575713</v>
          </cell>
          <cell r="H49">
            <v>515180.59</v>
          </cell>
          <cell r="I49">
            <v>515180.59</v>
          </cell>
        </row>
        <row r="50">
          <cell r="G50" t="str">
            <v>KG575727</v>
          </cell>
          <cell r="H50">
            <v>515180.59</v>
          </cell>
          <cell r="I50">
            <v>515180.59</v>
          </cell>
        </row>
        <row r="51">
          <cell r="G51" t="str">
            <v>KG575428</v>
          </cell>
          <cell r="H51">
            <v>515180.59</v>
          </cell>
          <cell r="I51">
            <v>515180.59</v>
          </cell>
        </row>
        <row r="52">
          <cell r="G52" t="str">
            <v>KG575722</v>
          </cell>
          <cell r="H52">
            <v>515180.59</v>
          </cell>
          <cell r="I52">
            <v>515180.59</v>
          </cell>
        </row>
        <row r="53">
          <cell r="G53" t="str">
            <v>KG575736</v>
          </cell>
          <cell r="H53">
            <v>515180.59</v>
          </cell>
          <cell r="I53">
            <v>515180.59</v>
          </cell>
        </row>
        <row r="54">
          <cell r="G54" t="str">
            <v>KG575731</v>
          </cell>
          <cell r="H54">
            <v>515180.59</v>
          </cell>
          <cell r="I54">
            <v>515180.59</v>
          </cell>
        </row>
        <row r="55">
          <cell r="G55" t="str">
            <v>KG575639</v>
          </cell>
          <cell r="H55">
            <v>515180.59</v>
          </cell>
          <cell r="I55">
            <v>515180.59</v>
          </cell>
        </row>
        <row r="56">
          <cell r="G56" t="str">
            <v>KG575690</v>
          </cell>
          <cell r="H56">
            <v>515180.59</v>
          </cell>
          <cell r="I56">
            <v>515180.59</v>
          </cell>
        </row>
        <row r="57">
          <cell r="G57" t="str">
            <v>KG575706</v>
          </cell>
          <cell r="H57">
            <v>515180.59</v>
          </cell>
          <cell r="I57">
            <v>515180.59</v>
          </cell>
        </row>
        <row r="58">
          <cell r="G58" t="str">
            <v>KG575723</v>
          </cell>
          <cell r="H58">
            <v>515180.59</v>
          </cell>
          <cell r="I58">
            <v>515180.59</v>
          </cell>
        </row>
        <row r="59">
          <cell r="G59" t="str">
            <v>KG575696</v>
          </cell>
          <cell r="H59">
            <v>515180.59</v>
          </cell>
          <cell r="I59">
            <v>515180.59</v>
          </cell>
        </row>
        <row r="60">
          <cell r="G60" t="str">
            <v>KG575701</v>
          </cell>
          <cell r="H60">
            <v>515180.59</v>
          </cell>
          <cell r="I60">
            <v>515180.59</v>
          </cell>
        </row>
        <row r="61">
          <cell r="G61" t="str">
            <v>KG528855</v>
          </cell>
          <cell r="H61">
            <v>508395.1</v>
          </cell>
          <cell r="I61">
            <v>457395.1</v>
          </cell>
        </row>
        <row r="62">
          <cell r="G62" t="str">
            <v>KG528905</v>
          </cell>
          <cell r="H62">
            <v>508395.1</v>
          </cell>
          <cell r="I62">
            <v>457395.1</v>
          </cell>
        </row>
        <row r="63">
          <cell r="G63" t="str">
            <v>KG528936</v>
          </cell>
          <cell r="H63">
            <v>508395.1</v>
          </cell>
          <cell r="I63">
            <v>457395.1</v>
          </cell>
        </row>
        <row r="64">
          <cell r="G64" t="str">
            <v>KG528970</v>
          </cell>
          <cell r="H64">
            <v>508395.1</v>
          </cell>
          <cell r="I64">
            <v>457395.1</v>
          </cell>
        </row>
        <row r="65">
          <cell r="G65" t="str">
            <v>KG575514</v>
          </cell>
          <cell r="H65">
            <v>515180.59</v>
          </cell>
          <cell r="I65">
            <v>515180.59</v>
          </cell>
        </row>
        <row r="66">
          <cell r="G66" t="str">
            <v>KG575643</v>
          </cell>
          <cell r="H66">
            <v>515180.59</v>
          </cell>
          <cell r="I66">
            <v>515180.59</v>
          </cell>
        </row>
        <row r="67">
          <cell r="G67" t="str">
            <v>KG575707</v>
          </cell>
          <cell r="H67">
            <v>515180.59</v>
          </cell>
          <cell r="I67">
            <v>515180.59</v>
          </cell>
        </row>
        <row r="68">
          <cell r="G68" t="str">
            <v>KG575724</v>
          </cell>
          <cell r="H68">
            <v>515180.59</v>
          </cell>
          <cell r="I68">
            <v>515180.59</v>
          </cell>
        </row>
        <row r="69">
          <cell r="G69" t="str">
            <v>KG528735</v>
          </cell>
          <cell r="H69">
            <v>508395.1</v>
          </cell>
          <cell r="I69">
            <v>457395.1</v>
          </cell>
        </row>
        <row r="70">
          <cell r="G70" t="str">
            <v>KG572511</v>
          </cell>
          <cell r="H70">
            <v>515180.59</v>
          </cell>
          <cell r="I70">
            <v>515180.59</v>
          </cell>
        </row>
        <row r="71">
          <cell r="G71" t="str">
            <v>KG575487</v>
          </cell>
          <cell r="H71">
            <v>515180.59</v>
          </cell>
          <cell r="I71">
            <v>515180.59</v>
          </cell>
        </row>
        <row r="72">
          <cell r="G72" t="str">
            <v>KG575649</v>
          </cell>
          <cell r="H72">
            <v>515180.59</v>
          </cell>
          <cell r="I72">
            <v>515180.59</v>
          </cell>
        </row>
        <row r="73">
          <cell r="G73" t="str">
            <v>KG575666</v>
          </cell>
          <cell r="H73">
            <v>515180.59</v>
          </cell>
          <cell r="I73">
            <v>515180.59</v>
          </cell>
        </row>
        <row r="74">
          <cell r="G74" t="str">
            <v>KG575697</v>
          </cell>
          <cell r="H74">
            <v>519421.09</v>
          </cell>
          <cell r="I74">
            <v>519421.09</v>
          </cell>
        </row>
        <row r="75">
          <cell r="G75" t="str">
            <v>KG575702</v>
          </cell>
          <cell r="H75">
            <v>515180.59</v>
          </cell>
          <cell r="I75">
            <v>515180.59</v>
          </cell>
        </row>
        <row r="76">
          <cell r="G76" t="str">
            <v>KG528730</v>
          </cell>
          <cell r="H76">
            <v>508395.1</v>
          </cell>
          <cell r="I76">
            <v>457395.1</v>
          </cell>
        </row>
        <row r="77">
          <cell r="G77" t="str">
            <v>KG575515</v>
          </cell>
          <cell r="H77">
            <v>515180.59</v>
          </cell>
          <cell r="I77">
            <v>515180.59</v>
          </cell>
        </row>
        <row r="78">
          <cell r="G78" t="str">
            <v>KG575708</v>
          </cell>
          <cell r="H78">
            <v>515180.59</v>
          </cell>
          <cell r="I78">
            <v>515180.59</v>
          </cell>
        </row>
        <row r="79">
          <cell r="G79" t="str">
            <v>KG575711</v>
          </cell>
          <cell r="H79">
            <v>515180.59</v>
          </cell>
          <cell r="I79">
            <v>515180.59</v>
          </cell>
        </row>
        <row r="80">
          <cell r="G80" t="str">
            <v>KG575725</v>
          </cell>
          <cell r="H80">
            <v>515180.59</v>
          </cell>
          <cell r="I80">
            <v>515180.59</v>
          </cell>
        </row>
        <row r="81">
          <cell r="G81" t="str">
            <v>KG657953</v>
          </cell>
          <cell r="H81">
            <v>496518.43</v>
          </cell>
          <cell r="I81">
            <v>496518.43</v>
          </cell>
        </row>
        <row r="82">
          <cell r="G82" t="str">
            <v>KG657954</v>
          </cell>
          <cell r="H82">
            <v>496518.43</v>
          </cell>
          <cell r="I82">
            <v>496518.43</v>
          </cell>
        </row>
        <row r="83">
          <cell r="G83" t="str">
            <v>KG651791</v>
          </cell>
          <cell r="H83">
            <v>496518.43</v>
          </cell>
          <cell r="I83">
            <v>496518.43</v>
          </cell>
        </row>
        <row r="84">
          <cell r="G84" t="str">
            <v>KG651792</v>
          </cell>
          <cell r="H84">
            <v>496518.43</v>
          </cell>
          <cell r="I84">
            <v>496518.43</v>
          </cell>
        </row>
        <row r="85">
          <cell r="G85" t="str">
            <v>KG657952</v>
          </cell>
          <cell r="H85">
            <v>496518.43</v>
          </cell>
          <cell r="I85">
            <v>496518.43</v>
          </cell>
        </row>
        <row r="86">
          <cell r="G86" t="str">
            <v>KG557702</v>
          </cell>
          <cell r="H86">
            <v>518903.44</v>
          </cell>
          <cell r="I86">
            <v>518903.44</v>
          </cell>
        </row>
        <row r="87">
          <cell r="G87" t="str">
            <v>KG594340</v>
          </cell>
          <cell r="H87">
            <v>509107.35</v>
          </cell>
          <cell r="I87">
            <v>509107.35</v>
          </cell>
        </row>
        <row r="88">
          <cell r="G88" t="str">
            <v>KG557703</v>
          </cell>
          <cell r="H88">
            <v>518903.44</v>
          </cell>
          <cell r="I88">
            <v>518903.44</v>
          </cell>
        </row>
        <row r="89">
          <cell r="G89" t="str">
            <v>KG575795</v>
          </cell>
          <cell r="H89">
            <v>509107.35</v>
          </cell>
          <cell r="I89">
            <v>509107.35</v>
          </cell>
        </row>
        <row r="90">
          <cell r="G90" t="str">
            <v>KG595957</v>
          </cell>
          <cell r="H90">
            <v>509107.35</v>
          </cell>
          <cell r="I90">
            <v>509107.35</v>
          </cell>
        </row>
        <row r="91">
          <cell r="G91" t="str">
            <v>KG575796</v>
          </cell>
          <cell r="H91">
            <v>524706.86</v>
          </cell>
          <cell r="I91">
            <v>524706.86</v>
          </cell>
        </row>
        <row r="92">
          <cell r="G92" t="str">
            <v>KG561566</v>
          </cell>
          <cell r="H92">
            <v>518903.44</v>
          </cell>
          <cell r="I92">
            <v>518903.44</v>
          </cell>
        </row>
        <row r="93">
          <cell r="G93" t="str">
            <v>KG575788</v>
          </cell>
          <cell r="H93">
            <v>509107.35</v>
          </cell>
          <cell r="I93">
            <v>509107.35</v>
          </cell>
        </row>
        <row r="94">
          <cell r="G94" t="str">
            <v>KG575791</v>
          </cell>
          <cell r="H94">
            <v>509107.35</v>
          </cell>
          <cell r="I94">
            <v>509107.35</v>
          </cell>
        </row>
        <row r="95">
          <cell r="G95" t="str">
            <v>KG585902</v>
          </cell>
          <cell r="H95">
            <v>509107.35</v>
          </cell>
          <cell r="I95">
            <v>509107.35</v>
          </cell>
        </row>
        <row r="96">
          <cell r="G96" t="str">
            <v>KG575797</v>
          </cell>
          <cell r="H96">
            <v>524706.86</v>
          </cell>
          <cell r="I96">
            <v>524706.86</v>
          </cell>
        </row>
        <row r="97">
          <cell r="G97" t="str">
            <v>KG557700</v>
          </cell>
          <cell r="H97">
            <v>518903.44</v>
          </cell>
          <cell r="I97">
            <v>518903.44</v>
          </cell>
        </row>
        <row r="98">
          <cell r="G98" t="str">
            <v>KG568874</v>
          </cell>
          <cell r="H98">
            <v>518903.44</v>
          </cell>
          <cell r="I98">
            <v>518903.44</v>
          </cell>
        </row>
        <row r="99">
          <cell r="G99" t="str">
            <v>KG575792</v>
          </cell>
          <cell r="H99">
            <v>509107.35</v>
          </cell>
          <cell r="I99">
            <v>509107.35</v>
          </cell>
        </row>
        <row r="100">
          <cell r="G100" t="str">
            <v>KG557701</v>
          </cell>
          <cell r="H100">
            <v>518903.44</v>
          </cell>
          <cell r="I100">
            <v>518903.44</v>
          </cell>
        </row>
        <row r="101">
          <cell r="G101" t="str">
            <v>KG575793</v>
          </cell>
          <cell r="H101">
            <v>509107.35</v>
          </cell>
          <cell r="I101">
            <v>509107.35</v>
          </cell>
        </row>
        <row r="102">
          <cell r="G102" t="str">
            <v>KG603124</v>
          </cell>
          <cell r="H102">
            <v>671255.17</v>
          </cell>
          <cell r="I102">
            <v>671255.17</v>
          </cell>
        </row>
        <row r="103">
          <cell r="G103" t="str">
            <v>KG603125</v>
          </cell>
          <cell r="H103">
            <v>671255.17</v>
          </cell>
          <cell r="I103">
            <v>671255.17</v>
          </cell>
        </row>
        <row r="104">
          <cell r="G104" t="str">
            <v>LK274923</v>
          </cell>
          <cell r="H104">
            <v>437222.68</v>
          </cell>
          <cell r="I104">
            <v>437222.68</v>
          </cell>
        </row>
        <row r="105">
          <cell r="G105" t="str">
            <v>L0871158</v>
          </cell>
          <cell r="H105">
            <v>199230.56</v>
          </cell>
          <cell r="I105">
            <v>199230.56</v>
          </cell>
        </row>
        <row r="106">
          <cell r="G106" t="str">
            <v>L0874571</v>
          </cell>
          <cell r="H106">
            <v>199230.56</v>
          </cell>
          <cell r="I106">
            <v>199230.56</v>
          </cell>
        </row>
        <row r="107">
          <cell r="G107" t="str">
            <v>L0874621</v>
          </cell>
          <cell r="H107">
            <v>199230.56</v>
          </cell>
          <cell r="I107">
            <v>199230.56</v>
          </cell>
        </row>
        <row r="108">
          <cell r="G108" t="str">
            <v>L0870757</v>
          </cell>
          <cell r="H108">
            <v>213180.72</v>
          </cell>
          <cell r="I108">
            <v>213180.72</v>
          </cell>
        </row>
        <row r="109">
          <cell r="G109" t="str">
            <v>L0868578</v>
          </cell>
          <cell r="H109">
            <v>213180.72</v>
          </cell>
          <cell r="I109">
            <v>213180.72</v>
          </cell>
        </row>
        <row r="110">
          <cell r="G110" t="str">
            <v>L0868617</v>
          </cell>
          <cell r="H110">
            <v>213180.72</v>
          </cell>
          <cell r="I110">
            <v>213180.72</v>
          </cell>
        </row>
        <row r="111">
          <cell r="G111" t="str">
            <v>L0870761</v>
          </cell>
          <cell r="H111">
            <v>221279.84</v>
          </cell>
          <cell r="I111">
            <v>221279.84</v>
          </cell>
        </row>
        <row r="112">
          <cell r="G112" t="str">
            <v>K0865148</v>
          </cell>
          <cell r="H112">
            <v>216330.12</v>
          </cell>
          <cell r="I112">
            <v>216330.12</v>
          </cell>
        </row>
        <row r="113">
          <cell r="G113" t="str">
            <v>L0868441</v>
          </cell>
          <cell r="H113">
            <v>221279.84</v>
          </cell>
          <cell r="I113">
            <v>221279.84</v>
          </cell>
        </row>
        <row r="114">
          <cell r="G114" t="str">
            <v>L0870481</v>
          </cell>
          <cell r="H114">
            <v>221279.84</v>
          </cell>
          <cell r="I114">
            <v>221279.84</v>
          </cell>
        </row>
        <row r="115">
          <cell r="G115" t="str">
            <v>L0870495</v>
          </cell>
          <cell r="H115">
            <v>221279.84</v>
          </cell>
          <cell r="I115">
            <v>221279.84</v>
          </cell>
        </row>
        <row r="116">
          <cell r="G116" t="str">
            <v>L0871616</v>
          </cell>
          <cell r="H116">
            <v>221279.84</v>
          </cell>
          <cell r="I116">
            <v>221279.84</v>
          </cell>
        </row>
        <row r="117">
          <cell r="G117" t="str">
            <v>L9140008</v>
          </cell>
          <cell r="H117">
            <v>226510.79</v>
          </cell>
          <cell r="I117">
            <v>226510.79</v>
          </cell>
        </row>
        <row r="118">
          <cell r="G118" t="str">
            <v>L9140092</v>
          </cell>
          <cell r="H118">
            <v>226510.79</v>
          </cell>
          <cell r="I118">
            <v>226510.79</v>
          </cell>
        </row>
        <row r="119">
          <cell r="G119" t="str">
            <v>L9139887</v>
          </cell>
          <cell r="H119">
            <v>226510.79</v>
          </cell>
          <cell r="I119">
            <v>226510.79</v>
          </cell>
        </row>
        <row r="120">
          <cell r="G120" t="str">
            <v>L9136854</v>
          </cell>
          <cell r="H120">
            <v>226510.79</v>
          </cell>
          <cell r="I120">
            <v>226510.79</v>
          </cell>
        </row>
        <row r="121">
          <cell r="G121" t="str">
            <v>LY633205</v>
          </cell>
          <cell r="H121">
            <v>185513.56</v>
          </cell>
          <cell r="I121">
            <v>185513.56</v>
          </cell>
        </row>
        <row r="122">
          <cell r="G122" t="str">
            <v>L5107918</v>
          </cell>
          <cell r="H122">
            <v>271219</v>
          </cell>
          <cell r="I122">
            <v>271219</v>
          </cell>
        </row>
        <row r="123">
          <cell r="G123" t="str">
            <v>LY354507</v>
          </cell>
          <cell r="H123">
            <v>231014.2</v>
          </cell>
          <cell r="I123">
            <v>231014.2</v>
          </cell>
        </row>
        <row r="124">
          <cell r="G124" t="str">
            <v>LY361456</v>
          </cell>
          <cell r="H124">
            <v>231014.2</v>
          </cell>
          <cell r="I124">
            <v>231014.2</v>
          </cell>
        </row>
        <row r="125">
          <cell r="G125" t="str">
            <v>LY357280</v>
          </cell>
          <cell r="H125">
            <v>231014.2</v>
          </cell>
          <cell r="I125">
            <v>231014.2</v>
          </cell>
        </row>
        <row r="126">
          <cell r="G126" t="str">
            <v>LY362219</v>
          </cell>
          <cell r="H126">
            <v>231014.2</v>
          </cell>
          <cell r="I126">
            <v>231014.2</v>
          </cell>
        </row>
        <row r="127">
          <cell r="G127" t="str">
            <v>LY363354</v>
          </cell>
          <cell r="H127">
            <v>231014.2</v>
          </cell>
          <cell r="I127">
            <v>231014.2</v>
          </cell>
        </row>
        <row r="128">
          <cell r="G128" t="str">
            <v>LY357319</v>
          </cell>
          <cell r="H128">
            <v>231014.2</v>
          </cell>
          <cell r="I128">
            <v>231014.2</v>
          </cell>
        </row>
        <row r="129">
          <cell r="G129" t="str">
            <v>LY361726</v>
          </cell>
          <cell r="H129">
            <v>231014.2</v>
          </cell>
          <cell r="I129">
            <v>231014.2</v>
          </cell>
        </row>
        <row r="130">
          <cell r="G130" t="str">
            <v>LY354560</v>
          </cell>
          <cell r="H130">
            <v>231014.2</v>
          </cell>
          <cell r="I130">
            <v>231014.2</v>
          </cell>
        </row>
        <row r="131">
          <cell r="G131" t="str">
            <v>LY362223</v>
          </cell>
          <cell r="H131">
            <v>231014.2</v>
          </cell>
          <cell r="I131">
            <v>231014.2</v>
          </cell>
        </row>
        <row r="132">
          <cell r="G132" t="str">
            <v>LY363307</v>
          </cell>
          <cell r="H132">
            <v>231014.2</v>
          </cell>
          <cell r="I132">
            <v>231014.2</v>
          </cell>
        </row>
        <row r="133">
          <cell r="G133" t="str">
            <v>LY354480</v>
          </cell>
          <cell r="H133">
            <v>231014.2</v>
          </cell>
          <cell r="I133">
            <v>231014.2</v>
          </cell>
        </row>
        <row r="134">
          <cell r="G134" t="str">
            <v>LY361731</v>
          </cell>
          <cell r="H134">
            <v>231014.2</v>
          </cell>
          <cell r="I134">
            <v>231014.2</v>
          </cell>
        </row>
        <row r="135">
          <cell r="G135" t="str">
            <v>LY356974</v>
          </cell>
          <cell r="H135">
            <v>231014.2</v>
          </cell>
          <cell r="I135">
            <v>231014.2</v>
          </cell>
        </row>
        <row r="136">
          <cell r="G136" t="str">
            <v>LY362547</v>
          </cell>
          <cell r="H136">
            <v>231014.2</v>
          </cell>
          <cell r="I136">
            <v>231014.2</v>
          </cell>
        </row>
        <row r="137">
          <cell r="G137" t="str">
            <v>LY363150</v>
          </cell>
          <cell r="H137">
            <v>231014.2</v>
          </cell>
          <cell r="I137">
            <v>231014.2</v>
          </cell>
        </row>
        <row r="138">
          <cell r="G138" t="str">
            <v>KJ000791</v>
          </cell>
          <cell r="H138">
            <v>561584.46</v>
          </cell>
          <cell r="I138">
            <v>561584.46</v>
          </cell>
        </row>
        <row r="139">
          <cell r="G139" t="str">
            <v>KJ000764</v>
          </cell>
          <cell r="H139">
            <v>561584.46</v>
          </cell>
          <cell r="I139">
            <v>561584.46</v>
          </cell>
        </row>
        <row r="140">
          <cell r="G140" t="str">
            <v>KJ000773</v>
          </cell>
          <cell r="H140">
            <v>561584.46</v>
          </cell>
          <cell r="I140">
            <v>561584.46</v>
          </cell>
        </row>
        <row r="141">
          <cell r="G141" t="str">
            <v>KH006771</v>
          </cell>
          <cell r="H141">
            <v>195996.94</v>
          </cell>
          <cell r="I141">
            <v>195996.94</v>
          </cell>
        </row>
        <row r="142">
          <cell r="G142" t="str">
            <v>KH008570</v>
          </cell>
          <cell r="H142">
            <v>195996.94</v>
          </cell>
          <cell r="I142">
            <v>195996.94</v>
          </cell>
        </row>
        <row r="143">
          <cell r="G143" t="str">
            <v>LH000938</v>
          </cell>
          <cell r="H143">
            <v>218761.71</v>
          </cell>
          <cell r="I143">
            <v>218761.71</v>
          </cell>
        </row>
        <row r="144">
          <cell r="G144" t="str">
            <v>KH009078</v>
          </cell>
          <cell r="H144">
            <v>195996.94</v>
          </cell>
          <cell r="I144">
            <v>195996.94</v>
          </cell>
        </row>
        <row r="145">
          <cell r="G145" t="str">
            <v>KH009405</v>
          </cell>
          <cell r="H145">
            <v>195996.94</v>
          </cell>
          <cell r="I145">
            <v>195996.94</v>
          </cell>
        </row>
        <row r="146">
          <cell r="G146" t="str">
            <v>KH008571</v>
          </cell>
          <cell r="H146">
            <v>195996.94</v>
          </cell>
          <cell r="I146">
            <v>195996.94</v>
          </cell>
        </row>
        <row r="147">
          <cell r="G147" t="str">
            <v>KH009090</v>
          </cell>
          <cell r="H147">
            <v>195996.94</v>
          </cell>
          <cell r="I147">
            <v>195996.94</v>
          </cell>
        </row>
        <row r="148">
          <cell r="G148" t="str">
            <v>KH009079</v>
          </cell>
          <cell r="H148">
            <v>195996.94</v>
          </cell>
          <cell r="I148">
            <v>195996.94</v>
          </cell>
        </row>
        <row r="149">
          <cell r="G149" t="str">
            <v>LH000870</v>
          </cell>
          <cell r="H149">
            <v>218761.71</v>
          </cell>
          <cell r="I149">
            <v>218761.71</v>
          </cell>
        </row>
        <row r="150">
          <cell r="G150" t="str">
            <v>KH008054</v>
          </cell>
          <cell r="H150">
            <v>195996.94</v>
          </cell>
          <cell r="I150">
            <v>195996.94</v>
          </cell>
        </row>
        <row r="151">
          <cell r="G151" t="str">
            <v>KH008569</v>
          </cell>
          <cell r="H151">
            <v>195996.94</v>
          </cell>
          <cell r="I151">
            <v>195996.94</v>
          </cell>
        </row>
        <row r="152">
          <cell r="G152" t="str">
            <v>KH008572</v>
          </cell>
          <cell r="H152">
            <v>195996.94</v>
          </cell>
          <cell r="I152">
            <v>195996.94</v>
          </cell>
        </row>
        <row r="153">
          <cell r="G153" t="str">
            <v>KH009088</v>
          </cell>
          <cell r="H153">
            <v>195996.94</v>
          </cell>
          <cell r="I153">
            <v>195996.94</v>
          </cell>
        </row>
        <row r="154">
          <cell r="G154" t="str">
            <v>KH009401</v>
          </cell>
          <cell r="H154">
            <v>195996.94</v>
          </cell>
          <cell r="I154">
            <v>195996.94</v>
          </cell>
        </row>
        <row r="155">
          <cell r="G155" t="str">
            <v>KH009527</v>
          </cell>
          <cell r="H155">
            <v>195996.94</v>
          </cell>
          <cell r="I155">
            <v>195996.94</v>
          </cell>
        </row>
        <row r="156">
          <cell r="G156" t="str">
            <v>KH009530</v>
          </cell>
          <cell r="H156">
            <v>195996.94</v>
          </cell>
          <cell r="I156">
            <v>195996.94</v>
          </cell>
        </row>
        <row r="157">
          <cell r="G157" t="str">
            <v>LH000912</v>
          </cell>
          <cell r="H157">
            <v>218761.71</v>
          </cell>
          <cell r="I157">
            <v>218761.71</v>
          </cell>
        </row>
        <row r="158">
          <cell r="G158" t="str">
            <v>KH008547</v>
          </cell>
          <cell r="H158">
            <v>195996.94</v>
          </cell>
          <cell r="I158">
            <v>195996.94</v>
          </cell>
        </row>
        <row r="159">
          <cell r="G159" t="str">
            <v>KH008550</v>
          </cell>
          <cell r="H159">
            <v>195996.94</v>
          </cell>
          <cell r="I159">
            <v>195996.94</v>
          </cell>
        </row>
        <row r="160">
          <cell r="G160" t="str">
            <v>KH008573</v>
          </cell>
          <cell r="H160">
            <v>195996.94</v>
          </cell>
          <cell r="I160">
            <v>195996.94</v>
          </cell>
        </row>
        <row r="161">
          <cell r="G161" t="str">
            <v>KH009075</v>
          </cell>
          <cell r="H161">
            <v>195996.94</v>
          </cell>
          <cell r="I161">
            <v>195996.94</v>
          </cell>
        </row>
        <row r="162">
          <cell r="G162" t="str">
            <v>KH009089</v>
          </cell>
          <cell r="H162">
            <v>195996.94</v>
          </cell>
          <cell r="I162">
            <v>195996.94</v>
          </cell>
        </row>
        <row r="163">
          <cell r="G163" t="str">
            <v>KH009402</v>
          </cell>
          <cell r="H163">
            <v>195996.94</v>
          </cell>
          <cell r="I163">
            <v>195996.94</v>
          </cell>
        </row>
        <row r="164">
          <cell r="G164" t="str">
            <v>KH009447</v>
          </cell>
          <cell r="H164">
            <v>195996.94</v>
          </cell>
          <cell r="I164">
            <v>195996.94</v>
          </cell>
        </row>
        <row r="165">
          <cell r="G165" t="str">
            <v>KH009528</v>
          </cell>
          <cell r="H165">
            <v>195996.94</v>
          </cell>
          <cell r="I165">
            <v>195996.94</v>
          </cell>
        </row>
        <row r="166">
          <cell r="G166" t="str">
            <v>KH009531</v>
          </cell>
          <cell r="H166">
            <v>195996.94</v>
          </cell>
          <cell r="I166">
            <v>195996.94</v>
          </cell>
        </row>
        <row r="167">
          <cell r="G167" t="str">
            <v>KH008274</v>
          </cell>
          <cell r="H167">
            <v>195996.94</v>
          </cell>
          <cell r="I167">
            <v>195996.94</v>
          </cell>
        </row>
        <row r="168">
          <cell r="G168" t="str">
            <v>KH008548</v>
          </cell>
          <cell r="H168">
            <v>195996.94</v>
          </cell>
          <cell r="I168">
            <v>195996.94</v>
          </cell>
        </row>
        <row r="169">
          <cell r="G169" t="str">
            <v>KH008713</v>
          </cell>
          <cell r="H169">
            <v>195996.94</v>
          </cell>
          <cell r="I169">
            <v>195996.94</v>
          </cell>
        </row>
        <row r="170">
          <cell r="G170" t="str">
            <v>KH009831</v>
          </cell>
          <cell r="H170">
            <v>214208.06</v>
          </cell>
          <cell r="I170">
            <v>214208.06</v>
          </cell>
        </row>
        <row r="171">
          <cell r="G171" t="str">
            <v>KH005741</v>
          </cell>
          <cell r="H171">
            <v>195996.94</v>
          </cell>
          <cell r="I171">
            <v>195996.94</v>
          </cell>
        </row>
        <row r="172">
          <cell r="G172" t="str">
            <v>KH008574</v>
          </cell>
          <cell r="H172">
            <v>195996.94</v>
          </cell>
          <cell r="I172">
            <v>195996.94</v>
          </cell>
        </row>
        <row r="173">
          <cell r="G173" t="str">
            <v>KH008719</v>
          </cell>
          <cell r="H173">
            <v>195996.94</v>
          </cell>
          <cell r="I173">
            <v>195996.94</v>
          </cell>
        </row>
        <row r="174">
          <cell r="G174" t="str">
            <v>KH009076</v>
          </cell>
          <cell r="H174">
            <v>195996.94</v>
          </cell>
          <cell r="I174">
            <v>195996.94</v>
          </cell>
        </row>
        <row r="175">
          <cell r="G175" t="str">
            <v>KH009403</v>
          </cell>
          <cell r="H175">
            <v>195996.94</v>
          </cell>
          <cell r="I175">
            <v>195996.94</v>
          </cell>
        </row>
        <row r="176">
          <cell r="G176" t="str">
            <v>KH009529</v>
          </cell>
          <cell r="H176">
            <v>195996.94</v>
          </cell>
          <cell r="I176">
            <v>195996.94</v>
          </cell>
        </row>
        <row r="177">
          <cell r="G177" t="str">
            <v>KH009532</v>
          </cell>
          <cell r="H177">
            <v>195996.94</v>
          </cell>
          <cell r="I177">
            <v>195996.94</v>
          </cell>
        </row>
        <row r="178">
          <cell r="G178" t="str">
            <v>KH008549</v>
          </cell>
          <cell r="H178">
            <v>195996.94</v>
          </cell>
          <cell r="I178">
            <v>195996.94</v>
          </cell>
        </row>
        <row r="179">
          <cell r="G179" t="str">
            <v>KH009832</v>
          </cell>
          <cell r="H179">
            <v>214208.06</v>
          </cell>
          <cell r="I179">
            <v>214208.06</v>
          </cell>
        </row>
        <row r="180">
          <cell r="G180" t="str">
            <v>LH000307</v>
          </cell>
          <cell r="H180">
            <v>218761.71</v>
          </cell>
          <cell r="I180">
            <v>218761.71</v>
          </cell>
        </row>
        <row r="181">
          <cell r="G181" t="str">
            <v>KH009077</v>
          </cell>
          <cell r="H181">
            <v>195996.94</v>
          </cell>
          <cell r="I181">
            <v>195996.94</v>
          </cell>
        </row>
        <row r="182">
          <cell r="G182" t="str">
            <v>KH009404</v>
          </cell>
          <cell r="H182">
            <v>195996.94</v>
          </cell>
          <cell r="I182">
            <v>195996.94</v>
          </cell>
        </row>
        <row r="183">
          <cell r="G183" t="str">
            <v>LH001711</v>
          </cell>
          <cell r="H183">
            <v>218761.71</v>
          </cell>
          <cell r="I183">
            <v>218761.71</v>
          </cell>
        </row>
        <row r="184">
          <cell r="G184" t="str">
            <v>LH000299</v>
          </cell>
          <cell r="H184">
            <v>241526.48</v>
          </cell>
          <cell r="I184">
            <v>241526.48</v>
          </cell>
        </row>
        <row r="185">
          <cell r="G185" t="str">
            <v>LH001826</v>
          </cell>
          <cell r="H185">
            <v>241526.48</v>
          </cell>
          <cell r="I185">
            <v>241526.48</v>
          </cell>
        </row>
        <row r="186">
          <cell r="G186" t="str">
            <v>LH001571</v>
          </cell>
          <cell r="H186">
            <v>241526.48</v>
          </cell>
          <cell r="I186">
            <v>241526.48</v>
          </cell>
        </row>
        <row r="187">
          <cell r="G187" t="str">
            <v>LH002057</v>
          </cell>
          <cell r="H187">
            <v>241526.48</v>
          </cell>
          <cell r="I187">
            <v>241526.48</v>
          </cell>
        </row>
        <row r="188">
          <cell r="G188" t="str">
            <v>LH001676</v>
          </cell>
          <cell r="H188">
            <v>241526.48</v>
          </cell>
          <cell r="I188">
            <v>241526.48</v>
          </cell>
        </row>
        <row r="189">
          <cell r="G189" t="str">
            <v>L6P01688</v>
          </cell>
          <cell r="H189">
            <v>239527.2</v>
          </cell>
          <cell r="I189">
            <v>239527.2</v>
          </cell>
        </row>
        <row r="190">
          <cell r="G190" t="str">
            <v>184</v>
          </cell>
          <cell r="I190">
            <v>73783124.440000042</v>
          </cell>
        </row>
        <row r="191">
          <cell r="G191" t="str">
            <v/>
          </cell>
        </row>
        <row r="192">
          <cell r="G192" t="str">
            <v>HW610542</v>
          </cell>
          <cell r="H192">
            <v>260000</v>
          </cell>
          <cell r="I192">
            <v>260000</v>
          </cell>
        </row>
        <row r="193">
          <cell r="G193" t="str">
            <v>FC816080</v>
          </cell>
          <cell r="H193">
            <v>232000</v>
          </cell>
          <cell r="I193">
            <v>232000</v>
          </cell>
        </row>
        <row r="194">
          <cell r="G194" t="str">
            <v>FC807585</v>
          </cell>
          <cell r="H194">
            <v>348000</v>
          </cell>
          <cell r="I194">
            <v>348000</v>
          </cell>
        </row>
        <row r="195">
          <cell r="G195" t="str">
            <v>FJ130321</v>
          </cell>
          <cell r="H195">
            <v>237200</v>
          </cell>
          <cell r="I195">
            <v>237200</v>
          </cell>
        </row>
        <row r="196">
          <cell r="G196" t="str">
            <v>GN760112</v>
          </cell>
          <cell r="H196">
            <v>238080</v>
          </cell>
          <cell r="I196">
            <v>119040</v>
          </cell>
        </row>
        <row r="197">
          <cell r="G197" t="str">
            <v>GT128635</v>
          </cell>
          <cell r="H197">
            <v>144000</v>
          </cell>
          <cell r="I197">
            <v>144000</v>
          </cell>
        </row>
        <row r="198">
          <cell r="G198" t="str">
            <v>HT551906</v>
          </cell>
          <cell r="H198">
            <v>185600</v>
          </cell>
          <cell r="I198">
            <v>185600</v>
          </cell>
        </row>
        <row r="199">
          <cell r="G199" t="str">
            <v>JT328554</v>
          </cell>
          <cell r="H199">
            <v>249200</v>
          </cell>
          <cell r="I199">
            <v>124600</v>
          </cell>
        </row>
        <row r="200">
          <cell r="G200" t="str">
            <v>HG544916</v>
          </cell>
          <cell r="H200">
            <v>248000</v>
          </cell>
          <cell r="I200">
            <v>248000</v>
          </cell>
        </row>
        <row r="201">
          <cell r="G201" t="str">
            <v>GG246503</v>
          </cell>
          <cell r="H201">
            <v>311840</v>
          </cell>
          <cell r="I201">
            <v>176720</v>
          </cell>
        </row>
        <row r="202">
          <cell r="G202" t="str">
            <v>HR242907</v>
          </cell>
          <cell r="H202">
            <v>229280</v>
          </cell>
          <cell r="I202">
            <v>114640</v>
          </cell>
        </row>
        <row r="203">
          <cell r="G203" t="str">
            <v>JS583141</v>
          </cell>
          <cell r="H203">
            <v>161120</v>
          </cell>
          <cell r="I203">
            <v>161120</v>
          </cell>
        </row>
        <row r="204">
          <cell r="G204" t="str">
            <v>GS588984</v>
          </cell>
          <cell r="H204">
            <v>106400</v>
          </cell>
          <cell r="I204">
            <v>106400</v>
          </cell>
        </row>
        <row r="205">
          <cell r="G205" t="str">
            <v>JE001920</v>
          </cell>
          <cell r="H205">
            <v>162560</v>
          </cell>
          <cell r="I205">
            <v>81280</v>
          </cell>
        </row>
        <row r="206">
          <cell r="G206" t="str">
            <v>FM279550</v>
          </cell>
          <cell r="H206">
            <v>120800</v>
          </cell>
          <cell r="I206">
            <v>60400</v>
          </cell>
        </row>
        <row r="207">
          <cell r="G207" t="str">
            <v>G0770325</v>
          </cell>
          <cell r="H207">
            <v>86640</v>
          </cell>
          <cell r="I207">
            <v>86640</v>
          </cell>
        </row>
        <row r="208">
          <cell r="G208" t="str">
            <v>H3328337</v>
          </cell>
          <cell r="H208">
            <v>76320</v>
          </cell>
          <cell r="I208">
            <v>76320</v>
          </cell>
        </row>
        <row r="209">
          <cell r="G209" t="str">
            <v>J7508740</v>
          </cell>
          <cell r="H209">
            <v>177200</v>
          </cell>
          <cell r="I209">
            <v>177200</v>
          </cell>
        </row>
        <row r="210">
          <cell r="G210" t="str">
            <v>JD126442</v>
          </cell>
          <cell r="H210">
            <v>105520</v>
          </cell>
          <cell r="I210">
            <v>105520</v>
          </cell>
        </row>
        <row r="211">
          <cell r="G211" t="str">
            <v>HM189248</v>
          </cell>
          <cell r="H211">
            <v>84560</v>
          </cell>
          <cell r="I211">
            <v>84560</v>
          </cell>
        </row>
        <row r="212">
          <cell r="G212" t="str">
            <v>GH000591</v>
          </cell>
          <cell r="H212">
            <v>77920</v>
          </cell>
          <cell r="I212">
            <v>77920</v>
          </cell>
        </row>
        <row r="213">
          <cell r="G213" t="str">
            <v>JK147373</v>
          </cell>
          <cell r="H213">
            <v>227760</v>
          </cell>
          <cell r="I213">
            <v>227760</v>
          </cell>
        </row>
        <row r="214">
          <cell r="G214" t="str">
            <v>FE057053</v>
          </cell>
          <cell r="H214">
            <v>127680</v>
          </cell>
          <cell r="I214">
            <v>127680</v>
          </cell>
        </row>
        <row r="215">
          <cell r="G215" t="str">
            <v>GX047828</v>
          </cell>
          <cell r="H215">
            <v>168480</v>
          </cell>
          <cell r="I215">
            <v>168480</v>
          </cell>
        </row>
        <row r="216">
          <cell r="G216" t="str">
            <v>HH543387</v>
          </cell>
          <cell r="H216">
            <v>340800</v>
          </cell>
          <cell r="I216">
            <v>340800</v>
          </cell>
        </row>
        <row r="217">
          <cell r="G217" t="str">
            <v>GD622915</v>
          </cell>
          <cell r="H217">
            <v>176720</v>
          </cell>
          <cell r="I217">
            <v>176720</v>
          </cell>
        </row>
        <row r="218">
          <cell r="G218" t="str">
            <v>GD681780</v>
          </cell>
          <cell r="H218">
            <v>176720</v>
          </cell>
          <cell r="I218">
            <v>176720</v>
          </cell>
        </row>
        <row r="219">
          <cell r="G219" t="str">
            <v>HT527870</v>
          </cell>
          <cell r="H219">
            <v>208880</v>
          </cell>
          <cell r="I219">
            <v>208880</v>
          </cell>
        </row>
        <row r="220">
          <cell r="G220" t="str">
            <v>HT551489</v>
          </cell>
          <cell r="H220">
            <v>236080</v>
          </cell>
          <cell r="I220">
            <v>236080</v>
          </cell>
        </row>
        <row r="221">
          <cell r="G221" t="str">
            <v>GC441949</v>
          </cell>
          <cell r="H221">
            <v>325520</v>
          </cell>
          <cell r="I221">
            <v>325520</v>
          </cell>
        </row>
        <row r="222">
          <cell r="G222" t="str">
            <v>HH006296</v>
          </cell>
          <cell r="H222">
            <v>92000</v>
          </cell>
          <cell r="I222">
            <v>92000</v>
          </cell>
        </row>
        <row r="223">
          <cell r="G223" t="str">
            <v>GX047740</v>
          </cell>
          <cell r="H223">
            <v>140800</v>
          </cell>
          <cell r="I223">
            <v>140800</v>
          </cell>
        </row>
        <row r="224">
          <cell r="G224" t="str">
            <v>32</v>
          </cell>
          <cell r="I224">
            <v>5428600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 t="str">
            <v>KC602122</v>
          </cell>
          <cell r="G5">
            <v>777151.2</v>
          </cell>
          <cell r="H5">
            <v>0</v>
          </cell>
          <cell r="I5">
            <v>200.55</v>
          </cell>
        </row>
        <row r="6">
          <cell r="F6" t="str">
            <v>KK214152</v>
          </cell>
          <cell r="G6">
            <v>391355</v>
          </cell>
          <cell r="H6">
            <v>0</v>
          </cell>
          <cell r="I6">
            <v>100.99</v>
          </cell>
        </row>
        <row r="7">
          <cell r="F7" t="str">
            <v>KY292644</v>
          </cell>
          <cell r="G7">
            <v>219114.72</v>
          </cell>
          <cell r="H7">
            <v>0</v>
          </cell>
          <cell r="I7">
            <v>56.54</v>
          </cell>
        </row>
        <row r="8">
          <cell r="F8" t="str">
            <v>KN761780</v>
          </cell>
          <cell r="G8">
            <v>806753.06</v>
          </cell>
          <cell r="H8">
            <v>0</v>
          </cell>
          <cell r="I8">
            <v>208.19</v>
          </cell>
        </row>
        <row r="9">
          <cell r="F9" t="str">
            <v>KC602901</v>
          </cell>
          <cell r="G9">
            <v>702355.64</v>
          </cell>
          <cell r="H9">
            <v>0</v>
          </cell>
          <cell r="I9">
            <v>181.25</v>
          </cell>
        </row>
        <row r="10">
          <cell r="F10" t="str">
            <v>KR623345</v>
          </cell>
          <cell r="G10">
            <v>437774.72</v>
          </cell>
          <cell r="H10">
            <v>0</v>
          </cell>
          <cell r="I10">
            <v>112.97</v>
          </cell>
        </row>
        <row r="11">
          <cell r="F11" t="str">
            <v>KC657605</v>
          </cell>
          <cell r="G11">
            <v>709341.16</v>
          </cell>
          <cell r="H11">
            <v>0</v>
          </cell>
          <cell r="I11">
            <v>183.05</v>
          </cell>
        </row>
        <row r="12">
          <cell r="F12" t="str">
            <v>KR627300</v>
          </cell>
          <cell r="G12">
            <v>807605.92</v>
          </cell>
          <cell r="H12">
            <v>0</v>
          </cell>
          <cell r="I12">
            <v>208.41</v>
          </cell>
        </row>
        <row r="13">
          <cell r="F13" t="str">
            <v>KC684224</v>
          </cell>
          <cell r="G13">
            <v>709341.16</v>
          </cell>
          <cell r="H13">
            <v>0</v>
          </cell>
          <cell r="I13">
            <v>183.05</v>
          </cell>
        </row>
        <row r="14">
          <cell r="F14" t="str">
            <v>KK224871</v>
          </cell>
          <cell r="G14">
            <v>397005.36</v>
          </cell>
          <cell r="H14">
            <v>0</v>
          </cell>
          <cell r="I14">
            <v>102.45</v>
          </cell>
        </row>
        <row r="15">
          <cell r="F15" t="str">
            <v>KK222267</v>
          </cell>
          <cell r="G15">
            <v>392411.76</v>
          </cell>
          <cell r="H15">
            <v>0</v>
          </cell>
          <cell r="I15">
            <v>101.26</v>
          </cell>
        </row>
        <row r="16">
          <cell r="F16" t="str">
            <v>KK222255</v>
          </cell>
          <cell r="G16">
            <v>397005.36</v>
          </cell>
          <cell r="H16">
            <v>0</v>
          </cell>
          <cell r="I16">
            <v>102.45</v>
          </cell>
        </row>
        <row r="17">
          <cell r="F17" t="str">
            <v>KG532592</v>
          </cell>
          <cell r="G17">
            <v>508395.1</v>
          </cell>
          <cell r="H17">
            <v>0</v>
          </cell>
          <cell r="I17">
            <v>131.19</v>
          </cell>
        </row>
        <row r="18">
          <cell r="F18" t="str">
            <v>KG528752</v>
          </cell>
          <cell r="G18">
            <v>508395.1</v>
          </cell>
          <cell r="H18">
            <v>0</v>
          </cell>
          <cell r="I18">
            <v>131.19</v>
          </cell>
        </row>
        <row r="19">
          <cell r="F19" t="str">
            <v>KC673642</v>
          </cell>
          <cell r="G19">
            <v>709341.16</v>
          </cell>
          <cell r="H19">
            <v>0</v>
          </cell>
          <cell r="I19">
            <v>183.05</v>
          </cell>
        </row>
        <row r="20">
          <cell r="F20" t="str">
            <v>KT667087</v>
          </cell>
          <cell r="G20">
            <v>487437.8</v>
          </cell>
          <cell r="H20">
            <v>0</v>
          </cell>
          <cell r="I20">
            <v>125.79</v>
          </cell>
        </row>
        <row r="21">
          <cell r="F21" t="str">
            <v>KC643910</v>
          </cell>
          <cell r="G21">
            <v>709341.16</v>
          </cell>
          <cell r="H21">
            <v>0</v>
          </cell>
          <cell r="I21">
            <v>183.05</v>
          </cell>
        </row>
        <row r="22">
          <cell r="F22" t="str">
            <v>KR737426</v>
          </cell>
          <cell r="G22">
            <v>491760.21</v>
          </cell>
          <cell r="H22">
            <v>0</v>
          </cell>
          <cell r="I22">
            <v>126.9</v>
          </cell>
        </row>
        <row r="23">
          <cell r="F23" t="str">
            <v>KC774843</v>
          </cell>
          <cell r="G23">
            <v>1518340.17</v>
          </cell>
          <cell r="H23">
            <v>0</v>
          </cell>
          <cell r="I23">
            <v>391.82</v>
          </cell>
        </row>
        <row r="24">
          <cell r="F24" t="str">
            <v>JC378013</v>
          </cell>
          <cell r="G24">
            <v>771294.22</v>
          </cell>
          <cell r="H24">
            <v>0</v>
          </cell>
          <cell r="I24">
            <v>199.04</v>
          </cell>
        </row>
        <row r="25">
          <cell r="F25" t="str">
            <v>KD206020</v>
          </cell>
          <cell r="G25">
            <v>609747.55000000005</v>
          </cell>
          <cell r="H25">
            <v>0</v>
          </cell>
          <cell r="I25">
            <v>157.35</v>
          </cell>
        </row>
        <row r="26">
          <cell r="F26" t="str">
            <v>KG523132</v>
          </cell>
          <cell r="G26">
            <v>529132</v>
          </cell>
          <cell r="H26">
            <v>0</v>
          </cell>
          <cell r="I26">
            <v>136.55000000000001</v>
          </cell>
        </row>
        <row r="27">
          <cell r="F27" t="str">
            <v>L6P09915</v>
          </cell>
          <cell r="G27">
            <v>309563.43</v>
          </cell>
          <cell r="H27">
            <v>0</v>
          </cell>
          <cell r="I27">
            <v>79.89</v>
          </cell>
        </row>
        <row r="28">
          <cell r="F28" t="str">
            <v>KH549352</v>
          </cell>
          <cell r="G28">
            <v>759041.21</v>
          </cell>
          <cell r="H28">
            <v>0</v>
          </cell>
          <cell r="I28">
            <v>195.88</v>
          </cell>
        </row>
        <row r="29">
          <cell r="F29" t="str">
            <v>KD348072</v>
          </cell>
          <cell r="G29">
            <v>608007.55000000005</v>
          </cell>
          <cell r="H29">
            <v>0</v>
          </cell>
          <cell r="I29">
            <v>156.9</v>
          </cell>
        </row>
        <row r="30">
          <cell r="F30" t="str">
            <v>JH017737</v>
          </cell>
          <cell r="G30">
            <v>215575.2</v>
          </cell>
          <cell r="H30">
            <v>0</v>
          </cell>
          <cell r="I30">
            <v>55.63</v>
          </cell>
        </row>
        <row r="31">
          <cell r="F31" t="str">
            <v>K9118947</v>
          </cell>
          <cell r="G31">
            <v>217505.14</v>
          </cell>
          <cell r="H31">
            <v>0</v>
          </cell>
          <cell r="I31">
            <v>56.13</v>
          </cell>
        </row>
        <row r="32">
          <cell r="F32" t="str">
            <v>JE150461</v>
          </cell>
          <cell r="G32">
            <v>521073.5</v>
          </cell>
          <cell r="H32">
            <v>0</v>
          </cell>
          <cell r="I32">
            <v>134.47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 t="str">
            <v>KC602122</v>
          </cell>
          <cell r="G5">
            <v>777151.2</v>
          </cell>
          <cell r="H5">
            <v>0</v>
          </cell>
          <cell r="I5">
            <v>401.1</v>
          </cell>
        </row>
        <row r="6">
          <cell r="F6" t="str">
            <v>KK214152</v>
          </cell>
          <cell r="G6">
            <v>391355</v>
          </cell>
          <cell r="H6">
            <v>0</v>
          </cell>
          <cell r="I6">
            <v>201.98</v>
          </cell>
        </row>
        <row r="7">
          <cell r="F7" t="str">
            <v>KY292644</v>
          </cell>
          <cell r="G7">
            <v>219114.72</v>
          </cell>
          <cell r="H7">
            <v>0</v>
          </cell>
          <cell r="I7">
            <v>113.09</v>
          </cell>
        </row>
        <row r="8">
          <cell r="F8" t="str">
            <v>KN761780</v>
          </cell>
          <cell r="G8">
            <v>806753.06</v>
          </cell>
          <cell r="H8">
            <v>0</v>
          </cell>
          <cell r="I8">
            <v>416.37</v>
          </cell>
        </row>
        <row r="9">
          <cell r="F9" t="str">
            <v>KC602901</v>
          </cell>
          <cell r="G9">
            <v>702355.64</v>
          </cell>
          <cell r="H9">
            <v>0</v>
          </cell>
          <cell r="I9">
            <v>362.49</v>
          </cell>
        </row>
        <row r="10">
          <cell r="F10" t="str">
            <v>KR623345</v>
          </cell>
          <cell r="G10">
            <v>437774.72</v>
          </cell>
          <cell r="H10">
            <v>0</v>
          </cell>
          <cell r="I10">
            <v>225.94</v>
          </cell>
        </row>
        <row r="11">
          <cell r="F11" t="str">
            <v>KC657605</v>
          </cell>
          <cell r="G11">
            <v>709341.16</v>
          </cell>
          <cell r="H11">
            <v>0</v>
          </cell>
          <cell r="I11">
            <v>366.1</v>
          </cell>
        </row>
        <row r="12">
          <cell r="F12" t="str">
            <v>KR627300</v>
          </cell>
          <cell r="G12">
            <v>807605.92</v>
          </cell>
          <cell r="H12">
            <v>0</v>
          </cell>
          <cell r="I12">
            <v>416.81</v>
          </cell>
        </row>
        <row r="13">
          <cell r="F13" t="str">
            <v>KC684224</v>
          </cell>
          <cell r="G13">
            <v>709341.16</v>
          </cell>
          <cell r="H13">
            <v>0</v>
          </cell>
          <cell r="I13">
            <v>366.1</v>
          </cell>
        </row>
        <row r="14">
          <cell r="F14" t="str">
            <v>KK224871</v>
          </cell>
          <cell r="G14">
            <v>397005.36</v>
          </cell>
          <cell r="H14">
            <v>0</v>
          </cell>
          <cell r="I14">
            <v>204.9</v>
          </cell>
        </row>
        <row r="15">
          <cell r="F15" t="str">
            <v>KK222267</v>
          </cell>
          <cell r="G15">
            <v>392411.76</v>
          </cell>
          <cell r="H15">
            <v>0</v>
          </cell>
          <cell r="I15">
            <v>202.53</v>
          </cell>
        </row>
        <row r="16">
          <cell r="F16" t="str">
            <v>KK222255</v>
          </cell>
          <cell r="G16">
            <v>397005.36</v>
          </cell>
          <cell r="H16">
            <v>0</v>
          </cell>
          <cell r="I16">
            <v>204.9</v>
          </cell>
        </row>
        <row r="17">
          <cell r="F17" t="str">
            <v>KG532592</v>
          </cell>
          <cell r="G17">
            <v>508395.1</v>
          </cell>
          <cell r="H17">
            <v>0</v>
          </cell>
          <cell r="I17">
            <v>262.39</v>
          </cell>
        </row>
        <row r="18">
          <cell r="F18" t="str">
            <v>KG528752</v>
          </cell>
          <cell r="G18">
            <v>508395.1</v>
          </cell>
          <cell r="H18">
            <v>0</v>
          </cell>
          <cell r="I18">
            <v>262.39</v>
          </cell>
        </row>
        <row r="19">
          <cell r="F19" t="str">
            <v>KC673642</v>
          </cell>
          <cell r="G19">
            <v>709341.16</v>
          </cell>
          <cell r="H19">
            <v>0</v>
          </cell>
          <cell r="I19">
            <v>366.1</v>
          </cell>
        </row>
        <row r="20">
          <cell r="F20" t="str">
            <v>KT667087</v>
          </cell>
          <cell r="G20">
            <v>487437.8</v>
          </cell>
          <cell r="H20">
            <v>0</v>
          </cell>
          <cell r="I20">
            <v>251.57</v>
          </cell>
        </row>
        <row r="21">
          <cell r="F21" t="str">
            <v>KC643910</v>
          </cell>
          <cell r="G21">
            <v>709341.16</v>
          </cell>
          <cell r="H21">
            <v>0</v>
          </cell>
          <cell r="I21">
            <v>366.1</v>
          </cell>
        </row>
        <row r="22">
          <cell r="F22" t="str">
            <v>KR737426</v>
          </cell>
          <cell r="G22">
            <v>491760.21</v>
          </cell>
          <cell r="H22">
            <v>0</v>
          </cell>
          <cell r="I22">
            <v>253.8</v>
          </cell>
        </row>
        <row r="23">
          <cell r="F23" t="str">
            <v>JC378013</v>
          </cell>
          <cell r="G23">
            <v>771294.22</v>
          </cell>
          <cell r="H23">
            <v>0</v>
          </cell>
          <cell r="I23">
            <v>398.07</v>
          </cell>
        </row>
        <row r="24">
          <cell r="F24" t="str">
            <v>KD206020</v>
          </cell>
          <cell r="G24">
            <v>609747.55000000005</v>
          </cell>
          <cell r="H24">
            <v>0</v>
          </cell>
          <cell r="I24">
            <v>314.7</v>
          </cell>
        </row>
        <row r="25">
          <cell r="F25" t="str">
            <v>KG523132</v>
          </cell>
          <cell r="G25">
            <v>529132</v>
          </cell>
          <cell r="H25">
            <v>0</v>
          </cell>
          <cell r="I25">
            <v>273.08999999999997</v>
          </cell>
        </row>
        <row r="26">
          <cell r="F26" t="str">
            <v>L6P09915</v>
          </cell>
          <cell r="G26">
            <v>309563.43</v>
          </cell>
          <cell r="H26">
            <v>0</v>
          </cell>
          <cell r="I26">
            <v>159.77000000000001</v>
          </cell>
        </row>
        <row r="27">
          <cell r="F27" t="str">
            <v>KH549352</v>
          </cell>
          <cell r="G27">
            <v>759041.21</v>
          </cell>
          <cell r="H27">
            <v>0</v>
          </cell>
          <cell r="I27">
            <v>391.75</v>
          </cell>
        </row>
        <row r="28">
          <cell r="F28" t="str">
            <v>KD348072</v>
          </cell>
          <cell r="G28">
            <v>608007.55000000005</v>
          </cell>
          <cell r="H28">
            <v>0</v>
          </cell>
          <cell r="I28">
            <v>313.8</v>
          </cell>
        </row>
        <row r="29">
          <cell r="F29" t="str">
            <v>JH017737</v>
          </cell>
          <cell r="G29">
            <v>215575.2</v>
          </cell>
          <cell r="H29">
            <v>0</v>
          </cell>
          <cell r="I29">
            <v>111.26</v>
          </cell>
        </row>
        <row r="30">
          <cell r="F30" t="str">
            <v>K9118947</v>
          </cell>
          <cell r="G30">
            <v>217505.14</v>
          </cell>
          <cell r="H30">
            <v>0</v>
          </cell>
          <cell r="I30">
            <v>112.26</v>
          </cell>
        </row>
        <row r="31">
          <cell r="F31" t="str">
            <v>JE150461</v>
          </cell>
          <cell r="G31">
            <v>521073.5</v>
          </cell>
          <cell r="H31">
            <v>0</v>
          </cell>
          <cell r="I31">
            <v>268.93</v>
          </cell>
        </row>
        <row r="32">
          <cell r="G32">
            <v>14702825.390000004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 t="str">
            <v>KC602122</v>
          </cell>
          <cell r="G5">
            <v>777151.2</v>
          </cell>
          <cell r="H5">
            <v>0</v>
          </cell>
          <cell r="I5">
            <v>601.65</v>
          </cell>
        </row>
        <row r="6">
          <cell r="F6" t="str">
            <v>KY292644</v>
          </cell>
          <cell r="G6">
            <v>219114.72</v>
          </cell>
          <cell r="H6">
            <v>0</v>
          </cell>
          <cell r="I6">
            <v>169.63</v>
          </cell>
        </row>
        <row r="7">
          <cell r="F7" t="str">
            <v>KN761780</v>
          </cell>
          <cell r="G7">
            <v>806753.06</v>
          </cell>
          <cell r="H7">
            <v>0</v>
          </cell>
          <cell r="I7">
            <v>624.55999999999995</v>
          </cell>
        </row>
        <row r="8">
          <cell r="F8" t="str">
            <v>KC602901</v>
          </cell>
          <cell r="G8">
            <v>702355.64</v>
          </cell>
          <cell r="H8">
            <v>0</v>
          </cell>
          <cell r="I8">
            <v>543.74</v>
          </cell>
        </row>
        <row r="9">
          <cell r="F9" t="str">
            <v>KR623345</v>
          </cell>
          <cell r="G9">
            <v>437774.72</v>
          </cell>
          <cell r="H9">
            <v>0</v>
          </cell>
          <cell r="I9">
            <v>338.91</v>
          </cell>
        </row>
        <row r="10">
          <cell r="F10" t="str">
            <v>KC657605</v>
          </cell>
          <cell r="G10">
            <v>709341.16</v>
          </cell>
          <cell r="H10">
            <v>0</v>
          </cell>
          <cell r="I10">
            <v>549.15</v>
          </cell>
        </row>
        <row r="11">
          <cell r="F11" t="str">
            <v>KR627300</v>
          </cell>
          <cell r="G11">
            <v>807605.92</v>
          </cell>
          <cell r="H11">
            <v>0</v>
          </cell>
          <cell r="I11">
            <v>625.22</v>
          </cell>
        </row>
        <row r="12">
          <cell r="F12" t="str">
            <v>KC684224</v>
          </cell>
          <cell r="G12">
            <v>709341.16</v>
          </cell>
          <cell r="H12">
            <v>0</v>
          </cell>
          <cell r="I12">
            <v>549.15</v>
          </cell>
        </row>
        <row r="13">
          <cell r="F13" t="str">
            <v>KK224871</v>
          </cell>
          <cell r="G13">
            <v>397005.36</v>
          </cell>
          <cell r="H13">
            <v>0</v>
          </cell>
          <cell r="I13">
            <v>307.35000000000002</v>
          </cell>
        </row>
        <row r="14">
          <cell r="F14" t="str">
            <v>KK222255</v>
          </cell>
          <cell r="G14">
            <v>397005.36</v>
          </cell>
          <cell r="H14">
            <v>0</v>
          </cell>
          <cell r="I14">
            <v>307.35000000000002</v>
          </cell>
        </row>
        <row r="15">
          <cell r="F15" t="str">
            <v>KG532592</v>
          </cell>
          <cell r="G15">
            <v>508395.1</v>
          </cell>
          <cell r="H15">
            <v>0</v>
          </cell>
          <cell r="I15">
            <v>393.58</v>
          </cell>
        </row>
        <row r="16">
          <cell r="F16" t="str">
            <v>KG528752</v>
          </cell>
          <cell r="G16">
            <v>508395.1</v>
          </cell>
          <cell r="H16">
            <v>0</v>
          </cell>
          <cell r="I16">
            <v>393.58</v>
          </cell>
        </row>
        <row r="17">
          <cell r="F17" t="str">
            <v>KC673642</v>
          </cell>
          <cell r="G17">
            <v>709341.16</v>
          </cell>
          <cell r="H17">
            <v>0</v>
          </cell>
          <cell r="I17">
            <v>549.15</v>
          </cell>
        </row>
        <row r="18">
          <cell r="F18" t="str">
            <v>KT667087</v>
          </cell>
          <cell r="G18">
            <v>487437.8</v>
          </cell>
          <cell r="H18">
            <v>0</v>
          </cell>
          <cell r="I18">
            <v>377.36</v>
          </cell>
        </row>
        <row r="19">
          <cell r="F19" t="str">
            <v>KC643910</v>
          </cell>
          <cell r="G19">
            <v>709341.16</v>
          </cell>
          <cell r="H19">
            <v>0</v>
          </cell>
          <cell r="I19">
            <v>549.15</v>
          </cell>
        </row>
        <row r="20">
          <cell r="F20" t="str">
            <v>JC378013</v>
          </cell>
          <cell r="G20">
            <v>771294.22</v>
          </cell>
          <cell r="H20">
            <v>0</v>
          </cell>
          <cell r="I20">
            <v>597.11</v>
          </cell>
        </row>
        <row r="21">
          <cell r="F21" t="str">
            <v>KD206020</v>
          </cell>
          <cell r="G21">
            <v>609747.55000000005</v>
          </cell>
          <cell r="H21">
            <v>0</v>
          </cell>
          <cell r="I21">
            <v>472.05</v>
          </cell>
        </row>
        <row r="22">
          <cell r="F22" t="str">
            <v>KG523132</v>
          </cell>
          <cell r="G22">
            <v>529132</v>
          </cell>
          <cell r="H22">
            <v>0</v>
          </cell>
          <cell r="I22">
            <v>409.64</v>
          </cell>
        </row>
        <row r="23">
          <cell r="F23" t="str">
            <v>L6P09915</v>
          </cell>
          <cell r="G23">
            <v>309563.43</v>
          </cell>
          <cell r="H23">
            <v>0</v>
          </cell>
          <cell r="I23">
            <v>239.65</v>
          </cell>
        </row>
        <row r="24">
          <cell r="F24" t="str">
            <v>KC691397</v>
          </cell>
          <cell r="G24">
            <v>771239.92</v>
          </cell>
          <cell r="H24">
            <v>0</v>
          </cell>
          <cell r="I24">
            <v>198.76</v>
          </cell>
        </row>
        <row r="25">
          <cell r="F25" t="str">
            <v>KT730535</v>
          </cell>
          <cell r="G25">
            <v>521885.16</v>
          </cell>
          <cell r="H25">
            <v>0</v>
          </cell>
          <cell r="I25">
            <v>134.49</v>
          </cell>
        </row>
        <row r="26">
          <cell r="F26" t="str">
            <v>KT730534</v>
          </cell>
          <cell r="G26">
            <v>521885.16</v>
          </cell>
          <cell r="H26">
            <v>0</v>
          </cell>
          <cell r="I26">
            <v>134.49</v>
          </cell>
        </row>
        <row r="27">
          <cell r="F27" t="str">
            <v>KH549352</v>
          </cell>
          <cell r="G27">
            <v>759041.21</v>
          </cell>
          <cell r="H27">
            <v>0</v>
          </cell>
          <cell r="I27">
            <v>587.62</v>
          </cell>
        </row>
        <row r="28">
          <cell r="F28" t="str">
            <v>KD348072</v>
          </cell>
          <cell r="G28">
            <v>608007.55000000005</v>
          </cell>
          <cell r="H28">
            <v>0</v>
          </cell>
          <cell r="I28">
            <v>470.7</v>
          </cell>
        </row>
        <row r="29">
          <cell r="F29" t="str">
            <v>JH017737</v>
          </cell>
          <cell r="G29">
            <v>215575.2</v>
          </cell>
          <cell r="H29">
            <v>0</v>
          </cell>
          <cell r="I29">
            <v>166.89</v>
          </cell>
        </row>
        <row r="30">
          <cell r="F30" t="str">
            <v>K9118947</v>
          </cell>
          <cell r="G30">
            <v>217505.14</v>
          </cell>
          <cell r="H30">
            <v>0</v>
          </cell>
          <cell r="I30">
            <v>168.39</v>
          </cell>
        </row>
        <row r="31">
          <cell r="F31" t="str">
            <v>JE150461</v>
          </cell>
          <cell r="G31">
            <v>521073.5</v>
          </cell>
          <cell r="H31">
            <v>0</v>
          </cell>
          <cell r="I31">
            <v>403.4</v>
          </cell>
        </row>
        <row r="32">
          <cell r="G32">
            <v>15242308.66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KX080901</v>
          </cell>
          <cell r="H6">
            <v>431135.44</v>
          </cell>
          <cell r="I6">
            <v>316135.44</v>
          </cell>
        </row>
        <row r="7">
          <cell r="G7" t="str">
            <v>K7C33146</v>
          </cell>
          <cell r="H7">
            <v>941552.84</v>
          </cell>
          <cell r="I7">
            <v>140931.70000000001</v>
          </cell>
        </row>
        <row r="8">
          <cell r="G8" t="str">
            <v>K7C56784</v>
          </cell>
          <cell r="H8">
            <v>1514313.28</v>
          </cell>
          <cell r="I8">
            <v>1514313.28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JULIO 19 "/>
      <sheetName val="Hoja1"/>
    </sheetNames>
    <sheetDataSet>
      <sheetData sheetId="0" refreshError="1">
        <row r="2">
          <cell r="E2" t="str">
            <v>ML3AB56J7KH008017</v>
          </cell>
          <cell r="F2" t="str">
            <v>KH008017</v>
          </cell>
          <cell r="G2">
            <v>2019</v>
          </cell>
          <cell r="H2">
            <v>223101.64</v>
          </cell>
        </row>
        <row r="3">
          <cell r="E3" t="str">
            <v>ML3AB56J0KH009039</v>
          </cell>
          <cell r="F3" t="str">
            <v>KH009039</v>
          </cell>
          <cell r="G3">
            <v>2019</v>
          </cell>
          <cell r="H3">
            <v>234852.44</v>
          </cell>
        </row>
        <row r="4">
          <cell r="E4" t="str">
            <v>3C7WRAKT2KG580186</v>
          </cell>
          <cell r="F4" t="str">
            <v>KG580186</v>
          </cell>
          <cell r="G4">
            <v>2019</v>
          </cell>
          <cell r="H4">
            <v>505018.76</v>
          </cell>
        </row>
        <row r="5">
          <cell r="E5" t="str">
            <v>98861155XKK251647</v>
          </cell>
          <cell r="F5" t="str">
            <v>KK251647</v>
          </cell>
          <cell r="G5">
            <v>2019</v>
          </cell>
          <cell r="H5">
            <v>363678.56</v>
          </cell>
        </row>
        <row r="6">
          <cell r="E6" t="str">
            <v>988611556KK251712</v>
          </cell>
          <cell r="F6" t="str">
            <v>KK251712</v>
          </cell>
          <cell r="G6">
            <v>2019</v>
          </cell>
          <cell r="H6">
            <v>363678.56</v>
          </cell>
        </row>
        <row r="7">
          <cell r="E7" t="str">
            <v>98861155XKK251907</v>
          </cell>
          <cell r="F7" t="str">
            <v>KK251907</v>
          </cell>
          <cell r="G7">
            <v>2019</v>
          </cell>
          <cell r="H7">
            <v>363678.56</v>
          </cell>
        </row>
        <row r="8">
          <cell r="E8" t="str">
            <v>988611551KK253576</v>
          </cell>
          <cell r="F8" t="str">
            <v>KK253576</v>
          </cell>
          <cell r="G8">
            <v>2019</v>
          </cell>
          <cell r="H8">
            <v>363678.56</v>
          </cell>
        </row>
        <row r="9">
          <cell r="E9" t="str">
            <v>988611553KK253840</v>
          </cell>
          <cell r="F9" t="str">
            <v>KK253840</v>
          </cell>
          <cell r="G9">
            <v>2019</v>
          </cell>
          <cell r="H9">
            <v>363678.56</v>
          </cell>
        </row>
        <row r="10">
          <cell r="E10" t="str">
            <v>988611569KK251552</v>
          </cell>
          <cell r="F10" t="str">
            <v>KK251552</v>
          </cell>
          <cell r="G10">
            <v>2019</v>
          </cell>
          <cell r="H10">
            <v>400983</v>
          </cell>
        </row>
        <row r="11">
          <cell r="E11" t="str">
            <v>988611565KK251628</v>
          </cell>
          <cell r="F11" t="str">
            <v>KK251628</v>
          </cell>
          <cell r="G11">
            <v>2019</v>
          </cell>
          <cell r="H11">
            <v>400983</v>
          </cell>
        </row>
        <row r="12">
          <cell r="E12" t="str">
            <v>988611566KK251637</v>
          </cell>
          <cell r="F12" t="str">
            <v>KK251637</v>
          </cell>
          <cell r="G12">
            <v>2019</v>
          </cell>
          <cell r="H12">
            <v>400983</v>
          </cell>
        </row>
        <row r="13">
          <cell r="E13" t="str">
            <v>988611566KK251654</v>
          </cell>
          <cell r="F13" t="str">
            <v>KK251654</v>
          </cell>
          <cell r="G13">
            <v>2019</v>
          </cell>
          <cell r="H13">
            <v>400983</v>
          </cell>
        </row>
        <row r="14">
          <cell r="E14" t="str">
            <v>988611563KK251739</v>
          </cell>
          <cell r="F14" t="str">
            <v>KK251739</v>
          </cell>
          <cell r="G14">
            <v>2019</v>
          </cell>
          <cell r="H14">
            <v>400983</v>
          </cell>
        </row>
        <row r="15">
          <cell r="E15" t="str">
            <v>988611569KK251812</v>
          </cell>
          <cell r="F15" t="str">
            <v>KK251812</v>
          </cell>
          <cell r="G15">
            <v>2019</v>
          </cell>
          <cell r="H15">
            <v>400983</v>
          </cell>
        </row>
        <row r="16">
          <cell r="E16" t="str">
            <v>988611565KK251886</v>
          </cell>
          <cell r="F16" t="str">
            <v>KK251886</v>
          </cell>
          <cell r="G16">
            <v>2019</v>
          </cell>
          <cell r="H16">
            <v>400983</v>
          </cell>
        </row>
        <row r="17">
          <cell r="E17" t="str">
            <v>988611560KK251939</v>
          </cell>
          <cell r="F17" t="str">
            <v>KK251939</v>
          </cell>
          <cell r="G17">
            <v>2019</v>
          </cell>
          <cell r="H17">
            <v>400983</v>
          </cell>
        </row>
        <row r="18">
          <cell r="E18" t="str">
            <v>988611569KK251955</v>
          </cell>
          <cell r="F18" t="str">
            <v>KK251955</v>
          </cell>
          <cell r="G18">
            <v>2019</v>
          </cell>
          <cell r="H18">
            <v>400983</v>
          </cell>
        </row>
        <row r="19">
          <cell r="E19" t="str">
            <v>988611568KK251994</v>
          </cell>
          <cell r="F19" t="str">
            <v>KK251994</v>
          </cell>
          <cell r="G19">
            <v>2019</v>
          </cell>
          <cell r="H19">
            <v>400983</v>
          </cell>
        </row>
        <row r="20">
          <cell r="E20" t="str">
            <v>988611565KK251998</v>
          </cell>
          <cell r="F20" t="str">
            <v>KK251998</v>
          </cell>
          <cell r="G20">
            <v>2019</v>
          </cell>
          <cell r="H20">
            <v>400983</v>
          </cell>
        </row>
        <row r="21">
          <cell r="E21" t="str">
            <v>988611560KK252007</v>
          </cell>
          <cell r="F21" t="str">
            <v>KK252007</v>
          </cell>
          <cell r="G21">
            <v>2019</v>
          </cell>
          <cell r="H21">
            <v>400983</v>
          </cell>
        </row>
        <row r="22">
          <cell r="E22" t="str">
            <v>988611565KK252018</v>
          </cell>
          <cell r="F22" t="str">
            <v>KK252018</v>
          </cell>
          <cell r="G22">
            <v>2019</v>
          </cell>
          <cell r="H22">
            <v>400983</v>
          </cell>
        </row>
        <row r="23">
          <cell r="E23" t="str">
            <v>988611565KK252178</v>
          </cell>
          <cell r="F23" t="str">
            <v>KK252178</v>
          </cell>
          <cell r="G23">
            <v>2019</v>
          </cell>
          <cell r="H23">
            <v>400983</v>
          </cell>
        </row>
        <row r="24">
          <cell r="E24" t="str">
            <v>988611561KK252226</v>
          </cell>
          <cell r="F24" t="str">
            <v>KK252226</v>
          </cell>
          <cell r="G24">
            <v>2019</v>
          </cell>
          <cell r="H24">
            <v>400983</v>
          </cell>
        </row>
        <row r="25">
          <cell r="E25" t="str">
            <v>988611564KK255735</v>
          </cell>
          <cell r="F25" t="str">
            <v>KK255735</v>
          </cell>
          <cell r="G25">
            <v>2019</v>
          </cell>
          <cell r="H25">
            <v>416361.12</v>
          </cell>
        </row>
        <row r="26">
          <cell r="E26" t="str">
            <v>9BD265557K9132937</v>
          </cell>
          <cell r="F26" t="str">
            <v>K9132937</v>
          </cell>
          <cell r="G26">
            <v>2019</v>
          </cell>
          <cell r="H26">
            <v>220010.23999999999</v>
          </cell>
        </row>
        <row r="27">
          <cell r="E27" t="str">
            <v>9BD195A86K0862605</v>
          </cell>
          <cell r="F27" t="str">
            <v>K0862605</v>
          </cell>
          <cell r="G27">
            <v>2019</v>
          </cell>
          <cell r="H27">
            <v>215889.92000000001</v>
          </cell>
        </row>
        <row r="28">
          <cell r="E28" t="str">
            <v>9BD195A80K0862969</v>
          </cell>
          <cell r="F28" t="str">
            <v>K0862969</v>
          </cell>
          <cell r="G28">
            <v>2019</v>
          </cell>
          <cell r="H28">
            <v>215889.92000000001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"/>
      <sheetName val="Hoja1"/>
    </sheetNames>
    <sheetDataSet>
      <sheetData sheetId="0">
        <row r="2">
          <cell r="F2" t="str">
            <v>LY629702</v>
          </cell>
          <cell r="G2">
            <v>2020</v>
          </cell>
          <cell r="H2">
            <v>201453.72</v>
          </cell>
        </row>
        <row r="3">
          <cell r="F3" t="str">
            <v>LY629248</v>
          </cell>
          <cell r="G3">
            <v>2020</v>
          </cell>
          <cell r="H3">
            <v>201453.72</v>
          </cell>
        </row>
        <row r="4">
          <cell r="F4" t="str">
            <v>LY633325</v>
          </cell>
          <cell r="G4">
            <v>2020</v>
          </cell>
          <cell r="H4">
            <v>185073.36</v>
          </cell>
        </row>
        <row r="5">
          <cell r="F5" t="str">
            <v>L0868429</v>
          </cell>
          <cell r="G5">
            <v>2020</v>
          </cell>
          <cell r="H5">
            <v>212740.52</v>
          </cell>
        </row>
        <row r="6">
          <cell r="F6" t="str">
            <v>L0868214</v>
          </cell>
          <cell r="G6">
            <v>2020</v>
          </cell>
          <cell r="H6">
            <v>212740.52</v>
          </cell>
        </row>
        <row r="7">
          <cell r="F7" t="str">
            <v>K0865749</v>
          </cell>
          <cell r="G7">
            <v>2019</v>
          </cell>
          <cell r="H7">
            <v>215889.92000000001</v>
          </cell>
        </row>
        <row r="8">
          <cell r="F8" t="str">
            <v>K0865329</v>
          </cell>
          <cell r="G8">
            <v>2019</v>
          </cell>
          <cell r="H8">
            <v>215889.92000000001</v>
          </cell>
        </row>
        <row r="9">
          <cell r="F9" t="str">
            <v>LY630630</v>
          </cell>
          <cell r="G9">
            <v>2020</v>
          </cell>
          <cell r="H9">
            <v>201453.72</v>
          </cell>
        </row>
        <row r="10">
          <cell r="F10" t="str">
            <v>LY628349</v>
          </cell>
          <cell r="G10">
            <v>2020</v>
          </cell>
          <cell r="H10">
            <v>201453.72</v>
          </cell>
        </row>
        <row r="11">
          <cell r="F11" t="str">
            <v>LY629807</v>
          </cell>
          <cell r="G11">
            <v>2020</v>
          </cell>
          <cell r="H11">
            <v>185073.36</v>
          </cell>
        </row>
        <row r="12">
          <cell r="F12" t="str">
            <v>LY629755</v>
          </cell>
          <cell r="G12">
            <v>2020</v>
          </cell>
          <cell r="H12">
            <v>185073.36</v>
          </cell>
        </row>
        <row r="13">
          <cell r="F13" t="str">
            <v>LY628009</v>
          </cell>
          <cell r="G13">
            <v>2020</v>
          </cell>
          <cell r="H13">
            <v>185073.36</v>
          </cell>
        </row>
        <row r="14">
          <cell r="F14" t="str">
            <v>K0865513</v>
          </cell>
          <cell r="G14">
            <v>2019</v>
          </cell>
          <cell r="H14">
            <v>215889.92000000001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F5" t="str">
            <v>KC602122</v>
          </cell>
          <cell r="G5">
            <v>777151.2</v>
          </cell>
          <cell r="H5">
            <v>0</v>
          </cell>
          <cell r="I5">
            <v>802.19</v>
          </cell>
        </row>
        <row r="6">
          <cell r="F6" t="str">
            <v>KY292644</v>
          </cell>
          <cell r="G6">
            <v>219114.72</v>
          </cell>
          <cell r="H6">
            <v>0</v>
          </cell>
          <cell r="I6">
            <v>226.18</v>
          </cell>
        </row>
        <row r="7">
          <cell r="F7" t="str">
            <v>KN761780</v>
          </cell>
          <cell r="G7">
            <v>806753.06</v>
          </cell>
          <cell r="H7">
            <v>0</v>
          </cell>
          <cell r="I7">
            <v>832.75</v>
          </cell>
        </row>
        <row r="8">
          <cell r="F8" t="str">
            <v>KC602901</v>
          </cell>
          <cell r="G8">
            <v>702355.64</v>
          </cell>
          <cell r="H8">
            <v>0</v>
          </cell>
          <cell r="I8">
            <v>724.99</v>
          </cell>
        </row>
        <row r="9">
          <cell r="F9" t="str">
            <v>KR623345</v>
          </cell>
          <cell r="G9">
            <v>437774.72</v>
          </cell>
          <cell r="H9">
            <v>0</v>
          </cell>
          <cell r="I9">
            <v>451.88</v>
          </cell>
        </row>
        <row r="10">
          <cell r="F10" t="str">
            <v>KC657605</v>
          </cell>
          <cell r="G10">
            <v>709341.16</v>
          </cell>
          <cell r="H10">
            <v>0</v>
          </cell>
          <cell r="I10">
            <v>732.2</v>
          </cell>
        </row>
        <row r="11">
          <cell r="F11" t="str">
            <v>KR627300</v>
          </cell>
          <cell r="G11">
            <v>807605.92</v>
          </cell>
          <cell r="H11">
            <v>0</v>
          </cell>
          <cell r="I11">
            <v>833.63</v>
          </cell>
        </row>
        <row r="12">
          <cell r="F12" t="str">
            <v>KK224871</v>
          </cell>
          <cell r="G12">
            <v>397005.36</v>
          </cell>
          <cell r="H12">
            <v>0</v>
          </cell>
          <cell r="I12">
            <v>409.8</v>
          </cell>
        </row>
        <row r="13">
          <cell r="F13" t="str">
            <v>KK222255</v>
          </cell>
          <cell r="G13">
            <v>397005.36</v>
          </cell>
          <cell r="H13">
            <v>0</v>
          </cell>
          <cell r="I13">
            <v>409.8</v>
          </cell>
        </row>
        <row r="14">
          <cell r="F14" t="str">
            <v>KG532592</v>
          </cell>
          <cell r="G14">
            <v>508395.1</v>
          </cell>
          <cell r="H14">
            <v>0</v>
          </cell>
          <cell r="I14">
            <v>524.78</v>
          </cell>
        </row>
        <row r="15">
          <cell r="F15" t="str">
            <v>KG528752</v>
          </cell>
          <cell r="G15">
            <v>508395.1</v>
          </cell>
          <cell r="H15">
            <v>0</v>
          </cell>
          <cell r="I15">
            <v>524.78</v>
          </cell>
        </row>
        <row r="16">
          <cell r="F16" t="str">
            <v>KC673642</v>
          </cell>
          <cell r="G16">
            <v>709341.16</v>
          </cell>
          <cell r="H16">
            <v>0</v>
          </cell>
          <cell r="I16">
            <v>732.2</v>
          </cell>
        </row>
        <row r="17">
          <cell r="F17" t="str">
            <v>KT667087</v>
          </cell>
          <cell r="G17">
            <v>487437.8</v>
          </cell>
          <cell r="H17">
            <v>0</v>
          </cell>
          <cell r="I17">
            <v>503.14</v>
          </cell>
        </row>
        <row r="18">
          <cell r="F18" t="str">
            <v>KC643910</v>
          </cell>
          <cell r="G18">
            <v>709341.16</v>
          </cell>
          <cell r="H18">
            <v>0</v>
          </cell>
          <cell r="I18">
            <v>732.2</v>
          </cell>
        </row>
        <row r="19">
          <cell r="F19" t="str">
            <v>JC378013</v>
          </cell>
          <cell r="G19">
            <v>771294.22</v>
          </cell>
          <cell r="H19">
            <v>0</v>
          </cell>
          <cell r="I19">
            <v>796.15</v>
          </cell>
        </row>
        <row r="20">
          <cell r="F20" t="str">
            <v>KD206020</v>
          </cell>
          <cell r="G20">
            <v>609747.55000000005</v>
          </cell>
          <cell r="H20">
            <v>0</v>
          </cell>
          <cell r="I20">
            <v>629.4</v>
          </cell>
        </row>
        <row r="21">
          <cell r="F21" t="str">
            <v>KG523132</v>
          </cell>
          <cell r="G21">
            <v>529132</v>
          </cell>
          <cell r="H21">
            <v>0</v>
          </cell>
          <cell r="I21">
            <v>546.17999999999995</v>
          </cell>
        </row>
        <row r="22">
          <cell r="F22" t="str">
            <v>L6P09915</v>
          </cell>
          <cell r="G22">
            <v>309563.43</v>
          </cell>
          <cell r="H22">
            <v>0</v>
          </cell>
          <cell r="I22">
            <v>319.54000000000002</v>
          </cell>
        </row>
        <row r="23">
          <cell r="F23" t="str">
            <v>KC691397</v>
          </cell>
          <cell r="G23">
            <v>771239.92</v>
          </cell>
          <cell r="H23">
            <v>0</v>
          </cell>
          <cell r="I23">
            <v>397.51</v>
          </cell>
        </row>
        <row r="24">
          <cell r="F24" t="str">
            <v>KT730535</v>
          </cell>
          <cell r="G24">
            <v>521885.16</v>
          </cell>
          <cell r="H24">
            <v>0</v>
          </cell>
          <cell r="I24">
            <v>268.99</v>
          </cell>
        </row>
        <row r="25">
          <cell r="F25" t="str">
            <v>KT730534</v>
          </cell>
          <cell r="G25">
            <v>521885.16</v>
          </cell>
          <cell r="H25">
            <v>0</v>
          </cell>
          <cell r="I25">
            <v>268.99</v>
          </cell>
        </row>
        <row r="26">
          <cell r="F26" t="str">
            <v>KH549352</v>
          </cell>
          <cell r="G26">
            <v>759041.21</v>
          </cell>
          <cell r="H26">
            <v>0</v>
          </cell>
          <cell r="I26">
            <v>783.5</v>
          </cell>
        </row>
        <row r="27">
          <cell r="F27" t="str">
            <v>KD348072</v>
          </cell>
          <cell r="G27">
            <v>608007.55000000005</v>
          </cell>
          <cell r="H27">
            <v>0</v>
          </cell>
          <cell r="I27">
            <v>627.6</v>
          </cell>
        </row>
        <row r="28">
          <cell r="F28" t="str">
            <v>JH017737</v>
          </cell>
          <cell r="G28">
            <v>215575.2</v>
          </cell>
          <cell r="H28">
            <v>0</v>
          </cell>
          <cell r="I28">
            <v>222.52</v>
          </cell>
        </row>
        <row r="29">
          <cell r="F29" t="str">
            <v>K9118947</v>
          </cell>
          <cell r="G29">
            <v>217505.14</v>
          </cell>
          <cell r="H29">
            <v>0</v>
          </cell>
          <cell r="I29">
            <v>224.51</v>
          </cell>
        </row>
        <row r="30">
          <cell r="F30" t="str">
            <v>JE150461</v>
          </cell>
          <cell r="G30">
            <v>521073.5</v>
          </cell>
          <cell r="H30">
            <v>0</v>
          </cell>
          <cell r="I30">
            <v>537.86</v>
          </cell>
        </row>
        <row r="31">
          <cell r="G31">
            <v>14532967.5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H6">
            <v>141000</v>
          </cell>
          <cell r="I6">
            <v>-141000</v>
          </cell>
        </row>
        <row r="7">
          <cell r="G7" t="str">
            <v>KW674024</v>
          </cell>
          <cell r="H7">
            <v>736804.6</v>
          </cell>
          <cell r="I7">
            <v>736804.6</v>
          </cell>
        </row>
        <row r="8">
          <cell r="G8" t="str">
            <v>KW674025</v>
          </cell>
          <cell r="H8">
            <v>694932.47</v>
          </cell>
          <cell r="I8">
            <v>694932.47</v>
          </cell>
        </row>
        <row r="9">
          <cell r="G9" t="str">
            <v>KW674026</v>
          </cell>
          <cell r="H9">
            <v>791157.51</v>
          </cell>
          <cell r="I9">
            <v>791157.51</v>
          </cell>
        </row>
        <row r="10">
          <cell r="G10" t="str">
            <v>KW545674</v>
          </cell>
          <cell r="H10">
            <v>779610.36</v>
          </cell>
          <cell r="I10">
            <v>264428.59999999998</v>
          </cell>
        </row>
        <row r="11">
          <cell r="G11" t="str">
            <v>KW626997</v>
          </cell>
          <cell r="H11">
            <v>791157.51</v>
          </cell>
          <cell r="I11">
            <v>791157.51</v>
          </cell>
        </row>
        <row r="12">
          <cell r="G12" t="str">
            <v>KC774843</v>
          </cell>
          <cell r="H12">
            <v>1518340.17</v>
          </cell>
          <cell r="I12">
            <v>1518340.17</v>
          </cell>
        </row>
        <row r="13">
          <cell r="G13" t="str">
            <v>KC739309</v>
          </cell>
          <cell r="H13">
            <v>1114423.81</v>
          </cell>
          <cell r="I13">
            <v>1114423.81</v>
          </cell>
        </row>
        <row r="14">
          <cell r="G14" t="str">
            <v>KT856390</v>
          </cell>
          <cell r="H14">
            <v>392133.67</v>
          </cell>
          <cell r="I14">
            <v>392133.67</v>
          </cell>
        </row>
        <row r="15">
          <cell r="G15" t="str">
            <v>KT856388</v>
          </cell>
          <cell r="H15">
            <v>392133.67</v>
          </cell>
          <cell r="I15">
            <v>392133.67</v>
          </cell>
        </row>
        <row r="16">
          <cell r="G16" t="str">
            <v>KT856391</v>
          </cell>
          <cell r="H16">
            <v>392133.67</v>
          </cell>
          <cell r="I16">
            <v>392133.67</v>
          </cell>
        </row>
        <row r="17">
          <cell r="G17" t="str">
            <v>KT856389</v>
          </cell>
          <cell r="H17">
            <v>392133.67</v>
          </cell>
          <cell r="I17">
            <v>392133.67</v>
          </cell>
        </row>
        <row r="18">
          <cell r="G18" t="str">
            <v>KT819922</v>
          </cell>
          <cell r="H18">
            <v>494559.95</v>
          </cell>
          <cell r="I18">
            <v>494559.95</v>
          </cell>
        </row>
        <row r="19">
          <cell r="G19" t="str">
            <v>KG572493</v>
          </cell>
          <cell r="H19">
            <v>515180.59</v>
          </cell>
          <cell r="I19">
            <v>515180.59</v>
          </cell>
        </row>
        <row r="20">
          <cell r="G20" t="str">
            <v>KG575667</v>
          </cell>
          <cell r="H20">
            <v>515180.59</v>
          </cell>
          <cell r="I20">
            <v>515180.59</v>
          </cell>
        </row>
        <row r="21">
          <cell r="G21" t="str">
            <v>KG575670</v>
          </cell>
          <cell r="H21">
            <v>515180.59</v>
          </cell>
          <cell r="I21">
            <v>515180.59</v>
          </cell>
        </row>
        <row r="22">
          <cell r="G22" t="str">
            <v>KG575684</v>
          </cell>
          <cell r="H22">
            <v>515180.59</v>
          </cell>
          <cell r="I22">
            <v>515180.59</v>
          </cell>
        </row>
        <row r="23">
          <cell r="G23" t="str">
            <v>KG575698</v>
          </cell>
          <cell r="H23">
            <v>519421.09</v>
          </cell>
          <cell r="I23">
            <v>519421.09</v>
          </cell>
        </row>
        <row r="24">
          <cell r="G24" t="str">
            <v>KG575720</v>
          </cell>
          <cell r="H24">
            <v>515180.59</v>
          </cell>
          <cell r="I24">
            <v>515180.59</v>
          </cell>
        </row>
        <row r="25">
          <cell r="G25" t="str">
            <v>KG575533</v>
          </cell>
          <cell r="H25">
            <v>515180.59</v>
          </cell>
          <cell r="I25">
            <v>515180.59</v>
          </cell>
        </row>
        <row r="26">
          <cell r="G26" t="str">
            <v>KG575726</v>
          </cell>
          <cell r="H26">
            <v>515180.59</v>
          </cell>
          <cell r="I26">
            <v>515180.59</v>
          </cell>
        </row>
        <row r="27">
          <cell r="G27" t="str">
            <v>KG572513</v>
          </cell>
          <cell r="H27">
            <v>515180.59</v>
          </cell>
          <cell r="I27">
            <v>515180.59</v>
          </cell>
        </row>
        <row r="28">
          <cell r="G28" t="str">
            <v>KG575458</v>
          </cell>
          <cell r="H28">
            <v>515180.59</v>
          </cell>
          <cell r="I28">
            <v>515180.59</v>
          </cell>
        </row>
        <row r="29">
          <cell r="G29" t="str">
            <v>KG575511</v>
          </cell>
          <cell r="H29">
            <v>515180.59</v>
          </cell>
          <cell r="I29">
            <v>515180.59</v>
          </cell>
        </row>
        <row r="30">
          <cell r="G30" t="str">
            <v>KG575556</v>
          </cell>
          <cell r="H30">
            <v>515180.59</v>
          </cell>
          <cell r="I30">
            <v>515180.59</v>
          </cell>
        </row>
        <row r="31">
          <cell r="G31" t="str">
            <v>KG575637</v>
          </cell>
          <cell r="H31">
            <v>515180.59</v>
          </cell>
          <cell r="I31">
            <v>515180.59</v>
          </cell>
        </row>
        <row r="32">
          <cell r="G32" t="str">
            <v>KG575671</v>
          </cell>
          <cell r="H32">
            <v>515180.59</v>
          </cell>
          <cell r="I32">
            <v>515180.59</v>
          </cell>
        </row>
        <row r="33">
          <cell r="G33" t="str">
            <v>KG575704</v>
          </cell>
          <cell r="H33">
            <v>519421.09</v>
          </cell>
          <cell r="I33">
            <v>519421.09</v>
          </cell>
        </row>
        <row r="34">
          <cell r="G34" t="str">
            <v>KG575718</v>
          </cell>
          <cell r="H34">
            <v>515180.59</v>
          </cell>
          <cell r="I34">
            <v>515180.59</v>
          </cell>
        </row>
        <row r="35">
          <cell r="G35" t="str">
            <v>KG575721</v>
          </cell>
          <cell r="H35">
            <v>515180.59</v>
          </cell>
          <cell r="I35">
            <v>515180.59</v>
          </cell>
        </row>
        <row r="36">
          <cell r="G36" t="str">
            <v>KG572486</v>
          </cell>
          <cell r="H36">
            <v>515180.59</v>
          </cell>
          <cell r="I36">
            <v>515180.59</v>
          </cell>
        </row>
        <row r="37">
          <cell r="G37" t="str">
            <v>KG575632</v>
          </cell>
          <cell r="H37">
            <v>515180.59</v>
          </cell>
          <cell r="I37">
            <v>515180.59</v>
          </cell>
        </row>
        <row r="38">
          <cell r="G38" t="str">
            <v>KG575694</v>
          </cell>
          <cell r="H38">
            <v>515180.59</v>
          </cell>
          <cell r="I38">
            <v>515180.59</v>
          </cell>
        </row>
        <row r="39">
          <cell r="G39" t="str">
            <v>KG575713</v>
          </cell>
          <cell r="H39">
            <v>515180.59</v>
          </cell>
          <cell r="I39">
            <v>515180.59</v>
          </cell>
        </row>
        <row r="40">
          <cell r="G40" t="str">
            <v>KG575727</v>
          </cell>
          <cell r="H40">
            <v>515180.59</v>
          </cell>
          <cell r="I40">
            <v>515180.59</v>
          </cell>
        </row>
        <row r="41">
          <cell r="G41" t="str">
            <v>KG575428</v>
          </cell>
          <cell r="H41">
            <v>515180.59</v>
          </cell>
          <cell r="I41">
            <v>515180.59</v>
          </cell>
        </row>
        <row r="42">
          <cell r="G42" t="str">
            <v>KG575722</v>
          </cell>
          <cell r="H42">
            <v>515180.59</v>
          </cell>
          <cell r="I42">
            <v>515180.59</v>
          </cell>
        </row>
        <row r="43">
          <cell r="G43" t="str">
            <v>KG575736</v>
          </cell>
          <cell r="H43">
            <v>515180.59</v>
          </cell>
          <cell r="I43">
            <v>515180.59</v>
          </cell>
        </row>
        <row r="44">
          <cell r="G44" t="str">
            <v>KG575731</v>
          </cell>
          <cell r="H44">
            <v>515180.59</v>
          </cell>
          <cell r="I44">
            <v>515180.59</v>
          </cell>
        </row>
        <row r="45">
          <cell r="G45" t="str">
            <v>KG575639</v>
          </cell>
          <cell r="H45">
            <v>515180.59</v>
          </cell>
          <cell r="I45">
            <v>515180.59</v>
          </cell>
        </row>
        <row r="46">
          <cell r="G46" t="str">
            <v>KG575690</v>
          </cell>
          <cell r="H46">
            <v>515180.59</v>
          </cell>
          <cell r="I46">
            <v>515180.59</v>
          </cell>
        </row>
        <row r="47">
          <cell r="G47" t="str">
            <v>KG575706</v>
          </cell>
          <cell r="H47">
            <v>515180.59</v>
          </cell>
          <cell r="I47">
            <v>515180.59</v>
          </cell>
        </row>
        <row r="48">
          <cell r="G48" t="str">
            <v>KG575723</v>
          </cell>
          <cell r="H48">
            <v>515180.59</v>
          </cell>
          <cell r="I48">
            <v>515180.59</v>
          </cell>
        </row>
        <row r="49">
          <cell r="G49" t="str">
            <v>KG575696</v>
          </cell>
          <cell r="H49">
            <v>515180.59</v>
          </cell>
          <cell r="I49">
            <v>515180.59</v>
          </cell>
        </row>
        <row r="50">
          <cell r="G50" t="str">
            <v>KG575701</v>
          </cell>
          <cell r="H50">
            <v>515180.59</v>
          </cell>
          <cell r="I50">
            <v>515180.59</v>
          </cell>
        </row>
        <row r="51">
          <cell r="G51" t="str">
            <v>KG528855</v>
          </cell>
          <cell r="H51">
            <v>508395.1</v>
          </cell>
          <cell r="I51">
            <v>508395.1</v>
          </cell>
        </row>
        <row r="52">
          <cell r="G52" t="str">
            <v>KG528905</v>
          </cell>
          <cell r="H52">
            <v>508395.1</v>
          </cell>
          <cell r="I52">
            <v>508395.1</v>
          </cell>
        </row>
        <row r="53">
          <cell r="G53" t="str">
            <v>KG528936</v>
          </cell>
          <cell r="H53">
            <v>508395.1</v>
          </cell>
          <cell r="I53">
            <v>508395.1</v>
          </cell>
        </row>
        <row r="54">
          <cell r="G54" t="str">
            <v>KG528970</v>
          </cell>
          <cell r="H54">
            <v>508395.1</v>
          </cell>
          <cell r="I54">
            <v>508395.1</v>
          </cell>
        </row>
        <row r="55">
          <cell r="G55" t="str">
            <v>KG575514</v>
          </cell>
          <cell r="H55">
            <v>515180.59</v>
          </cell>
          <cell r="I55">
            <v>515180.59</v>
          </cell>
        </row>
        <row r="56">
          <cell r="G56" t="str">
            <v>KG575643</v>
          </cell>
          <cell r="H56">
            <v>515180.59</v>
          </cell>
          <cell r="I56">
            <v>515180.59</v>
          </cell>
        </row>
        <row r="57">
          <cell r="G57" t="str">
            <v>KG575707</v>
          </cell>
          <cell r="H57">
            <v>515180.59</v>
          </cell>
          <cell r="I57">
            <v>515180.59</v>
          </cell>
        </row>
        <row r="58">
          <cell r="G58" t="str">
            <v>KG575724</v>
          </cell>
          <cell r="H58">
            <v>515180.59</v>
          </cell>
          <cell r="I58">
            <v>515180.59</v>
          </cell>
        </row>
        <row r="59">
          <cell r="G59" t="str">
            <v>KG528735</v>
          </cell>
          <cell r="H59">
            <v>508395.1</v>
          </cell>
          <cell r="I59">
            <v>508395.1</v>
          </cell>
        </row>
        <row r="60">
          <cell r="G60" t="str">
            <v>KG572511</v>
          </cell>
          <cell r="H60">
            <v>515180.59</v>
          </cell>
          <cell r="I60">
            <v>515180.59</v>
          </cell>
        </row>
        <row r="61">
          <cell r="G61" t="str">
            <v>KG575487</v>
          </cell>
          <cell r="H61">
            <v>515180.59</v>
          </cell>
          <cell r="I61">
            <v>515180.59</v>
          </cell>
        </row>
        <row r="62">
          <cell r="G62" t="str">
            <v>KG575649</v>
          </cell>
          <cell r="H62">
            <v>515180.59</v>
          </cell>
          <cell r="I62">
            <v>515180.59</v>
          </cell>
        </row>
        <row r="63">
          <cell r="G63" t="str">
            <v>KG575666</v>
          </cell>
          <cell r="H63">
            <v>515180.59</v>
          </cell>
          <cell r="I63">
            <v>515180.59</v>
          </cell>
        </row>
        <row r="64">
          <cell r="G64" t="str">
            <v>KG575697</v>
          </cell>
          <cell r="H64">
            <v>519421.09</v>
          </cell>
          <cell r="I64">
            <v>519421.09</v>
          </cell>
        </row>
        <row r="65">
          <cell r="G65" t="str">
            <v>KG575702</v>
          </cell>
          <cell r="H65">
            <v>515180.59</v>
          </cell>
          <cell r="I65">
            <v>515180.59</v>
          </cell>
        </row>
        <row r="66">
          <cell r="G66" t="str">
            <v>KG528730</v>
          </cell>
          <cell r="H66">
            <v>508395.1</v>
          </cell>
          <cell r="I66">
            <v>508395.1</v>
          </cell>
        </row>
        <row r="67">
          <cell r="G67" t="str">
            <v>KG575515</v>
          </cell>
          <cell r="H67">
            <v>515180.59</v>
          </cell>
          <cell r="I67">
            <v>515180.59</v>
          </cell>
        </row>
        <row r="68">
          <cell r="G68" t="str">
            <v>KG575708</v>
          </cell>
          <cell r="H68">
            <v>515180.59</v>
          </cell>
          <cell r="I68">
            <v>515180.59</v>
          </cell>
        </row>
        <row r="69">
          <cell r="G69" t="str">
            <v>KG575711</v>
          </cell>
          <cell r="H69">
            <v>515180.59</v>
          </cell>
          <cell r="I69">
            <v>515180.59</v>
          </cell>
        </row>
        <row r="70">
          <cell r="G70" t="str">
            <v>KG575725</v>
          </cell>
          <cell r="H70">
            <v>515180.59</v>
          </cell>
          <cell r="I70">
            <v>515180.59</v>
          </cell>
        </row>
        <row r="71">
          <cell r="G71" t="str">
            <v>KG587867</v>
          </cell>
          <cell r="H71">
            <v>526207.75</v>
          </cell>
          <cell r="I71">
            <v>526207.75</v>
          </cell>
        </row>
        <row r="72">
          <cell r="G72" t="str">
            <v>KG587868</v>
          </cell>
          <cell r="H72">
            <v>526207.75</v>
          </cell>
          <cell r="I72">
            <v>526207.75</v>
          </cell>
        </row>
        <row r="73">
          <cell r="G73" t="str">
            <v>KG587869</v>
          </cell>
          <cell r="H73">
            <v>526207.75</v>
          </cell>
          <cell r="I73">
            <v>526207.75</v>
          </cell>
        </row>
        <row r="74">
          <cell r="G74" t="str">
            <v>KG585915</v>
          </cell>
          <cell r="H74">
            <v>496518.43</v>
          </cell>
          <cell r="I74">
            <v>496518.43</v>
          </cell>
        </row>
        <row r="75">
          <cell r="G75" t="str">
            <v>KG600194</v>
          </cell>
          <cell r="H75">
            <v>496518.43</v>
          </cell>
          <cell r="I75">
            <v>496518.43</v>
          </cell>
        </row>
        <row r="76">
          <cell r="G76" t="str">
            <v>KG585916</v>
          </cell>
          <cell r="H76">
            <v>496518.43</v>
          </cell>
          <cell r="I76">
            <v>496518.43</v>
          </cell>
        </row>
        <row r="77">
          <cell r="G77" t="str">
            <v>KG600195</v>
          </cell>
          <cell r="H77">
            <v>496518.43</v>
          </cell>
          <cell r="I77">
            <v>496518.43</v>
          </cell>
        </row>
        <row r="78">
          <cell r="G78" t="str">
            <v>KG585920</v>
          </cell>
          <cell r="H78">
            <v>496518.43</v>
          </cell>
          <cell r="I78">
            <v>496518.43</v>
          </cell>
        </row>
        <row r="79">
          <cell r="G79" t="str">
            <v>KG597646</v>
          </cell>
          <cell r="H79">
            <v>496518.43</v>
          </cell>
          <cell r="I79">
            <v>496518.43</v>
          </cell>
        </row>
        <row r="80">
          <cell r="G80" t="str">
            <v>KG585912</v>
          </cell>
          <cell r="H80">
            <v>496518.43</v>
          </cell>
          <cell r="I80">
            <v>496518.43</v>
          </cell>
        </row>
        <row r="81">
          <cell r="G81" t="str">
            <v>KG600196</v>
          </cell>
          <cell r="H81">
            <v>496518.43</v>
          </cell>
          <cell r="I81">
            <v>496518.43</v>
          </cell>
        </row>
        <row r="82">
          <cell r="G82" t="str">
            <v>KG585918</v>
          </cell>
          <cell r="H82">
            <v>496518.43</v>
          </cell>
          <cell r="I82">
            <v>496518.43</v>
          </cell>
        </row>
        <row r="83">
          <cell r="G83" t="str">
            <v>KG585921</v>
          </cell>
          <cell r="H83">
            <v>496518.43</v>
          </cell>
          <cell r="I83">
            <v>496518.43</v>
          </cell>
        </row>
        <row r="84">
          <cell r="G84" t="str">
            <v>KG557702</v>
          </cell>
          <cell r="H84">
            <v>518903.44</v>
          </cell>
          <cell r="I84">
            <v>518903.44</v>
          </cell>
        </row>
        <row r="85">
          <cell r="G85" t="str">
            <v>KG557703</v>
          </cell>
          <cell r="H85">
            <v>518903.44</v>
          </cell>
          <cell r="I85">
            <v>518903.44</v>
          </cell>
        </row>
        <row r="86">
          <cell r="G86" t="str">
            <v>KG575795</v>
          </cell>
          <cell r="H86">
            <v>509107.35</v>
          </cell>
          <cell r="I86">
            <v>509107.35</v>
          </cell>
        </row>
        <row r="87">
          <cell r="G87" t="str">
            <v>KG585901</v>
          </cell>
          <cell r="H87">
            <v>509107.35</v>
          </cell>
          <cell r="I87">
            <v>509107.35</v>
          </cell>
        </row>
        <row r="88">
          <cell r="G88" t="str">
            <v>KG575796</v>
          </cell>
          <cell r="H88">
            <v>524706.86</v>
          </cell>
          <cell r="I88">
            <v>524706.86</v>
          </cell>
        </row>
        <row r="89">
          <cell r="G89" t="str">
            <v>KG561566</v>
          </cell>
          <cell r="H89">
            <v>518903.44</v>
          </cell>
          <cell r="I89">
            <v>518903.44</v>
          </cell>
        </row>
        <row r="90">
          <cell r="G90" t="str">
            <v>KG575788</v>
          </cell>
          <cell r="H90">
            <v>509107.35</v>
          </cell>
          <cell r="I90">
            <v>509107.35</v>
          </cell>
        </row>
        <row r="91">
          <cell r="G91" t="str">
            <v>KG575791</v>
          </cell>
          <cell r="H91">
            <v>509107.35</v>
          </cell>
          <cell r="I91">
            <v>509107.35</v>
          </cell>
        </row>
        <row r="92">
          <cell r="G92" t="str">
            <v>KG585902</v>
          </cell>
          <cell r="H92">
            <v>509107.35</v>
          </cell>
          <cell r="I92">
            <v>509107.35</v>
          </cell>
        </row>
        <row r="93">
          <cell r="G93" t="str">
            <v>KG557700</v>
          </cell>
          <cell r="H93">
            <v>518903.44</v>
          </cell>
          <cell r="I93">
            <v>518903.44</v>
          </cell>
        </row>
        <row r="94">
          <cell r="G94" t="str">
            <v>KG568874</v>
          </cell>
          <cell r="H94">
            <v>518903.44</v>
          </cell>
          <cell r="I94">
            <v>518903.44</v>
          </cell>
        </row>
        <row r="95">
          <cell r="G95" t="str">
            <v>KG575792</v>
          </cell>
          <cell r="H95">
            <v>509107.35</v>
          </cell>
          <cell r="I95">
            <v>509107.35</v>
          </cell>
        </row>
        <row r="96">
          <cell r="G96" t="str">
            <v>KG557701</v>
          </cell>
          <cell r="H96">
            <v>518903.44</v>
          </cell>
          <cell r="I96">
            <v>518903.44</v>
          </cell>
        </row>
        <row r="97">
          <cell r="G97" t="str">
            <v>KG603124</v>
          </cell>
          <cell r="H97">
            <v>671255.17</v>
          </cell>
          <cell r="I97">
            <v>671255.17</v>
          </cell>
        </row>
        <row r="98">
          <cell r="G98" t="str">
            <v>KG603125</v>
          </cell>
          <cell r="H98">
            <v>671255.17</v>
          </cell>
          <cell r="I98">
            <v>671255.17</v>
          </cell>
        </row>
        <row r="99">
          <cell r="G99" t="str">
            <v>K0865513</v>
          </cell>
          <cell r="H99">
            <v>216330.12</v>
          </cell>
          <cell r="I99">
            <v>216330.12</v>
          </cell>
        </row>
        <row r="100">
          <cell r="G100" t="str">
            <v>LY628009</v>
          </cell>
          <cell r="H100">
            <v>185513.56</v>
          </cell>
          <cell r="I100">
            <v>185513.56</v>
          </cell>
        </row>
        <row r="101">
          <cell r="G101" t="str">
            <v>LY629807</v>
          </cell>
          <cell r="H101">
            <v>185513.56</v>
          </cell>
          <cell r="I101">
            <v>185513.56</v>
          </cell>
        </row>
        <row r="102">
          <cell r="G102" t="str">
            <v>LY629755</v>
          </cell>
          <cell r="H102">
            <v>185513.56</v>
          </cell>
          <cell r="I102">
            <v>185513.56</v>
          </cell>
        </row>
        <row r="103">
          <cell r="G103" t="str">
            <v>KY333252</v>
          </cell>
          <cell r="H103">
            <v>226510.79</v>
          </cell>
          <cell r="I103">
            <v>226510.79</v>
          </cell>
        </row>
        <row r="104">
          <cell r="G104" t="str">
            <v>KY324639</v>
          </cell>
          <cell r="H104">
            <v>226510.79</v>
          </cell>
          <cell r="I104">
            <v>226510.79</v>
          </cell>
        </row>
        <row r="105">
          <cell r="G105" t="str">
            <v>KY332779</v>
          </cell>
          <cell r="H105">
            <v>226510.79</v>
          </cell>
          <cell r="I105">
            <v>226510.79</v>
          </cell>
        </row>
        <row r="106">
          <cell r="G106" t="str">
            <v>KY333141</v>
          </cell>
          <cell r="H106">
            <v>226510.79</v>
          </cell>
          <cell r="I106">
            <v>226510.79</v>
          </cell>
        </row>
        <row r="107">
          <cell r="G107" t="str">
            <v>KY331012</v>
          </cell>
          <cell r="H107">
            <v>226510.79</v>
          </cell>
          <cell r="I107">
            <v>226510.79</v>
          </cell>
        </row>
        <row r="108">
          <cell r="G108" t="str">
            <v>KY332435</v>
          </cell>
          <cell r="H108">
            <v>226510.79</v>
          </cell>
          <cell r="I108">
            <v>226510.79</v>
          </cell>
        </row>
        <row r="109">
          <cell r="G109" t="str">
            <v>KY333150</v>
          </cell>
          <cell r="H109">
            <v>226510.79</v>
          </cell>
          <cell r="I109">
            <v>226510.79</v>
          </cell>
        </row>
        <row r="110">
          <cell r="G110" t="str">
            <v>KY318141</v>
          </cell>
          <cell r="H110">
            <v>226510.79</v>
          </cell>
          <cell r="I110">
            <v>226510.79</v>
          </cell>
        </row>
        <row r="111">
          <cell r="G111" t="str">
            <v>KY310226</v>
          </cell>
          <cell r="H111">
            <v>226510.79</v>
          </cell>
          <cell r="I111">
            <v>226510.79</v>
          </cell>
        </row>
        <row r="112">
          <cell r="G112" t="str">
            <v>KY331013</v>
          </cell>
          <cell r="H112">
            <v>226510.79</v>
          </cell>
          <cell r="I112">
            <v>226510.79</v>
          </cell>
        </row>
        <row r="113">
          <cell r="G113" t="str">
            <v>KY332792</v>
          </cell>
          <cell r="H113">
            <v>226510.79</v>
          </cell>
          <cell r="I113">
            <v>226510.79</v>
          </cell>
        </row>
        <row r="114">
          <cell r="G114" t="str">
            <v>KY332825</v>
          </cell>
          <cell r="H114">
            <v>226510.79</v>
          </cell>
          <cell r="I114">
            <v>226510.79</v>
          </cell>
        </row>
        <row r="115">
          <cell r="G115" t="str">
            <v>KY311174</v>
          </cell>
          <cell r="H115">
            <v>226510.79</v>
          </cell>
          <cell r="I115">
            <v>226510.79</v>
          </cell>
        </row>
        <row r="116">
          <cell r="G116" t="str">
            <v>KY317783</v>
          </cell>
          <cell r="H116">
            <v>226510.79</v>
          </cell>
          <cell r="I116">
            <v>226510.79</v>
          </cell>
        </row>
        <row r="117">
          <cell r="G117" t="str">
            <v>KY318044</v>
          </cell>
          <cell r="H117">
            <v>226510.79</v>
          </cell>
          <cell r="I117">
            <v>226510.79</v>
          </cell>
        </row>
        <row r="118">
          <cell r="G118" t="str">
            <v>KY323941</v>
          </cell>
          <cell r="H118">
            <v>226510.79</v>
          </cell>
          <cell r="I118">
            <v>226510.79</v>
          </cell>
        </row>
        <row r="119">
          <cell r="G119" t="str">
            <v>KY324068</v>
          </cell>
          <cell r="H119">
            <v>226510.79</v>
          </cell>
          <cell r="I119">
            <v>226510.79</v>
          </cell>
        </row>
        <row r="120">
          <cell r="G120" t="str">
            <v>KY310261</v>
          </cell>
          <cell r="H120">
            <v>226510.79</v>
          </cell>
          <cell r="I120">
            <v>226510.79</v>
          </cell>
        </row>
        <row r="121">
          <cell r="G121" t="str">
            <v>KY317839</v>
          </cell>
          <cell r="H121">
            <v>226510.79</v>
          </cell>
          <cell r="I121">
            <v>226510.79</v>
          </cell>
        </row>
        <row r="122">
          <cell r="G122" t="str">
            <v>KY317842</v>
          </cell>
          <cell r="H122">
            <v>226510.79</v>
          </cell>
          <cell r="I122">
            <v>226510.79</v>
          </cell>
        </row>
        <row r="123">
          <cell r="G123" t="str">
            <v>KY317856</v>
          </cell>
          <cell r="H123">
            <v>226510.79</v>
          </cell>
          <cell r="I123">
            <v>226510.79</v>
          </cell>
        </row>
        <row r="124">
          <cell r="G124" t="str">
            <v>KY318750</v>
          </cell>
          <cell r="H124">
            <v>226510.79</v>
          </cell>
          <cell r="I124">
            <v>226510.79</v>
          </cell>
        </row>
        <row r="125">
          <cell r="G125" t="str">
            <v>KY324248</v>
          </cell>
          <cell r="H125">
            <v>226510.79</v>
          </cell>
          <cell r="I125">
            <v>226510.79</v>
          </cell>
        </row>
        <row r="126">
          <cell r="G126" t="str">
            <v>KY310374</v>
          </cell>
          <cell r="H126">
            <v>226510.79</v>
          </cell>
          <cell r="I126">
            <v>226510.79</v>
          </cell>
        </row>
        <row r="127">
          <cell r="G127" t="str">
            <v>KH007113</v>
          </cell>
          <cell r="H127">
            <v>195996.94</v>
          </cell>
          <cell r="I127">
            <v>195996.94</v>
          </cell>
        </row>
        <row r="128">
          <cell r="G128" t="str">
            <v>KH009492</v>
          </cell>
          <cell r="H128">
            <v>195996.94</v>
          </cell>
          <cell r="I128">
            <v>195996.94</v>
          </cell>
        </row>
        <row r="129">
          <cell r="G129" t="str">
            <v>KH009668</v>
          </cell>
          <cell r="H129">
            <v>214208.06</v>
          </cell>
          <cell r="I129">
            <v>214208.06</v>
          </cell>
        </row>
        <row r="130">
          <cell r="G130" t="str">
            <v>KH009959</v>
          </cell>
          <cell r="H130">
            <v>214208.06</v>
          </cell>
          <cell r="I130">
            <v>214208.06</v>
          </cell>
        </row>
        <row r="131">
          <cell r="G131" t="str">
            <v>KH007243</v>
          </cell>
          <cell r="H131">
            <v>195996.94</v>
          </cell>
          <cell r="I131">
            <v>195996.94</v>
          </cell>
        </row>
        <row r="132">
          <cell r="G132" t="str">
            <v>KH009969</v>
          </cell>
          <cell r="H132">
            <v>214208.06</v>
          </cell>
          <cell r="I132">
            <v>214208.06</v>
          </cell>
        </row>
        <row r="133">
          <cell r="G133" t="str">
            <v>KH007714</v>
          </cell>
          <cell r="H133">
            <v>195996.94</v>
          </cell>
          <cell r="I133">
            <v>195996.94</v>
          </cell>
        </row>
        <row r="134">
          <cell r="G134" t="str">
            <v>KH008507</v>
          </cell>
          <cell r="H134">
            <v>214208.06</v>
          </cell>
          <cell r="I134">
            <v>214208.06</v>
          </cell>
        </row>
        <row r="135">
          <cell r="G135" t="str">
            <v>KH007771</v>
          </cell>
          <cell r="H135">
            <v>195996.94</v>
          </cell>
          <cell r="I135">
            <v>195996.94</v>
          </cell>
        </row>
        <row r="136">
          <cell r="G136" t="str">
            <v>KH007769</v>
          </cell>
          <cell r="H136">
            <v>195996.94</v>
          </cell>
          <cell r="I136">
            <v>195996.94</v>
          </cell>
        </row>
        <row r="137">
          <cell r="G137" t="str">
            <v>KH009491</v>
          </cell>
          <cell r="H137">
            <v>195996.94</v>
          </cell>
          <cell r="I137">
            <v>195996.94</v>
          </cell>
        </row>
        <row r="138">
          <cell r="G138" t="str">
            <v>KH007202</v>
          </cell>
          <cell r="H138">
            <v>195996.94</v>
          </cell>
          <cell r="I138">
            <v>195996.94</v>
          </cell>
        </row>
        <row r="139">
          <cell r="G139" t="str">
            <v>KH006752</v>
          </cell>
          <cell r="H139">
            <v>225135.89</v>
          </cell>
          <cell r="I139">
            <v>225135.89</v>
          </cell>
        </row>
        <row r="140">
          <cell r="G140" t="str">
            <v>KH009652</v>
          </cell>
          <cell r="H140">
            <v>236972.83</v>
          </cell>
          <cell r="I140">
            <v>236972.83</v>
          </cell>
        </row>
        <row r="141">
          <cell r="G141" t="str">
            <v>KH009646</v>
          </cell>
          <cell r="H141">
            <v>225135.89</v>
          </cell>
          <cell r="I141">
            <v>225135.89</v>
          </cell>
        </row>
        <row r="142">
          <cell r="G142" t="str">
            <v>L6N87918</v>
          </cell>
          <cell r="H142">
            <v>271904.08</v>
          </cell>
          <cell r="I142">
            <v>271904.08</v>
          </cell>
        </row>
        <row r="143">
          <cell r="G143" t="str">
            <v>L6N85539</v>
          </cell>
          <cell r="H143">
            <v>271904.08</v>
          </cell>
          <cell r="I143">
            <v>271904.08</v>
          </cell>
        </row>
        <row r="144">
          <cell r="G144" t="str">
            <v>L6N85542</v>
          </cell>
          <cell r="H144">
            <v>271904.08</v>
          </cell>
          <cell r="I144">
            <v>271904.08</v>
          </cell>
        </row>
        <row r="145">
          <cell r="G145" t="str">
            <v>L6N85722</v>
          </cell>
          <cell r="H145">
            <v>271904.08</v>
          </cell>
          <cell r="I145">
            <v>271904.08</v>
          </cell>
        </row>
        <row r="146">
          <cell r="G146" t="str">
            <v>L6N93168</v>
          </cell>
          <cell r="H146">
            <v>239527.2</v>
          </cell>
          <cell r="I146">
            <v>239527.2</v>
          </cell>
        </row>
        <row r="147">
          <cell r="G147" t="str">
            <v>L6N93171</v>
          </cell>
          <cell r="H147">
            <v>239527.2</v>
          </cell>
          <cell r="I147">
            <v>239527.2</v>
          </cell>
        </row>
        <row r="148">
          <cell r="G148" t="str">
            <v>L6N89358</v>
          </cell>
          <cell r="H148">
            <v>239527.2</v>
          </cell>
          <cell r="I148">
            <v>239527.2</v>
          </cell>
        </row>
        <row r="149">
          <cell r="G149" t="str">
            <v>L6N88445</v>
          </cell>
          <cell r="H149">
            <v>239527.2</v>
          </cell>
          <cell r="I149">
            <v>239527.2</v>
          </cell>
        </row>
        <row r="150">
          <cell r="G150" t="str">
            <v>L6N77769</v>
          </cell>
          <cell r="H150">
            <v>308403.43</v>
          </cell>
          <cell r="I150">
            <v>308403.43</v>
          </cell>
        </row>
        <row r="151">
          <cell r="G151" t="str">
            <v>K2K83232</v>
          </cell>
          <cell r="H151">
            <v>449884.52</v>
          </cell>
          <cell r="I151">
            <v>449884.52</v>
          </cell>
        </row>
        <row r="152">
          <cell r="G152" t="str">
            <v>145</v>
          </cell>
          <cell r="I152">
            <v>61440023.229999989</v>
          </cell>
        </row>
        <row r="153">
          <cell r="G153" t="str">
            <v/>
          </cell>
        </row>
        <row r="154">
          <cell r="G154" t="str">
            <v>HW538098</v>
          </cell>
          <cell r="H154">
            <v>300000</v>
          </cell>
          <cell r="I154">
            <v>300000</v>
          </cell>
        </row>
        <row r="155">
          <cell r="G155" t="str">
            <v>FC816080</v>
          </cell>
          <cell r="H155">
            <v>232000</v>
          </cell>
          <cell r="I155">
            <v>232000</v>
          </cell>
        </row>
        <row r="156">
          <cell r="G156" t="str">
            <v>GN760112</v>
          </cell>
          <cell r="H156">
            <v>238080</v>
          </cell>
          <cell r="I156">
            <v>238080</v>
          </cell>
        </row>
        <row r="157">
          <cell r="G157" t="str">
            <v>FR742814</v>
          </cell>
          <cell r="H157">
            <v>148000</v>
          </cell>
          <cell r="I157">
            <v>148000</v>
          </cell>
        </row>
        <row r="158">
          <cell r="G158" t="str">
            <v>HR638767</v>
          </cell>
          <cell r="H158">
            <v>252000</v>
          </cell>
          <cell r="I158">
            <v>252000</v>
          </cell>
        </row>
        <row r="159">
          <cell r="G159" t="str">
            <v>FT599069</v>
          </cell>
          <cell r="H159">
            <v>132800</v>
          </cell>
          <cell r="I159">
            <v>132800</v>
          </cell>
        </row>
        <row r="160">
          <cell r="G160" t="str">
            <v>HT551906</v>
          </cell>
          <cell r="H160">
            <v>185600</v>
          </cell>
          <cell r="I160">
            <v>185600</v>
          </cell>
        </row>
        <row r="161">
          <cell r="G161" t="str">
            <v>JT328554</v>
          </cell>
          <cell r="H161">
            <v>249200</v>
          </cell>
          <cell r="I161">
            <v>249200</v>
          </cell>
        </row>
        <row r="162">
          <cell r="G162" t="str">
            <v>HR242907</v>
          </cell>
          <cell r="H162">
            <v>229280</v>
          </cell>
          <cell r="I162">
            <v>229280</v>
          </cell>
        </row>
        <row r="163">
          <cell r="G163" t="str">
            <v>JS583141</v>
          </cell>
          <cell r="H163">
            <v>161120</v>
          </cell>
          <cell r="I163">
            <v>161120</v>
          </cell>
        </row>
        <row r="164">
          <cell r="G164" t="str">
            <v>HL194754</v>
          </cell>
          <cell r="H164">
            <v>135120</v>
          </cell>
          <cell r="I164">
            <v>135120</v>
          </cell>
        </row>
        <row r="165">
          <cell r="G165" t="str">
            <v>JE001920</v>
          </cell>
          <cell r="H165">
            <v>162560</v>
          </cell>
          <cell r="I165">
            <v>162560</v>
          </cell>
        </row>
        <row r="166">
          <cell r="G166" t="str">
            <v>FM279550</v>
          </cell>
          <cell r="H166">
            <v>120800</v>
          </cell>
          <cell r="I166">
            <v>120800</v>
          </cell>
        </row>
        <row r="167">
          <cell r="G167" t="str">
            <v>FM422229</v>
          </cell>
          <cell r="H167">
            <v>109600</v>
          </cell>
          <cell r="I167">
            <v>109600</v>
          </cell>
        </row>
        <row r="168">
          <cell r="G168" t="str">
            <v>H3325253</v>
          </cell>
          <cell r="H168">
            <v>103680</v>
          </cell>
          <cell r="I168">
            <v>103680</v>
          </cell>
        </row>
        <row r="169">
          <cell r="G169" t="str">
            <v>HZ006882</v>
          </cell>
          <cell r="H169">
            <v>201600</v>
          </cell>
          <cell r="I169">
            <v>201600</v>
          </cell>
        </row>
        <row r="170">
          <cell r="G170" t="str">
            <v>JD126442</v>
          </cell>
          <cell r="H170">
            <v>105520</v>
          </cell>
          <cell r="I170">
            <v>105520</v>
          </cell>
        </row>
        <row r="171">
          <cell r="G171" t="str">
            <v>GX047881</v>
          </cell>
          <cell r="H171">
            <v>144000</v>
          </cell>
          <cell r="I171">
            <v>144000</v>
          </cell>
        </row>
        <row r="172">
          <cell r="G172" t="str">
            <v>18</v>
          </cell>
          <cell r="I172">
            <v>3210960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KW674024</v>
          </cell>
          <cell r="H6">
            <v>736804.6</v>
          </cell>
          <cell r="I6">
            <v>736804.6</v>
          </cell>
        </row>
        <row r="7">
          <cell r="G7" t="str">
            <v>KW674025</v>
          </cell>
          <cell r="H7">
            <v>694932.47</v>
          </cell>
          <cell r="I7">
            <v>694932.47</v>
          </cell>
        </row>
        <row r="8">
          <cell r="G8" t="str">
            <v>KW674026</v>
          </cell>
          <cell r="H8">
            <v>791157.51</v>
          </cell>
          <cell r="I8">
            <v>791157.51</v>
          </cell>
        </row>
        <row r="9">
          <cell r="G9" t="str">
            <v>KW545674</v>
          </cell>
          <cell r="H9">
            <v>779610.36</v>
          </cell>
          <cell r="I9">
            <v>184428.6</v>
          </cell>
        </row>
        <row r="10">
          <cell r="G10" t="str">
            <v>KW626997</v>
          </cell>
          <cell r="H10">
            <v>791157.51</v>
          </cell>
          <cell r="I10">
            <v>791157.51</v>
          </cell>
        </row>
        <row r="11">
          <cell r="G11" t="str">
            <v>KC774843</v>
          </cell>
          <cell r="H11">
            <v>1518340.17</v>
          </cell>
          <cell r="I11">
            <v>1518340.17</v>
          </cell>
        </row>
        <row r="12">
          <cell r="G12" t="str">
            <v>KC739309</v>
          </cell>
          <cell r="H12">
            <v>1114423.81</v>
          </cell>
          <cell r="I12">
            <v>1114423.81</v>
          </cell>
        </row>
        <row r="13">
          <cell r="G13" t="str">
            <v>LL134044</v>
          </cell>
          <cell r="H13">
            <v>960876.7</v>
          </cell>
          <cell r="I13">
            <v>960876.7</v>
          </cell>
        </row>
        <row r="14">
          <cell r="G14" t="str">
            <v>KT856390</v>
          </cell>
          <cell r="H14">
            <v>392133.67</v>
          </cell>
          <cell r="I14">
            <v>392133.67</v>
          </cell>
        </row>
        <row r="15">
          <cell r="G15" t="str">
            <v>KT856388</v>
          </cell>
          <cell r="H15">
            <v>392133.67</v>
          </cell>
          <cell r="I15">
            <v>392133.67</v>
          </cell>
        </row>
        <row r="16">
          <cell r="G16" t="str">
            <v>KT856391</v>
          </cell>
          <cell r="H16">
            <v>392133.67</v>
          </cell>
          <cell r="I16">
            <v>392133.67</v>
          </cell>
        </row>
        <row r="17">
          <cell r="G17" t="str">
            <v>KT856389</v>
          </cell>
          <cell r="H17">
            <v>392133.67</v>
          </cell>
          <cell r="I17">
            <v>392133.67</v>
          </cell>
        </row>
        <row r="18">
          <cell r="G18" t="str">
            <v>KG572493</v>
          </cell>
          <cell r="H18">
            <v>515180.59</v>
          </cell>
          <cell r="I18">
            <v>515180.59</v>
          </cell>
        </row>
        <row r="19">
          <cell r="G19" t="str">
            <v>KG575667</v>
          </cell>
          <cell r="H19">
            <v>515180.59</v>
          </cell>
          <cell r="I19">
            <v>515180.59</v>
          </cell>
        </row>
        <row r="20">
          <cell r="G20" t="str">
            <v>KG575670</v>
          </cell>
          <cell r="H20">
            <v>515180.59</v>
          </cell>
          <cell r="I20">
            <v>515180.59</v>
          </cell>
        </row>
        <row r="21">
          <cell r="G21" t="str">
            <v>KG575684</v>
          </cell>
          <cell r="H21">
            <v>515180.59</v>
          </cell>
          <cell r="I21">
            <v>515180.59</v>
          </cell>
        </row>
        <row r="22">
          <cell r="G22" t="str">
            <v>KG575698</v>
          </cell>
          <cell r="H22">
            <v>519421.09</v>
          </cell>
          <cell r="I22">
            <v>519421.09</v>
          </cell>
        </row>
        <row r="23">
          <cell r="G23" t="str">
            <v>KG575720</v>
          </cell>
          <cell r="H23">
            <v>515180.59</v>
          </cell>
          <cell r="I23">
            <v>515180.59</v>
          </cell>
        </row>
        <row r="24">
          <cell r="G24" t="str">
            <v>KG575533</v>
          </cell>
          <cell r="H24">
            <v>515180.59</v>
          </cell>
          <cell r="I24">
            <v>515180.59</v>
          </cell>
        </row>
        <row r="25">
          <cell r="G25" t="str">
            <v>KG575726</v>
          </cell>
          <cell r="H25">
            <v>515180.59</v>
          </cell>
          <cell r="I25">
            <v>515180.59</v>
          </cell>
        </row>
        <row r="26">
          <cell r="G26" t="str">
            <v>KG572513</v>
          </cell>
          <cell r="H26">
            <v>515180.59</v>
          </cell>
          <cell r="I26">
            <v>515180.59</v>
          </cell>
        </row>
        <row r="27">
          <cell r="G27" t="str">
            <v>KG575458</v>
          </cell>
          <cell r="H27">
            <v>515180.59</v>
          </cell>
          <cell r="I27">
            <v>515180.59</v>
          </cell>
        </row>
        <row r="28">
          <cell r="G28" t="str">
            <v>KG575511</v>
          </cell>
          <cell r="H28">
            <v>515180.59</v>
          </cell>
          <cell r="I28">
            <v>515180.59</v>
          </cell>
        </row>
        <row r="29">
          <cell r="G29" t="str">
            <v>KG575556</v>
          </cell>
          <cell r="H29">
            <v>515180.59</v>
          </cell>
          <cell r="I29">
            <v>515180.59</v>
          </cell>
        </row>
        <row r="30">
          <cell r="G30" t="str">
            <v>KG575637</v>
          </cell>
          <cell r="H30">
            <v>515180.59</v>
          </cell>
          <cell r="I30">
            <v>515180.59</v>
          </cell>
        </row>
        <row r="31">
          <cell r="G31" t="str">
            <v>KG575671</v>
          </cell>
          <cell r="H31">
            <v>515180.59</v>
          </cell>
          <cell r="I31">
            <v>515180.59</v>
          </cell>
        </row>
        <row r="32">
          <cell r="G32" t="str">
            <v>KG575704</v>
          </cell>
          <cell r="H32">
            <v>519421.09</v>
          </cell>
          <cell r="I32">
            <v>519421.09</v>
          </cell>
        </row>
        <row r="33">
          <cell r="G33" t="str">
            <v>KG575718</v>
          </cell>
          <cell r="H33">
            <v>515180.59</v>
          </cell>
          <cell r="I33">
            <v>515180.59</v>
          </cell>
        </row>
        <row r="34">
          <cell r="G34" t="str">
            <v>KG575721</v>
          </cell>
          <cell r="H34">
            <v>515180.59</v>
          </cell>
          <cell r="I34">
            <v>515180.59</v>
          </cell>
        </row>
        <row r="35">
          <cell r="G35" t="str">
            <v>KG572486</v>
          </cell>
          <cell r="H35">
            <v>515180.59</v>
          </cell>
          <cell r="I35">
            <v>515180.59</v>
          </cell>
        </row>
        <row r="36">
          <cell r="G36" t="str">
            <v>KG575632</v>
          </cell>
          <cell r="H36">
            <v>515180.59</v>
          </cell>
          <cell r="I36">
            <v>515180.59</v>
          </cell>
        </row>
        <row r="37">
          <cell r="G37" t="str">
            <v>KG575694</v>
          </cell>
          <cell r="H37">
            <v>515180.59</v>
          </cell>
          <cell r="I37">
            <v>515180.59</v>
          </cell>
        </row>
        <row r="38">
          <cell r="G38" t="str">
            <v>KG575713</v>
          </cell>
          <cell r="H38">
            <v>515180.59</v>
          </cell>
          <cell r="I38">
            <v>515180.59</v>
          </cell>
        </row>
        <row r="39">
          <cell r="G39" t="str">
            <v>KG575727</v>
          </cell>
          <cell r="H39">
            <v>515180.59</v>
          </cell>
          <cell r="I39">
            <v>515180.59</v>
          </cell>
        </row>
        <row r="40">
          <cell r="G40" t="str">
            <v>KG575428</v>
          </cell>
          <cell r="H40">
            <v>515180.59</v>
          </cell>
          <cell r="I40">
            <v>515180.59</v>
          </cell>
        </row>
        <row r="41">
          <cell r="G41" t="str">
            <v>KG575722</v>
          </cell>
          <cell r="H41">
            <v>515180.59</v>
          </cell>
          <cell r="I41">
            <v>515180.59</v>
          </cell>
        </row>
        <row r="42">
          <cell r="G42" t="str">
            <v>KG575736</v>
          </cell>
          <cell r="H42">
            <v>515180.59</v>
          </cell>
          <cell r="I42">
            <v>515180.59</v>
          </cell>
        </row>
        <row r="43">
          <cell r="G43" t="str">
            <v>KG575731</v>
          </cell>
          <cell r="H43">
            <v>515180.59</v>
          </cell>
          <cell r="I43">
            <v>515180.59</v>
          </cell>
        </row>
        <row r="44">
          <cell r="G44" t="str">
            <v>KG575639</v>
          </cell>
          <cell r="H44">
            <v>515180.59</v>
          </cell>
          <cell r="I44">
            <v>515180.59</v>
          </cell>
        </row>
        <row r="45">
          <cell r="G45" t="str">
            <v>KG575690</v>
          </cell>
          <cell r="H45">
            <v>515180.59</v>
          </cell>
          <cell r="I45">
            <v>515180.59</v>
          </cell>
        </row>
        <row r="46">
          <cell r="G46" t="str">
            <v>KG575706</v>
          </cell>
          <cell r="H46">
            <v>515180.59</v>
          </cell>
          <cell r="I46">
            <v>515180.59</v>
          </cell>
        </row>
        <row r="47">
          <cell r="G47" t="str">
            <v>KG575723</v>
          </cell>
          <cell r="H47">
            <v>515180.59</v>
          </cell>
          <cell r="I47">
            <v>515180.59</v>
          </cell>
        </row>
        <row r="48">
          <cell r="G48" t="str">
            <v>KG575696</v>
          </cell>
          <cell r="H48">
            <v>515180.59</v>
          </cell>
          <cell r="I48">
            <v>515180.59</v>
          </cell>
        </row>
        <row r="49">
          <cell r="G49" t="str">
            <v>KG575701</v>
          </cell>
          <cell r="H49">
            <v>515180.59</v>
          </cell>
          <cell r="I49">
            <v>515180.59</v>
          </cell>
        </row>
        <row r="50">
          <cell r="G50" t="str">
            <v>KG528855</v>
          </cell>
          <cell r="H50">
            <v>508395.1</v>
          </cell>
          <cell r="I50">
            <v>508395.1</v>
          </cell>
        </row>
        <row r="51">
          <cell r="G51" t="str">
            <v>KG528905</v>
          </cell>
          <cell r="H51">
            <v>508395.1</v>
          </cell>
          <cell r="I51">
            <v>508395.1</v>
          </cell>
        </row>
        <row r="52">
          <cell r="G52" t="str">
            <v>KG528936</v>
          </cell>
          <cell r="H52">
            <v>508395.1</v>
          </cell>
          <cell r="I52">
            <v>508395.1</v>
          </cell>
        </row>
        <row r="53">
          <cell r="G53" t="str">
            <v>KG528970</v>
          </cell>
          <cell r="H53">
            <v>508395.1</v>
          </cell>
          <cell r="I53">
            <v>508395.1</v>
          </cell>
        </row>
        <row r="54">
          <cell r="G54" t="str">
            <v>KG575514</v>
          </cell>
          <cell r="H54">
            <v>515180.59</v>
          </cell>
          <cell r="I54">
            <v>515180.59</v>
          </cell>
        </row>
        <row r="55">
          <cell r="G55" t="str">
            <v>KG575643</v>
          </cell>
          <cell r="H55">
            <v>515180.59</v>
          </cell>
          <cell r="I55">
            <v>515180.59</v>
          </cell>
        </row>
        <row r="56">
          <cell r="G56" t="str">
            <v>KG575707</v>
          </cell>
          <cell r="H56">
            <v>515180.59</v>
          </cell>
          <cell r="I56">
            <v>515180.59</v>
          </cell>
        </row>
        <row r="57">
          <cell r="G57" t="str">
            <v>KG575724</v>
          </cell>
          <cell r="H57">
            <v>515180.59</v>
          </cell>
          <cell r="I57">
            <v>515180.59</v>
          </cell>
        </row>
        <row r="58">
          <cell r="G58" t="str">
            <v>KG528735</v>
          </cell>
          <cell r="H58">
            <v>508395.1</v>
          </cell>
          <cell r="I58">
            <v>508395.1</v>
          </cell>
        </row>
        <row r="59">
          <cell r="G59" t="str">
            <v>KG572511</v>
          </cell>
          <cell r="H59">
            <v>515180.59</v>
          </cell>
          <cell r="I59">
            <v>515180.59</v>
          </cell>
        </row>
        <row r="60">
          <cell r="G60" t="str">
            <v>KG575487</v>
          </cell>
          <cell r="H60">
            <v>515180.59</v>
          </cell>
          <cell r="I60">
            <v>515180.59</v>
          </cell>
        </row>
        <row r="61">
          <cell r="G61" t="str">
            <v>KG575649</v>
          </cell>
          <cell r="H61">
            <v>515180.59</v>
          </cell>
          <cell r="I61">
            <v>515180.59</v>
          </cell>
        </row>
        <row r="62">
          <cell r="G62" t="str">
            <v>KG575666</v>
          </cell>
          <cell r="H62">
            <v>515180.59</v>
          </cell>
          <cell r="I62">
            <v>515180.59</v>
          </cell>
        </row>
        <row r="63">
          <cell r="G63" t="str">
            <v>KG575697</v>
          </cell>
          <cell r="H63">
            <v>519421.09</v>
          </cell>
          <cell r="I63">
            <v>519421.09</v>
          </cell>
        </row>
        <row r="64">
          <cell r="G64" t="str">
            <v>KG575702</v>
          </cell>
          <cell r="H64">
            <v>515180.59</v>
          </cell>
          <cell r="I64">
            <v>515180.59</v>
          </cell>
        </row>
        <row r="65">
          <cell r="G65" t="str">
            <v>KG528730</v>
          </cell>
          <cell r="H65">
            <v>508395.1</v>
          </cell>
          <cell r="I65">
            <v>508395.1</v>
          </cell>
        </row>
        <row r="66">
          <cell r="G66" t="str">
            <v>KG575515</v>
          </cell>
          <cell r="H66">
            <v>515180.59</v>
          </cell>
          <cell r="I66">
            <v>515180.59</v>
          </cell>
        </row>
        <row r="67">
          <cell r="G67" t="str">
            <v>KG575708</v>
          </cell>
          <cell r="H67">
            <v>515180.59</v>
          </cell>
          <cell r="I67">
            <v>515180.59</v>
          </cell>
        </row>
        <row r="68">
          <cell r="G68" t="str">
            <v>KG575711</v>
          </cell>
          <cell r="H68">
            <v>515180.59</v>
          </cell>
          <cell r="I68">
            <v>515180.59</v>
          </cell>
        </row>
        <row r="69">
          <cell r="G69" t="str">
            <v>KG575725</v>
          </cell>
          <cell r="H69">
            <v>515180.59</v>
          </cell>
          <cell r="I69">
            <v>515180.59</v>
          </cell>
        </row>
        <row r="70">
          <cell r="G70" t="str">
            <v>KG587867</v>
          </cell>
          <cell r="H70">
            <v>526207.75</v>
          </cell>
          <cell r="I70">
            <v>526207.75</v>
          </cell>
        </row>
        <row r="71">
          <cell r="G71" t="str">
            <v>KG587868</v>
          </cell>
          <cell r="H71">
            <v>526207.75</v>
          </cell>
          <cell r="I71">
            <v>526207.75</v>
          </cell>
        </row>
        <row r="72">
          <cell r="G72" t="str">
            <v>KG587869</v>
          </cell>
          <cell r="H72">
            <v>526207.75</v>
          </cell>
          <cell r="I72">
            <v>526207.75</v>
          </cell>
        </row>
        <row r="73">
          <cell r="G73" t="str">
            <v>KG585915</v>
          </cell>
          <cell r="H73">
            <v>496518.43</v>
          </cell>
          <cell r="I73">
            <v>496518.43</v>
          </cell>
        </row>
        <row r="74">
          <cell r="G74" t="str">
            <v>KG600194</v>
          </cell>
          <cell r="H74">
            <v>496518.43</v>
          </cell>
          <cell r="I74">
            <v>496518.43</v>
          </cell>
        </row>
        <row r="75">
          <cell r="G75" t="str">
            <v>KG585916</v>
          </cell>
          <cell r="H75">
            <v>496518.43</v>
          </cell>
          <cell r="I75">
            <v>496518.43</v>
          </cell>
        </row>
        <row r="76">
          <cell r="G76" t="str">
            <v>KG600195</v>
          </cell>
          <cell r="H76">
            <v>496518.43</v>
          </cell>
          <cell r="I76">
            <v>496518.43</v>
          </cell>
        </row>
        <row r="77">
          <cell r="G77" t="str">
            <v>KG585920</v>
          </cell>
          <cell r="H77">
            <v>496518.43</v>
          </cell>
          <cell r="I77">
            <v>496518.43</v>
          </cell>
        </row>
        <row r="78">
          <cell r="G78" t="str">
            <v>KG597646</v>
          </cell>
          <cell r="H78">
            <v>496518.43</v>
          </cell>
          <cell r="I78">
            <v>496518.43</v>
          </cell>
        </row>
        <row r="79">
          <cell r="G79" t="str">
            <v>KG585912</v>
          </cell>
          <cell r="H79">
            <v>496518.43</v>
          </cell>
          <cell r="I79">
            <v>496518.43</v>
          </cell>
        </row>
        <row r="80">
          <cell r="G80" t="str">
            <v>KG600196</v>
          </cell>
          <cell r="H80">
            <v>496518.43</v>
          </cell>
          <cell r="I80">
            <v>496518.43</v>
          </cell>
        </row>
        <row r="81">
          <cell r="G81" t="str">
            <v>KG585918</v>
          </cell>
          <cell r="H81">
            <v>496518.43</v>
          </cell>
          <cell r="I81">
            <v>496518.43</v>
          </cell>
        </row>
        <row r="82">
          <cell r="G82" t="str">
            <v>KG585921</v>
          </cell>
          <cell r="H82">
            <v>496518.43</v>
          </cell>
          <cell r="I82">
            <v>496518.43</v>
          </cell>
        </row>
        <row r="83">
          <cell r="G83" t="str">
            <v>KG557702</v>
          </cell>
          <cell r="H83">
            <v>518903.44</v>
          </cell>
          <cell r="I83">
            <v>518903.44</v>
          </cell>
        </row>
        <row r="84">
          <cell r="G84" t="str">
            <v>KG557703</v>
          </cell>
          <cell r="H84">
            <v>518903.44</v>
          </cell>
          <cell r="I84">
            <v>518903.44</v>
          </cell>
        </row>
        <row r="85">
          <cell r="G85" t="str">
            <v>KG575795</v>
          </cell>
          <cell r="H85">
            <v>509107.35</v>
          </cell>
          <cell r="I85">
            <v>509107.35</v>
          </cell>
        </row>
        <row r="86">
          <cell r="G86" t="str">
            <v>KG585901</v>
          </cell>
          <cell r="H86">
            <v>509107.35</v>
          </cell>
          <cell r="I86">
            <v>509107.35</v>
          </cell>
        </row>
        <row r="87">
          <cell r="G87" t="str">
            <v>KG575796</v>
          </cell>
          <cell r="H87">
            <v>524706.86</v>
          </cell>
          <cell r="I87">
            <v>524706.86</v>
          </cell>
        </row>
        <row r="88">
          <cell r="G88" t="str">
            <v>KG561566</v>
          </cell>
          <cell r="H88">
            <v>518903.44</v>
          </cell>
          <cell r="I88">
            <v>518903.44</v>
          </cell>
        </row>
        <row r="89">
          <cell r="G89" t="str">
            <v>KG575788</v>
          </cell>
          <cell r="H89">
            <v>509107.35</v>
          </cell>
          <cell r="I89">
            <v>509107.35</v>
          </cell>
        </row>
        <row r="90">
          <cell r="G90" t="str">
            <v>KG575791</v>
          </cell>
          <cell r="H90">
            <v>509107.35</v>
          </cell>
          <cell r="I90">
            <v>509107.35</v>
          </cell>
        </row>
        <row r="91">
          <cell r="G91" t="str">
            <v>KG585902</v>
          </cell>
          <cell r="H91">
            <v>509107.35</v>
          </cell>
          <cell r="I91">
            <v>509107.35</v>
          </cell>
        </row>
        <row r="92">
          <cell r="G92" t="str">
            <v>KG557700</v>
          </cell>
          <cell r="H92">
            <v>518903.44</v>
          </cell>
          <cell r="I92">
            <v>518903.44</v>
          </cell>
        </row>
        <row r="93">
          <cell r="G93" t="str">
            <v>KG568874</v>
          </cell>
          <cell r="H93">
            <v>518903.44</v>
          </cell>
          <cell r="I93">
            <v>518903.44</v>
          </cell>
        </row>
        <row r="94">
          <cell r="G94" t="str">
            <v>KG575792</v>
          </cell>
          <cell r="H94">
            <v>509107.35</v>
          </cell>
          <cell r="I94">
            <v>509107.35</v>
          </cell>
        </row>
        <row r="95">
          <cell r="G95" t="str">
            <v>KG557701</v>
          </cell>
          <cell r="H95">
            <v>518903.44</v>
          </cell>
          <cell r="I95">
            <v>518903.44</v>
          </cell>
        </row>
        <row r="96">
          <cell r="G96" t="str">
            <v>KG603124</v>
          </cell>
          <cell r="H96">
            <v>671255.17</v>
          </cell>
          <cell r="I96">
            <v>671255.17</v>
          </cell>
        </row>
        <row r="97">
          <cell r="G97" t="str">
            <v>KG603125</v>
          </cell>
          <cell r="H97">
            <v>671255.17</v>
          </cell>
          <cell r="I97">
            <v>671255.17</v>
          </cell>
        </row>
        <row r="98">
          <cell r="G98" t="str">
            <v>K0865513</v>
          </cell>
          <cell r="H98">
            <v>216330.12</v>
          </cell>
          <cell r="I98">
            <v>216330.12</v>
          </cell>
        </row>
        <row r="99">
          <cell r="G99" t="str">
            <v>L9137498</v>
          </cell>
          <cell r="H99">
            <v>226510.79</v>
          </cell>
          <cell r="I99">
            <v>226510.79</v>
          </cell>
        </row>
        <row r="100">
          <cell r="G100" t="str">
            <v>L9137283</v>
          </cell>
          <cell r="H100">
            <v>226510.79</v>
          </cell>
          <cell r="I100">
            <v>226510.79</v>
          </cell>
        </row>
        <row r="101">
          <cell r="G101" t="str">
            <v>LY628009</v>
          </cell>
          <cell r="H101">
            <v>185513.56</v>
          </cell>
          <cell r="I101">
            <v>185513.56</v>
          </cell>
        </row>
        <row r="102">
          <cell r="G102" t="str">
            <v>LY629807</v>
          </cell>
          <cell r="H102">
            <v>185513.56</v>
          </cell>
          <cell r="I102">
            <v>185513.56</v>
          </cell>
        </row>
        <row r="103">
          <cell r="G103" t="str">
            <v>LY629755</v>
          </cell>
          <cell r="H103">
            <v>185513.56</v>
          </cell>
          <cell r="I103">
            <v>185513.56</v>
          </cell>
        </row>
        <row r="104">
          <cell r="G104" t="str">
            <v>LY628349</v>
          </cell>
          <cell r="H104">
            <v>201893.92</v>
          </cell>
          <cell r="I104">
            <v>201893.92</v>
          </cell>
        </row>
        <row r="105">
          <cell r="G105" t="str">
            <v>LY630630</v>
          </cell>
          <cell r="H105">
            <v>201893.92</v>
          </cell>
          <cell r="I105">
            <v>201893.92</v>
          </cell>
        </row>
        <row r="106">
          <cell r="G106" t="str">
            <v>KY333252</v>
          </cell>
          <cell r="H106">
            <v>226510.79</v>
          </cell>
          <cell r="I106">
            <v>226510.79</v>
          </cell>
        </row>
        <row r="107">
          <cell r="G107" t="str">
            <v>KY324639</v>
          </cell>
          <cell r="H107">
            <v>226510.79</v>
          </cell>
          <cell r="I107">
            <v>226510.79</v>
          </cell>
        </row>
        <row r="108">
          <cell r="G108" t="str">
            <v>KY332779</v>
          </cell>
          <cell r="H108">
            <v>226510.79</v>
          </cell>
          <cell r="I108">
            <v>226510.79</v>
          </cell>
        </row>
        <row r="109">
          <cell r="G109" t="str">
            <v>KY333141</v>
          </cell>
          <cell r="H109">
            <v>226510.79</v>
          </cell>
          <cell r="I109">
            <v>226510.79</v>
          </cell>
        </row>
        <row r="110">
          <cell r="G110" t="str">
            <v>KY331012</v>
          </cell>
          <cell r="H110">
            <v>226510.79</v>
          </cell>
          <cell r="I110">
            <v>226510.79</v>
          </cell>
        </row>
        <row r="111">
          <cell r="G111" t="str">
            <v>KY332435</v>
          </cell>
          <cell r="H111">
            <v>226510.79</v>
          </cell>
          <cell r="I111">
            <v>226510.79</v>
          </cell>
        </row>
        <row r="112">
          <cell r="G112" t="str">
            <v>KY333150</v>
          </cell>
          <cell r="H112">
            <v>226510.79</v>
          </cell>
          <cell r="I112">
            <v>226510.79</v>
          </cell>
        </row>
        <row r="113">
          <cell r="G113" t="str">
            <v>KY310226</v>
          </cell>
          <cell r="H113">
            <v>226510.79</v>
          </cell>
          <cell r="I113">
            <v>226510.79</v>
          </cell>
        </row>
        <row r="114">
          <cell r="G114" t="str">
            <v>KY331013</v>
          </cell>
          <cell r="H114">
            <v>226510.79</v>
          </cell>
          <cell r="I114">
            <v>226510.79</v>
          </cell>
        </row>
        <row r="115">
          <cell r="G115" t="str">
            <v>KY332792</v>
          </cell>
          <cell r="H115">
            <v>226510.79</v>
          </cell>
          <cell r="I115">
            <v>226510.79</v>
          </cell>
        </row>
        <row r="116">
          <cell r="G116" t="str">
            <v>KY332825</v>
          </cell>
          <cell r="H116">
            <v>226510.79</v>
          </cell>
          <cell r="I116">
            <v>226510.79</v>
          </cell>
        </row>
        <row r="117">
          <cell r="G117" t="str">
            <v>KY311174</v>
          </cell>
          <cell r="H117">
            <v>226510.79</v>
          </cell>
          <cell r="I117">
            <v>226510.79</v>
          </cell>
        </row>
        <row r="118">
          <cell r="G118" t="str">
            <v>KY317783</v>
          </cell>
          <cell r="H118">
            <v>226510.79</v>
          </cell>
          <cell r="I118">
            <v>226510.79</v>
          </cell>
        </row>
        <row r="119">
          <cell r="G119" t="str">
            <v>KY323941</v>
          </cell>
          <cell r="H119">
            <v>226510.79</v>
          </cell>
          <cell r="I119">
            <v>226510.79</v>
          </cell>
        </row>
        <row r="120">
          <cell r="G120" t="str">
            <v>KY324068</v>
          </cell>
          <cell r="H120">
            <v>226510.79</v>
          </cell>
          <cell r="I120">
            <v>226510.79</v>
          </cell>
        </row>
        <row r="121">
          <cell r="G121" t="str">
            <v>KY310261</v>
          </cell>
          <cell r="H121">
            <v>226510.79</v>
          </cell>
          <cell r="I121">
            <v>226510.79</v>
          </cell>
        </row>
        <row r="122">
          <cell r="G122" t="str">
            <v>KY317839</v>
          </cell>
          <cell r="H122">
            <v>226510.79</v>
          </cell>
          <cell r="I122">
            <v>226510.79</v>
          </cell>
        </row>
        <row r="123">
          <cell r="G123" t="str">
            <v>KY317842</v>
          </cell>
          <cell r="H123">
            <v>226510.79</v>
          </cell>
          <cell r="I123">
            <v>226510.79</v>
          </cell>
        </row>
        <row r="124">
          <cell r="G124" t="str">
            <v>KY324248</v>
          </cell>
          <cell r="H124">
            <v>226510.79</v>
          </cell>
          <cell r="I124">
            <v>226510.79</v>
          </cell>
        </row>
        <row r="125">
          <cell r="G125" t="str">
            <v>KY310374</v>
          </cell>
          <cell r="H125">
            <v>226510.79</v>
          </cell>
          <cell r="I125">
            <v>226510.79</v>
          </cell>
        </row>
        <row r="126">
          <cell r="G126" t="str">
            <v>KH007113</v>
          </cell>
          <cell r="H126">
            <v>195996.94</v>
          </cell>
          <cell r="I126">
            <v>195996.94</v>
          </cell>
        </row>
        <row r="127">
          <cell r="G127" t="str">
            <v>KH009492</v>
          </cell>
          <cell r="H127">
            <v>195996.94</v>
          </cell>
          <cell r="I127">
            <v>195996.94</v>
          </cell>
        </row>
        <row r="128">
          <cell r="G128" t="str">
            <v>KH009668</v>
          </cell>
          <cell r="H128">
            <v>214208.06</v>
          </cell>
          <cell r="I128">
            <v>214208.06</v>
          </cell>
        </row>
        <row r="129">
          <cell r="G129" t="str">
            <v>KH009959</v>
          </cell>
          <cell r="H129">
            <v>214208.06</v>
          </cell>
          <cell r="I129">
            <v>214208.06</v>
          </cell>
        </row>
        <row r="130">
          <cell r="G130" t="str">
            <v>KH007243</v>
          </cell>
          <cell r="H130">
            <v>195996.94</v>
          </cell>
          <cell r="I130">
            <v>195996.94</v>
          </cell>
        </row>
        <row r="131">
          <cell r="G131" t="str">
            <v>KH009969</v>
          </cell>
          <cell r="H131">
            <v>214208.06</v>
          </cell>
          <cell r="I131">
            <v>214208.06</v>
          </cell>
        </row>
        <row r="132">
          <cell r="G132" t="str">
            <v>KH007714</v>
          </cell>
          <cell r="H132">
            <v>195996.94</v>
          </cell>
          <cell r="I132">
            <v>195996.94</v>
          </cell>
        </row>
        <row r="133">
          <cell r="G133" t="str">
            <v>KH008507</v>
          </cell>
          <cell r="H133">
            <v>214208.06</v>
          </cell>
          <cell r="I133">
            <v>214208.06</v>
          </cell>
        </row>
        <row r="134">
          <cell r="G134" t="str">
            <v>KH007771</v>
          </cell>
          <cell r="H134">
            <v>195996.94</v>
          </cell>
          <cell r="I134">
            <v>195996.94</v>
          </cell>
        </row>
        <row r="135">
          <cell r="G135" t="str">
            <v>KH007769</v>
          </cell>
          <cell r="H135">
            <v>195996.94</v>
          </cell>
          <cell r="I135">
            <v>195996.94</v>
          </cell>
        </row>
        <row r="136">
          <cell r="G136" t="str">
            <v>KH007202</v>
          </cell>
          <cell r="H136">
            <v>195996.94</v>
          </cell>
          <cell r="I136">
            <v>195996.94</v>
          </cell>
        </row>
        <row r="137">
          <cell r="G137" t="str">
            <v>KH009652</v>
          </cell>
          <cell r="H137">
            <v>236972.83</v>
          </cell>
          <cell r="I137">
            <v>236972.83</v>
          </cell>
        </row>
        <row r="138">
          <cell r="G138" t="str">
            <v>KH009646</v>
          </cell>
          <cell r="H138">
            <v>225135.89</v>
          </cell>
          <cell r="I138">
            <v>225135.89</v>
          </cell>
        </row>
        <row r="139">
          <cell r="G139" t="str">
            <v>L6N87918</v>
          </cell>
          <cell r="H139">
            <v>271904.08</v>
          </cell>
          <cell r="I139">
            <v>271904.08</v>
          </cell>
        </row>
        <row r="140">
          <cell r="G140" t="str">
            <v>L6N85539</v>
          </cell>
          <cell r="H140">
            <v>271904.08</v>
          </cell>
          <cell r="I140">
            <v>271904.08</v>
          </cell>
        </row>
        <row r="141">
          <cell r="G141" t="str">
            <v>L6N85542</v>
          </cell>
          <cell r="H141">
            <v>271904.08</v>
          </cell>
          <cell r="I141">
            <v>271904.08</v>
          </cell>
        </row>
        <row r="142">
          <cell r="G142" t="str">
            <v>L6N85722</v>
          </cell>
          <cell r="H142">
            <v>271904.08</v>
          </cell>
          <cell r="I142">
            <v>271904.08</v>
          </cell>
        </row>
        <row r="143">
          <cell r="G143" t="str">
            <v>L6N93168</v>
          </cell>
          <cell r="H143">
            <v>239527.2</v>
          </cell>
          <cell r="I143">
            <v>239527.2</v>
          </cell>
        </row>
        <row r="144">
          <cell r="G144" t="str">
            <v>L6N93171</v>
          </cell>
          <cell r="H144">
            <v>239527.2</v>
          </cell>
          <cell r="I144">
            <v>239527.2</v>
          </cell>
        </row>
        <row r="145">
          <cell r="G145" t="str">
            <v>L6N89358</v>
          </cell>
          <cell r="H145">
            <v>239527.2</v>
          </cell>
          <cell r="I145">
            <v>239527.2</v>
          </cell>
        </row>
        <row r="146">
          <cell r="G146" t="str">
            <v>L6N88445</v>
          </cell>
          <cell r="H146">
            <v>239527.2</v>
          </cell>
          <cell r="I146">
            <v>239527.2</v>
          </cell>
        </row>
        <row r="147">
          <cell r="G147" t="str">
            <v>L6N77769</v>
          </cell>
          <cell r="H147">
            <v>308403.43</v>
          </cell>
          <cell r="I147">
            <v>308403.43</v>
          </cell>
        </row>
        <row r="148">
          <cell r="G148">
            <v>142</v>
          </cell>
          <cell r="H148">
            <v>61501270.649999999</v>
          </cell>
          <cell r="I148">
            <v>60906088.889999993</v>
          </cell>
        </row>
        <row r="149">
          <cell r="G149" t="str">
            <v/>
          </cell>
        </row>
        <row r="150">
          <cell r="G150" t="str">
            <v>FC816080</v>
          </cell>
          <cell r="H150">
            <v>232000</v>
          </cell>
          <cell r="I150">
            <v>232000</v>
          </cell>
        </row>
        <row r="151">
          <cell r="G151" t="str">
            <v>GN760112</v>
          </cell>
          <cell r="H151">
            <v>238080</v>
          </cell>
          <cell r="I151">
            <v>238080</v>
          </cell>
        </row>
        <row r="152">
          <cell r="G152" t="str">
            <v>FR742814</v>
          </cell>
          <cell r="H152">
            <v>148000</v>
          </cell>
          <cell r="I152">
            <v>148000</v>
          </cell>
        </row>
        <row r="153">
          <cell r="G153" t="str">
            <v>HR638767</v>
          </cell>
          <cell r="H153">
            <v>252000</v>
          </cell>
          <cell r="I153">
            <v>252000</v>
          </cell>
        </row>
        <row r="154">
          <cell r="G154" t="str">
            <v>FT599069</v>
          </cell>
          <cell r="H154">
            <v>132800</v>
          </cell>
          <cell r="I154">
            <v>132800</v>
          </cell>
        </row>
        <row r="155">
          <cell r="G155" t="str">
            <v>HT551906</v>
          </cell>
          <cell r="H155">
            <v>185600</v>
          </cell>
          <cell r="I155">
            <v>185600</v>
          </cell>
        </row>
        <row r="156">
          <cell r="G156" t="str">
            <v>JT328554</v>
          </cell>
          <cell r="H156">
            <v>249200</v>
          </cell>
          <cell r="I156">
            <v>249200</v>
          </cell>
        </row>
        <row r="157">
          <cell r="G157" t="str">
            <v>HR242907</v>
          </cell>
          <cell r="H157">
            <v>229280</v>
          </cell>
          <cell r="I157">
            <v>229280</v>
          </cell>
        </row>
        <row r="158">
          <cell r="G158" t="str">
            <v>JS583141</v>
          </cell>
          <cell r="H158">
            <v>161120</v>
          </cell>
          <cell r="I158">
            <v>161120</v>
          </cell>
        </row>
        <row r="159">
          <cell r="G159" t="str">
            <v>HL194754</v>
          </cell>
          <cell r="H159">
            <v>135120</v>
          </cell>
          <cell r="I159">
            <v>135120</v>
          </cell>
        </row>
        <row r="160">
          <cell r="G160" t="str">
            <v>JE001920</v>
          </cell>
          <cell r="H160">
            <v>162560</v>
          </cell>
          <cell r="I160">
            <v>162560</v>
          </cell>
        </row>
        <row r="161">
          <cell r="G161" t="str">
            <v>FM279550</v>
          </cell>
          <cell r="H161">
            <v>120800</v>
          </cell>
          <cell r="I161">
            <v>120800</v>
          </cell>
        </row>
        <row r="162">
          <cell r="G162" t="str">
            <v>FM422229</v>
          </cell>
          <cell r="H162">
            <v>109600</v>
          </cell>
          <cell r="I162">
            <v>109600</v>
          </cell>
        </row>
        <row r="163">
          <cell r="G163" t="str">
            <v>H3325253</v>
          </cell>
          <cell r="H163">
            <v>103680</v>
          </cell>
          <cell r="I163">
            <v>103680</v>
          </cell>
        </row>
        <row r="164">
          <cell r="G164" t="str">
            <v>HZ006882</v>
          </cell>
          <cell r="H164">
            <v>201600</v>
          </cell>
          <cell r="I164">
            <v>201600</v>
          </cell>
        </row>
        <row r="165">
          <cell r="G165" t="str">
            <v>JD126442</v>
          </cell>
          <cell r="H165">
            <v>105520</v>
          </cell>
          <cell r="I165">
            <v>105520</v>
          </cell>
        </row>
        <row r="166">
          <cell r="G166">
            <v>16</v>
          </cell>
          <cell r="H166">
            <v>2766960</v>
          </cell>
          <cell r="I166">
            <v>2766960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KW674024</v>
          </cell>
          <cell r="H6">
            <v>736804.6</v>
          </cell>
          <cell r="I6">
            <v>736804.6</v>
          </cell>
        </row>
        <row r="7">
          <cell r="G7" t="str">
            <v>KW674025</v>
          </cell>
          <cell r="H7">
            <v>694932.47</v>
          </cell>
          <cell r="I7">
            <v>694932.47</v>
          </cell>
        </row>
        <row r="8">
          <cell r="G8" t="str">
            <v>KW674026</v>
          </cell>
          <cell r="H8">
            <v>791157.51</v>
          </cell>
          <cell r="I8">
            <v>791157.51</v>
          </cell>
        </row>
        <row r="9">
          <cell r="G9" t="str">
            <v>KW626997</v>
          </cell>
          <cell r="H9">
            <v>791157.51</v>
          </cell>
          <cell r="I9">
            <v>791157.51</v>
          </cell>
        </row>
        <row r="10">
          <cell r="G10" t="str">
            <v>KC774843</v>
          </cell>
          <cell r="H10">
            <v>1518340.17</v>
          </cell>
          <cell r="I10">
            <v>1518340.17</v>
          </cell>
        </row>
        <row r="11">
          <cell r="G11" t="str">
            <v>KC739309</v>
          </cell>
          <cell r="H11">
            <v>1114423.81</v>
          </cell>
          <cell r="I11">
            <v>1114423.81</v>
          </cell>
        </row>
        <row r="12">
          <cell r="G12" t="str">
            <v>KT856390</v>
          </cell>
          <cell r="H12">
            <v>392133.67</v>
          </cell>
          <cell r="I12">
            <v>392133.67</v>
          </cell>
        </row>
        <row r="13">
          <cell r="G13" t="str">
            <v>KT856388</v>
          </cell>
          <cell r="H13">
            <v>392133.67</v>
          </cell>
          <cell r="I13">
            <v>392133.67</v>
          </cell>
        </row>
        <row r="14">
          <cell r="G14" t="str">
            <v>KT856391</v>
          </cell>
          <cell r="H14">
            <v>392133.67</v>
          </cell>
          <cell r="I14">
            <v>392133.67</v>
          </cell>
        </row>
        <row r="15">
          <cell r="G15" t="str">
            <v>KT856389</v>
          </cell>
          <cell r="H15">
            <v>392133.67</v>
          </cell>
          <cell r="I15">
            <v>392133.67</v>
          </cell>
        </row>
        <row r="16">
          <cell r="G16" t="str">
            <v>KG572493</v>
          </cell>
          <cell r="H16">
            <v>515180.59</v>
          </cell>
          <cell r="I16">
            <v>515180.59</v>
          </cell>
        </row>
        <row r="17">
          <cell r="G17" t="str">
            <v>KG575667</v>
          </cell>
          <cell r="H17">
            <v>515180.59</v>
          </cell>
          <cell r="I17">
            <v>515180.59</v>
          </cell>
        </row>
        <row r="18">
          <cell r="G18" t="str">
            <v>KG575670</v>
          </cell>
          <cell r="H18">
            <v>515180.59</v>
          </cell>
          <cell r="I18">
            <v>515180.59</v>
          </cell>
        </row>
        <row r="19">
          <cell r="G19" t="str">
            <v>KG575684</v>
          </cell>
          <cell r="H19">
            <v>515180.59</v>
          </cell>
          <cell r="I19">
            <v>515180.59</v>
          </cell>
        </row>
        <row r="20">
          <cell r="G20" t="str">
            <v>KG575698</v>
          </cell>
          <cell r="H20">
            <v>519421.09</v>
          </cell>
          <cell r="I20">
            <v>519421.09</v>
          </cell>
        </row>
        <row r="21">
          <cell r="G21" t="str">
            <v>KG575720</v>
          </cell>
          <cell r="H21">
            <v>515180.59</v>
          </cell>
          <cell r="I21">
            <v>515180.59</v>
          </cell>
        </row>
        <row r="22">
          <cell r="G22" t="str">
            <v>KG575533</v>
          </cell>
          <cell r="H22">
            <v>515180.59</v>
          </cell>
          <cell r="I22">
            <v>515180.59</v>
          </cell>
        </row>
        <row r="23">
          <cell r="G23" t="str">
            <v>KG575726</v>
          </cell>
          <cell r="H23">
            <v>515180.59</v>
          </cell>
          <cell r="I23">
            <v>515180.59</v>
          </cell>
        </row>
        <row r="24">
          <cell r="G24" t="str">
            <v>KG572513</v>
          </cell>
          <cell r="H24">
            <v>515180.59</v>
          </cell>
          <cell r="I24">
            <v>515180.59</v>
          </cell>
        </row>
        <row r="25">
          <cell r="G25" t="str">
            <v>KG575458</v>
          </cell>
          <cell r="H25">
            <v>515180.59</v>
          </cell>
          <cell r="I25">
            <v>515180.59</v>
          </cell>
        </row>
        <row r="26">
          <cell r="G26" t="str">
            <v>KG575511</v>
          </cell>
          <cell r="H26">
            <v>515180.59</v>
          </cell>
          <cell r="I26">
            <v>515180.59</v>
          </cell>
        </row>
        <row r="27">
          <cell r="G27" t="str">
            <v>KG575556</v>
          </cell>
          <cell r="H27">
            <v>515180.59</v>
          </cell>
          <cell r="I27">
            <v>515180.59</v>
          </cell>
        </row>
        <row r="28">
          <cell r="G28" t="str">
            <v>KG575637</v>
          </cell>
          <cell r="H28">
            <v>515180.59</v>
          </cell>
          <cell r="I28">
            <v>515180.59</v>
          </cell>
        </row>
        <row r="29">
          <cell r="G29" t="str">
            <v>KG575671</v>
          </cell>
          <cell r="H29">
            <v>515180.59</v>
          </cell>
          <cell r="I29">
            <v>515180.59</v>
          </cell>
        </row>
        <row r="30">
          <cell r="G30" t="str">
            <v>KG575704</v>
          </cell>
          <cell r="H30">
            <v>519421.09</v>
          </cell>
          <cell r="I30">
            <v>519421.09</v>
          </cell>
        </row>
        <row r="31">
          <cell r="G31" t="str">
            <v>KG575718</v>
          </cell>
          <cell r="H31">
            <v>515180.59</v>
          </cell>
          <cell r="I31">
            <v>515180.59</v>
          </cell>
        </row>
        <row r="32">
          <cell r="G32" t="str">
            <v>KG575721</v>
          </cell>
          <cell r="H32">
            <v>515180.59</v>
          </cell>
          <cell r="I32">
            <v>515180.59</v>
          </cell>
        </row>
        <row r="33">
          <cell r="G33" t="str">
            <v>KG572486</v>
          </cell>
          <cell r="H33">
            <v>515180.59</v>
          </cell>
          <cell r="I33">
            <v>515180.59</v>
          </cell>
        </row>
        <row r="34">
          <cell r="G34" t="str">
            <v>KG575632</v>
          </cell>
          <cell r="H34">
            <v>515180.59</v>
          </cell>
          <cell r="I34">
            <v>515180.59</v>
          </cell>
        </row>
        <row r="35">
          <cell r="G35" t="str">
            <v>KG575694</v>
          </cell>
          <cell r="H35">
            <v>515180.59</v>
          </cell>
          <cell r="I35">
            <v>515180.59</v>
          </cell>
        </row>
        <row r="36">
          <cell r="G36" t="str">
            <v>KG575713</v>
          </cell>
          <cell r="H36">
            <v>515180.59</v>
          </cell>
          <cell r="I36">
            <v>515180.59</v>
          </cell>
        </row>
        <row r="37">
          <cell r="G37" t="str">
            <v>KG575727</v>
          </cell>
          <cell r="H37">
            <v>515180.59</v>
          </cell>
          <cell r="I37">
            <v>515180.59</v>
          </cell>
        </row>
        <row r="38">
          <cell r="G38" t="str">
            <v>KG575428</v>
          </cell>
          <cell r="H38">
            <v>515180.59</v>
          </cell>
          <cell r="I38">
            <v>515180.59</v>
          </cell>
        </row>
        <row r="39">
          <cell r="G39" t="str">
            <v>KG575722</v>
          </cell>
          <cell r="H39">
            <v>515180.59</v>
          </cell>
          <cell r="I39">
            <v>515180.59</v>
          </cell>
        </row>
        <row r="40">
          <cell r="G40" t="str">
            <v>KG575736</v>
          </cell>
          <cell r="H40">
            <v>515180.59</v>
          </cell>
          <cell r="I40">
            <v>515180.59</v>
          </cell>
        </row>
        <row r="41">
          <cell r="G41" t="str">
            <v>KG575731</v>
          </cell>
          <cell r="H41">
            <v>515180.59</v>
          </cell>
          <cell r="I41">
            <v>515180.59</v>
          </cell>
        </row>
        <row r="42">
          <cell r="G42" t="str">
            <v>KG575639</v>
          </cell>
          <cell r="H42">
            <v>515180.59</v>
          </cell>
          <cell r="I42">
            <v>515180.59</v>
          </cell>
        </row>
        <row r="43">
          <cell r="G43" t="str">
            <v>KG575690</v>
          </cell>
          <cell r="H43">
            <v>515180.59</v>
          </cell>
          <cell r="I43">
            <v>515180.59</v>
          </cell>
        </row>
        <row r="44">
          <cell r="G44" t="str">
            <v>KG575706</v>
          </cell>
          <cell r="H44">
            <v>515180.59</v>
          </cell>
          <cell r="I44">
            <v>515180.59</v>
          </cell>
        </row>
        <row r="45">
          <cell r="G45" t="str">
            <v>KG575723</v>
          </cell>
          <cell r="H45">
            <v>515180.59</v>
          </cell>
          <cell r="I45">
            <v>515180.59</v>
          </cell>
        </row>
        <row r="46">
          <cell r="G46" t="str">
            <v>KG575696</v>
          </cell>
          <cell r="H46">
            <v>515180.59</v>
          </cell>
          <cell r="I46">
            <v>515180.59</v>
          </cell>
        </row>
        <row r="47">
          <cell r="G47" t="str">
            <v>KG575701</v>
          </cell>
          <cell r="H47">
            <v>515180.59</v>
          </cell>
          <cell r="I47">
            <v>515180.59</v>
          </cell>
        </row>
        <row r="48">
          <cell r="G48" t="str">
            <v>KG528855</v>
          </cell>
          <cell r="H48">
            <v>508395.1</v>
          </cell>
          <cell r="I48">
            <v>508395.1</v>
          </cell>
        </row>
        <row r="49">
          <cell r="G49" t="str">
            <v>KG528905</v>
          </cell>
          <cell r="H49">
            <v>508395.1</v>
          </cell>
          <cell r="I49">
            <v>508395.1</v>
          </cell>
        </row>
        <row r="50">
          <cell r="G50" t="str">
            <v>KG528936</v>
          </cell>
          <cell r="H50">
            <v>508395.1</v>
          </cell>
          <cell r="I50">
            <v>508395.1</v>
          </cell>
        </row>
        <row r="51">
          <cell r="G51" t="str">
            <v>KG528970</v>
          </cell>
          <cell r="H51">
            <v>508395.1</v>
          </cell>
          <cell r="I51">
            <v>508395.1</v>
          </cell>
        </row>
        <row r="52">
          <cell r="G52" t="str">
            <v>KG575514</v>
          </cell>
          <cell r="H52">
            <v>515180.59</v>
          </cell>
          <cell r="I52">
            <v>515180.59</v>
          </cell>
        </row>
        <row r="53">
          <cell r="G53" t="str">
            <v>KG575643</v>
          </cell>
          <cell r="H53">
            <v>515180.59</v>
          </cell>
          <cell r="I53">
            <v>515180.59</v>
          </cell>
        </row>
        <row r="54">
          <cell r="G54" t="str">
            <v>KG575707</v>
          </cell>
          <cell r="H54">
            <v>515180.59</v>
          </cell>
          <cell r="I54">
            <v>515180.59</v>
          </cell>
        </row>
        <row r="55">
          <cell r="G55" t="str">
            <v>KG575724</v>
          </cell>
          <cell r="H55">
            <v>515180.59</v>
          </cell>
          <cell r="I55">
            <v>515180.59</v>
          </cell>
        </row>
        <row r="56">
          <cell r="G56" t="str">
            <v>KG528735</v>
          </cell>
          <cell r="H56">
            <v>508395.1</v>
          </cell>
          <cell r="I56">
            <v>508395.1</v>
          </cell>
        </row>
        <row r="57">
          <cell r="G57" t="str">
            <v>KG572511</v>
          </cell>
          <cell r="H57">
            <v>515180.59</v>
          </cell>
          <cell r="I57">
            <v>515180.59</v>
          </cell>
        </row>
        <row r="58">
          <cell r="G58" t="str">
            <v>KG575487</v>
          </cell>
          <cell r="H58">
            <v>515180.59</v>
          </cell>
          <cell r="I58">
            <v>515180.59</v>
          </cell>
        </row>
        <row r="59">
          <cell r="G59" t="str">
            <v>KG575649</v>
          </cell>
          <cell r="H59">
            <v>515180.59</v>
          </cell>
          <cell r="I59">
            <v>515180.59</v>
          </cell>
        </row>
        <row r="60">
          <cell r="G60" t="str">
            <v>KG575666</v>
          </cell>
          <cell r="H60">
            <v>515180.59</v>
          </cell>
          <cell r="I60">
            <v>515180.59</v>
          </cell>
        </row>
        <row r="61">
          <cell r="G61" t="str">
            <v>KG575697</v>
          </cell>
          <cell r="H61">
            <v>519421.09</v>
          </cell>
          <cell r="I61">
            <v>519421.09</v>
          </cell>
        </row>
        <row r="62">
          <cell r="G62" t="str">
            <v>KG575702</v>
          </cell>
          <cell r="H62">
            <v>515180.59</v>
          </cell>
          <cell r="I62">
            <v>515180.59</v>
          </cell>
        </row>
        <row r="63">
          <cell r="G63" t="str">
            <v>KG528730</v>
          </cell>
          <cell r="H63">
            <v>508395.1</v>
          </cell>
          <cell r="I63">
            <v>508395.1</v>
          </cell>
        </row>
        <row r="64">
          <cell r="G64" t="str">
            <v>KG575515</v>
          </cell>
          <cell r="H64">
            <v>515180.59</v>
          </cell>
          <cell r="I64">
            <v>515180.59</v>
          </cell>
        </row>
        <row r="65">
          <cell r="G65" t="str">
            <v>KG575708</v>
          </cell>
          <cell r="H65">
            <v>515180.59</v>
          </cell>
          <cell r="I65">
            <v>515180.59</v>
          </cell>
        </row>
        <row r="66">
          <cell r="G66" t="str">
            <v>KG575711</v>
          </cell>
          <cell r="H66">
            <v>515180.59</v>
          </cell>
          <cell r="I66">
            <v>515180.59</v>
          </cell>
        </row>
        <row r="67">
          <cell r="G67" t="str">
            <v>KG575725</v>
          </cell>
          <cell r="H67">
            <v>515180.59</v>
          </cell>
          <cell r="I67">
            <v>515180.59</v>
          </cell>
        </row>
        <row r="68">
          <cell r="G68" t="str">
            <v>KG587867</v>
          </cell>
          <cell r="H68">
            <v>526207.75</v>
          </cell>
          <cell r="I68">
            <v>526207.75</v>
          </cell>
        </row>
        <row r="69">
          <cell r="G69" t="str">
            <v>KG587868</v>
          </cell>
          <cell r="H69">
            <v>526207.75</v>
          </cell>
          <cell r="I69">
            <v>526207.75</v>
          </cell>
        </row>
        <row r="70">
          <cell r="G70" t="str">
            <v>KG587869</v>
          </cell>
          <cell r="H70">
            <v>526207.75</v>
          </cell>
          <cell r="I70">
            <v>526207.75</v>
          </cell>
        </row>
        <row r="71">
          <cell r="G71" t="str">
            <v>KG585915</v>
          </cell>
          <cell r="H71">
            <v>496518.43</v>
          </cell>
          <cell r="I71">
            <v>496518.43</v>
          </cell>
        </row>
        <row r="72">
          <cell r="G72" t="str">
            <v>KG600194</v>
          </cell>
          <cell r="H72">
            <v>496518.43</v>
          </cell>
          <cell r="I72">
            <v>496518.43</v>
          </cell>
        </row>
        <row r="73">
          <cell r="G73" t="str">
            <v>KG585916</v>
          </cell>
          <cell r="H73">
            <v>496518.43</v>
          </cell>
          <cell r="I73">
            <v>496518.43</v>
          </cell>
        </row>
        <row r="74">
          <cell r="G74" t="str">
            <v>KG600195</v>
          </cell>
          <cell r="H74">
            <v>496518.43</v>
          </cell>
          <cell r="I74">
            <v>496518.43</v>
          </cell>
        </row>
        <row r="75">
          <cell r="G75" t="str">
            <v>KG585920</v>
          </cell>
          <cell r="H75">
            <v>496518.43</v>
          </cell>
          <cell r="I75">
            <v>496518.43</v>
          </cell>
        </row>
        <row r="76">
          <cell r="G76" t="str">
            <v>KG597646</v>
          </cell>
          <cell r="H76">
            <v>496518.43</v>
          </cell>
          <cell r="I76">
            <v>496518.43</v>
          </cell>
        </row>
        <row r="77">
          <cell r="G77" t="str">
            <v>KG585912</v>
          </cell>
          <cell r="H77">
            <v>496518.43</v>
          </cell>
          <cell r="I77">
            <v>496518.43</v>
          </cell>
        </row>
        <row r="78">
          <cell r="G78" t="str">
            <v>KG600196</v>
          </cell>
          <cell r="H78">
            <v>496518.43</v>
          </cell>
          <cell r="I78">
            <v>496518.43</v>
          </cell>
        </row>
        <row r="79">
          <cell r="G79" t="str">
            <v>KG585918</v>
          </cell>
          <cell r="H79">
            <v>496518.43</v>
          </cell>
          <cell r="I79">
            <v>496518.43</v>
          </cell>
        </row>
        <row r="80">
          <cell r="G80" t="str">
            <v>KG585921</v>
          </cell>
          <cell r="H80">
            <v>496518.43</v>
          </cell>
          <cell r="I80">
            <v>496518.43</v>
          </cell>
        </row>
        <row r="81">
          <cell r="G81" t="str">
            <v>KG557702</v>
          </cell>
          <cell r="H81">
            <v>518903.44</v>
          </cell>
          <cell r="I81">
            <v>518903.44</v>
          </cell>
        </row>
        <row r="82">
          <cell r="G82" t="str">
            <v>KG557703</v>
          </cell>
          <cell r="H82">
            <v>518903.44</v>
          </cell>
          <cell r="I82">
            <v>518903.44</v>
          </cell>
        </row>
        <row r="83">
          <cell r="G83" t="str">
            <v>KG575795</v>
          </cell>
          <cell r="H83">
            <v>509107.35</v>
          </cell>
          <cell r="I83">
            <v>509107.35</v>
          </cell>
        </row>
        <row r="84">
          <cell r="G84" t="str">
            <v>KG575796</v>
          </cell>
          <cell r="H84">
            <v>524706.86</v>
          </cell>
          <cell r="I84">
            <v>524706.86</v>
          </cell>
        </row>
        <row r="85">
          <cell r="G85" t="str">
            <v>KG561566</v>
          </cell>
          <cell r="H85">
            <v>518903.44</v>
          </cell>
          <cell r="I85">
            <v>518903.44</v>
          </cell>
        </row>
        <row r="86">
          <cell r="G86" t="str">
            <v>KG575788</v>
          </cell>
          <cell r="H86">
            <v>509107.35</v>
          </cell>
          <cell r="I86">
            <v>509107.35</v>
          </cell>
        </row>
        <row r="87">
          <cell r="G87" t="str">
            <v>KG575791</v>
          </cell>
          <cell r="H87">
            <v>509107.35</v>
          </cell>
          <cell r="I87">
            <v>509107.35</v>
          </cell>
        </row>
        <row r="88">
          <cell r="G88" t="str">
            <v>KG585902</v>
          </cell>
          <cell r="H88">
            <v>509107.35</v>
          </cell>
          <cell r="I88">
            <v>509107.35</v>
          </cell>
        </row>
        <row r="89">
          <cell r="G89" t="str">
            <v>KG557700</v>
          </cell>
          <cell r="H89">
            <v>518903.44</v>
          </cell>
          <cell r="I89">
            <v>518903.44</v>
          </cell>
        </row>
        <row r="90">
          <cell r="G90" t="str">
            <v>KG568874</v>
          </cell>
          <cell r="H90">
            <v>518903.44</v>
          </cell>
          <cell r="I90">
            <v>518903.44</v>
          </cell>
        </row>
        <row r="91">
          <cell r="G91" t="str">
            <v>KG575792</v>
          </cell>
          <cell r="H91">
            <v>509107.35</v>
          </cell>
          <cell r="I91">
            <v>509107.35</v>
          </cell>
        </row>
        <row r="92">
          <cell r="G92" t="str">
            <v>KG557701</v>
          </cell>
          <cell r="H92">
            <v>518903.44</v>
          </cell>
          <cell r="I92">
            <v>518903.44</v>
          </cell>
        </row>
        <row r="93">
          <cell r="G93" t="str">
            <v>KG644343</v>
          </cell>
          <cell r="H93">
            <v>671255.17</v>
          </cell>
          <cell r="I93">
            <v>671255.17</v>
          </cell>
        </row>
        <row r="94">
          <cell r="G94" t="str">
            <v>KG603124</v>
          </cell>
          <cell r="H94">
            <v>671255.17</v>
          </cell>
          <cell r="I94">
            <v>671255.17</v>
          </cell>
        </row>
        <row r="95">
          <cell r="G95" t="str">
            <v>KG603125</v>
          </cell>
          <cell r="H95">
            <v>671255.17</v>
          </cell>
          <cell r="I95">
            <v>671255.17</v>
          </cell>
        </row>
        <row r="96">
          <cell r="G96" t="str">
            <v>K0865329</v>
          </cell>
          <cell r="H96">
            <v>216330.12</v>
          </cell>
          <cell r="I96">
            <v>216330.12</v>
          </cell>
        </row>
        <row r="97">
          <cell r="G97" t="str">
            <v>K0865749</v>
          </cell>
          <cell r="H97">
            <v>216330.12</v>
          </cell>
          <cell r="I97">
            <v>216330.12</v>
          </cell>
        </row>
        <row r="98">
          <cell r="G98" t="str">
            <v>K0865428</v>
          </cell>
          <cell r="H98">
            <v>216330.12</v>
          </cell>
          <cell r="I98">
            <v>216330.12</v>
          </cell>
        </row>
        <row r="99">
          <cell r="G99" t="str">
            <v>K0865513</v>
          </cell>
          <cell r="H99">
            <v>216330.12</v>
          </cell>
          <cell r="I99">
            <v>216330.12</v>
          </cell>
        </row>
        <row r="100">
          <cell r="G100" t="str">
            <v>K0865673</v>
          </cell>
          <cell r="H100">
            <v>216330.12</v>
          </cell>
          <cell r="I100">
            <v>216330.12</v>
          </cell>
        </row>
        <row r="101">
          <cell r="G101" t="str">
            <v>K0865148</v>
          </cell>
          <cell r="H101">
            <v>216330.12</v>
          </cell>
          <cell r="I101">
            <v>216330.12</v>
          </cell>
        </row>
        <row r="102">
          <cell r="G102" t="str">
            <v>K0863439</v>
          </cell>
          <cell r="H102">
            <v>216330.12</v>
          </cell>
          <cell r="I102">
            <v>216330.12</v>
          </cell>
        </row>
        <row r="103">
          <cell r="G103" t="str">
            <v>L9137498</v>
          </cell>
          <cell r="H103">
            <v>226510.79</v>
          </cell>
          <cell r="I103">
            <v>226510.79</v>
          </cell>
        </row>
        <row r="104">
          <cell r="G104" t="str">
            <v>L9137283</v>
          </cell>
          <cell r="H104">
            <v>226510.79</v>
          </cell>
          <cell r="I104">
            <v>226510.79</v>
          </cell>
        </row>
        <row r="105">
          <cell r="G105" t="str">
            <v>LY628009</v>
          </cell>
          <cell r="H105">
            <v>185513.56</v>
          </cell>
          <cell r="I105">
            <v>185513.56</v>
          </cell>
        </row>
        <row r="106">
          <cell r="G106" t="str">
            <v>LY629807</v>
          </cell>
          <cell r="H106">
            <v>185513.56</v>
          </cell>
          <cell r="I106">
            <v>185513.56</v>
          </cell>
        </row>
        <row r="107">
          <cell r="G107" t="str">
            <v>LY629755</v>
          </cell>
          <cell r="H107">
            <v>185513.56</v>
          </cell>
          <cell r="I107">
            <v>185513.56</v>
          </cell>
        </row>
        <row r="108">
          <cell r="G108" t="str">
            <v>LY628349</v>
          </cell>
          <cell r="H108">
            <v>201893.92</v>
          </cell>
          <cell r="I108">
            <v>201893.92</v>
          </cell>
        </row>
        <row r="109">
          <cell r="G109" t="str">
            <v>LY630630</v>
          </cell>
          <cell r="H109">
            <v>201893.92</v>
          </cell>
          <cell r="I109">
            <v>201893.92</v>
          </cell>
        </row>
        <row r="110">
          <cell r="G110" t="str">
            <v>KY333252</v>
          </cell>
          <cell r="H110">
            <v>226510.79</v>
          </cell>
          <cell r="I110">
            <v>226510.79</v>
          </cell>
        </row>
        <row r="111">
          <cell r="G111" t="str">
            <v>KY324639</v>
          </cell>
          <cell r="H111">
            <v>226510.79</v>
          </cell>
          <cell r="I111">
            <v>226510.79</v>
          </cell>
        </row>
        <row r="112">
          <cell r="G112" t="str">
            <v>KY332779</v>
          </cell>
          <cell r="H112">
            <v>226510.79</v>
          </cell>
          <cell r="I112">
            <v>226510.79</v>
          </cell>
        </row>
        <row r="113">
          <cell r="G113" t="str">
            <v>KY333141</v>
          </cell>
          <cell r="H113">
            <v>226510.79</v>
          </cell>
          <cell r="I113">
            <v>226510.79</v>
          </cell>
        </row>
        <row r="114">
          <cell r="G114" t="str">
            <v>KY331012</v>
          </cell>
          <cell r="H114">
            <v>226510.79</v>
          </cell>
          <cell r="I114">
            <v>226510.79</v>
          </cell>
        </row>
        <row r="115">
          <cell r="G115" t="str">
            <v>KY332435</v>
          </cell>
          <cell r="H115">
            <v>226510.79</v>
          </cell>
          <cell r="I115">
            <v>226510.79</v>
          </cell>
        </row>
        <row r="116">
          <cell r="G116" t="str">
            <v>KY333150</v>
          </cell>
          <cell r="H116">
            <v>226510.79</v>
          </cell>
          <cell r="I116">
            <v>226510.79</v>
          </cell>
        </row>
        <row r="117">
          <cell r="G117" t="str">
            <v>KY331013</v>
          </cell>
          <cell r="H117">
            <v>226510.79</v>
          </cell>
          <cell r="I117">
            <v>226510.79</v>
          </cell>
        </row>
        <row r="118">
          <cell r="G118" t="str">
            <v>KY332792</v>
          </cell>
          <cell r="H118">
            <v>226510.79</v>
          </cell>
          <cell r="I118">
            <v>226510.79</v>
          </cell>
        </row>
        <row r="119">
          <cell r="G119" t="str">
            <v>KY332825</v>
          </cell>
          <cell r="H119">
            <v>226510.79</v>
          </cell>
          <cell r="I119">
            <v>226510.79</v>
          </cell>
        </row>
        <row r="120">
          <cell r="G120" t="str">
            <v>KY323941</v>
          </cell>
          <cell r="H120">
            <v>226510.79</v>
          </cell>
          <cell r="I120">
            <v>226510.79</v>
          </cell>
        </row>
        <row r="121">
          <cell r="G121" t="str">
            <v>KY324068</v>
          </cell>
          <cell r="H121">
            <v>226510.79</v>
          </cell>
          <cell r="I121">
            <v>226510.79</v>
          </cell>
        </row>
        <row r="122">
          <cell r="G122" t="str">
            <v>KY324248</v>
          </cell>
          <cell r="H122">
            <v>226510.79</v>
          </cell>
          <cell r="I122">
            <v>226510.79</v>
          </cell>
        </row>
        <row r="123">
          <cell r="G123" t="str">
            <v>LY346066</v>
          </cell>
          <cell r="H123">
            <v>298134.17</v>
          </cell>
          <cell r="I123">
            <v>298134.17</v>
          </cell>
        </row>
        <row r="124">
          <cell r="G124" t="str">
            <v>LY346245</v>
          </cell>
          <cell r="H124">
            <v>298134.17</v>
          </cell>
          <cell r="I124">
            <v>298134.17</v>
          </cell>
        </row>
        <row r="125">
          <cell r="G125" t="str">
            <v>LY346242</v>
          </cell>
          <cell r="H125">
            <v>298134.17</v>
          </cell>
          <cell r="I125">
            <v>298134.17</v>
          </cell>
        </row>
        <row r="126">
          <cell r="G126" t="str">
            <v>LY346145</v>
          </cell>
          <cell r="H126">
            <v>298134.17</v>
          </cell>
          <cell r="I126">
            <v>298134.17</v>
          </cell>
        </row>
        <row r="127">
          <cell r="G127" t="str">
            <v>LY346260</v>
          </cell>
          <cell r="H127">
            <v>298134.17</v>
          </cell>
          <cell r="I127">
            <v>298134.17</v>
          </cell>
        </row>
        <row r="128">
          <cell r="G128" t="str">
            <v>KH007113</v>
          </cell>
          <cell r="H128">
            <v>195996.94</v>
          </cell>
          <cell r="I128">
            <v>195996.94</v>
          </cell>
        </row>
        <row r="129">
          <cell r="G129" t="str">
            <v>KH009492</v>
          </cell>
          <cell r="H129">
            <v>195996.94</v>
          </cell>
          <cell r="I129">
            <v>195996.94</v>
          </cell>
        </row>
        <row r="130">
          <cell r="G130" t="str">
            <v>KH009668</v>
          </cell>
          <cell r="H130">
            <v>214208.06</v>
          </cell>
          <cell r="I130">
            <v>214208.06</v>
          </cell>
        </row>
        <row r="131">
          <cell r="G131" t="str">
            <v>KH009959</v>
          </cell>
          <cell r="H131">
            <v>214208.06</v>
          </cell>
          <cell r="I131">
            <v>214208.06</v>
          </cell>
        </row>
        <row r="132">
          <cell r="G132" t="str">
            <v>KH007243</v>
          </cell>
          <cell r="H132">
            <v>195996.94</v>
          </cell>
          <cell r="I132">
            <v>195996.94</v>
          </cell>
        </row>
        <row r="133">
          <cell r="G133" t="str">
            <v>KH009969</v>
          </cell>
          <cell r="H133">
            <v>214208.06</v>
          </cell>
          <cell r="I133">
            <v>214208.06</v>
          </cell>
        </row>
        <row r="134">
          <cell r="G134" t="str">
            <v>KH007714</v>
          </cell>
          <cell r="H134">
            <v>195996.94</v>
          </cell>
          <cell r="I134">
            <v>195996.94</v>
          </cell>
        </row>
        <row r="135">
          <cell r="G135" t="str">
            <v>KH008507</v>
          </cell>
          <cell r="H135">
            <v>214208.06</v>
          </cell>
          <cell r="I135">
            <v>214208.06</v>
          </cell>
        </row>
        <row r="136">
          <cell r="G136" t="str">
            <v>KH007771</v>
          </cell>
          <cell r="H136">
            <v>195996.94</v>
          </cell>
          <cell r="I136">
            <v>195996.94</v>
          </cell>
        </row>
        <row r="137">
          <cell r="G137" t="str">
            <v>KH007769</v>
          </cell>
          <cell r="H137">
            <v>195996.94</v>
          </cell>
          <cell r="I137">
            <v>195996.94</v>
          </cell>
        </row>
        <row r="138">
          <cell r="G138" t="str">
            <v>KH007202</v>
          </cell>
          <cell r="H138">
            <v>195996.94</v>
          </cell>
          <cell r="I138">
            <v>195996.94</v>
          </cell>
        </row>
        <row r="139">
          <cell r="G139" t="str">
            <v>KH009652</v>
          </cell>
          <cell r="H139">
            <v>236972.83</v>
          </cell>
          <cell r="I139">
            <v>236972.83</v>
          </cell>
        </row>
        <row r="140">
          <cell r="G140" t="str">
            <v>KH009646</v>
          </cell>
          <cell r="H140">
            <v>225135.89</v>
          </cell>
          <cell r="I140">
            <v>225135.89</v>
          </cell>
        </row>
        <row r="141">
          <cell r="G141" t="str">
            <v>L6N87918</v>
          </cell>
          <cell r="H141">
            <v>271904.08</v>
          </cell>
          <cell r="I141">
            <v>271904.08</v>
          </cell>
        </row>
        <row r="142">
          <cell r="G142" t="str">
            <v>L6N85539</v>
          </cell>
          <cell r="H142">
            <v>271904.08</v>
          </cell>
          <cell r="I142">
            <v>271904.08</v>
          </cell>
        </row>
        <row r="143">
          <cell r="G143" t="str">
            <v>L6N85542</v>
          </cell>
          <cell r="H143">
            <v>271904.08</v>
          </cell>
          <cell r="I143">
            <v>271904.08</v>
          </cell>
        </row>
        <row r="144">
          <cell r="G144" t="str">
            <v>L6N85722</v>
          </cell>
          <cell r="H144">
            <v>271904.08</v>
          </cell>
          <cell r="I144">
            <v>271904.08</v>
          </cell>
        </row>
        <row r="145">
          <cell r="G145" t="str">
            <v>L6N93168</v>
          </cell>
          <cell r="H145">
            <v>239527.2</v>
          </cell>
          <cell r="I145">
            <v>239527.2</v>
          </cell>
        </row>
        <row r="146">
          <cell r="G146" t="str">
            <v>L6N93171</v>
          </cell>
          <cell r="H146">
            <v>239527.2</v>
          </cell>
          <cell r="I146">
            <v>239527.2</v>
          </cell>
        </row>
        <row r="147">
          <cell r="G147" t="str">
            <v>L6N89358</v>
          </cell>
          <cell r="H147">
            <v>239527.2</v>
          </cell>
          <cell r="I147">
            <v>239527.2</v>
          </cell>
        </row>
        <row r="148">
          <cell r="G148" t="str">
            <v>L6N88445</v>
          </cell>
          <cell r="H148">
            <v>239527.2</v>
          </cell>
          <cell r="I148">
            <v>239527.2</v>
          </cell>
        </row>
        <row r="149">
          <cell r="G149" t="str">
            <v>L6N77769</v>
          </cell>
          <cell r="H149">
            <v>308403.43</v>
          </cell>
          <cell r="I149">
            <v>308403.43</v>
          </cell>
        </row>
        <row r="150">
          <cell r="G150" t="str">
            <v>144</v>
          </cell>
          <cell r="I150">
            <v>61126007.449999981</v>
          </cell>
        </row>
        <row r="151">
          <cell r="G151" t="str">
            <v/>
          </cell>
        </row>
        <row r="152">
          <cell r="G152" t="str">
            <v>FC816080</v>
          </cell>
          <cell r="H152">
            <v>232000</v>
          </cell>
          <cell r="I152">
            <v>232000</v>
          </cell>
        </row>
        <row r="153">
          <cell r="G153" t="str">
            <v>GN760112</v>
          </cell>
          <cell r="H153">
            <v>238080</v>
          </cell>
          <cell r="I153">
            <v>238080</v>
          </cell>
        </row>
        <row r="154">
          <cell r="G154" t="str">
            <v>HR638767</v>
          </cell>
          <cell r="H154">
            <v>252000</v>
          </cell>
          <cell r="I154">
            <v>252000</v>
          </cell>
        </row>
        <row r="155">
          <cell r="G155" t="str">
            <v>HT551906</v>
          </cell>
          <cell r="H155">
            <v>185600</v>
          </cell>
          <cell r="I155">
            <v>185600</v>
          </cell>
        </row>
        <row r="156">
          <cell r="G156" t="str">
            <v>JT328554</v>
          </cell>
          <cell r="H156">
            <v>249200</v>
          </cell>
          <cell r="I156">
            <v>249200</v>
          </cell>
        </row>
        <row r="157">
          <cell r="G157" t="str">
            <v>HR242907</v>
          </cell>
          <cell r="H157">
            <v>229280</v>
          </cell>
          <cell r="I157">
            <v>229280</v>
          </cell>
        </row>
        <row r="158">
          <cell r="G158" t="str">
            <v>JS583141</v>
          </cell>
          <cell r="H158">
            <v>161120</v>
          </cell>
          <cell r="I158">
            <v>161120</v>
          </cell>
        </row>
        <row r="159">
          <cell r="G159" t="str">
            <v>HL194754</v>
          </cell>
          <cell r="H159">
            <v>135120</v>
          </cell>
          <cell r="I159">
            <v>135120</v>
          </cell>
        </row>
        <row r="160">
          <cell r="G160" t="str">
            <v>JE001920</v>
          </cell>
          <cell r="H160">
            <v>162560</v>
          </cell>
          <cell r="I160">
            <v>162560</v>
          </cell>
        </row>
        <row r="161">
          <cell r="G161" t="str">
            <v>FM279550</v>
          </cell>
          <cell r="H161">
            <v>120800</v>
          </cell>
          <cell r="I161">
            <v>120800</v>
          </cell>
        </row>
        <row r="162">
          <cell r="G162" t="str">
            <v>FM422229</v>
          </cell>
          <cell r="H162">
            <v>109600</v>
          </cell>
          <cell r="I162">
            <v>109600</v>
          </cell>
        </row>
        <row r="163">
          <cell r="G163" t="str">
            <v>H3325253</v>
          </cell>
          <cell r="H163">
            <v>103680</v>
          </cell>
          <cell r="I163">
            <v>103680</v>
          </cell>
        </row>
        <row r="164">
          <cell r="G164" t="str">
            <v>HZ006882</v>
          </cell>
          <cell r="H164">
            <v>201600</v>
          </cell>
          <cell r="I164">
            <v>201600</v>
          </cell>
        </row>
        <row r="165">
          <cell r="G165" t="str">
            <v>JD126442</v>
          </cell>
          <cell r="H165">
            <v>105520</v>
          </cell>
          <cell r="I165">
            <v>105520</v>
          </cell>
        </row>
        <row r="166">
          <cell r="G166" t="str">
            <v>14</v>
          </cell>
          <cell r="I166">
            <v>2486160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6">
          <cell r="G6" t="str">
            <v>KW674025</v>
          </cell>
          <cell r="H6">
            <v>694932.47</v>
          </cell>
          <cell r="I6">
            <v>694932.47</v>
          </cell>
        </row>
        <row r="7">
          <cell r="G7" t="str">
            <v>KC774843</v>
          </cell>
          <cell r="H7">
            <v>1518340.17</v>
          </cell>
          <cell r="I7">
            <v>1518340.17</v>
          </cell>
        </row>
        <row r="8">
          <cell r="G8" t="str">
            <v>KR748589</v>
          </cell>
          <cell r="H8">
            <v>491760.21</v>
          </cell>
          <cell r="I8">
            <v>491760.21</v>
          </cell>
        </row>
        <row r="9">
          <cell r="G9" t="str">
            <v>LT110449</v>
          </cell>
          <cell r="H9">
            <v>546853.94999999995</v>
          </cell>
          <cell r="I9">
            <v>546853.94999999995</v>
          </cell>
        </row>
        <row r="10">
          <cell r="G10" t="str">
            <v>LT110446</v>
          </cell>
          <cell r="H10">
            <v>546853.94999999995</v>
          </cell>
          <cell r="I10">
            <v>546853.94999999995</v>
          </cell>
        </row>
        <row r="11">
          <cell r="G11" t="str">
            <v>LT110447</v>
          </cell>
          <cell r="H11">
            <v>546853.94999999995</v>
          </cell>
          <cell r="I11">
            <v>546853.94999999995</v>
          </cell>
        </row>
        <row r="12">
          <cell r="G12" t="str">
            <v>LT110448</v>
          </cell>
          <cell r="H12">
            <v>546853.94999999995</v>
          </cell>
          <cell r="I12">
            <v>546853.94999999995</v>
          </cell>
        </row>
        <row r="13">
          <cell r="G13" t="str">
            <v>KG638425</v>
          </cell>
          <cell r="H13">
            <v>460891.95</v>
          </cell>
          <cell r="I13">
            <v>460891.95</v>
          </cell>
        </row>
        <row r="14">
          <cell r="G14" t="str">
            <v>KG572493</v>
          </cell>
          <cell r="H14">
            <v>515180.59</v>
          </cell>
          <cell r="I14">
            <v>515180.59</v>
          </cell>
        </row>
        <row r="15">
          <cell r="G15" t="str">
            <v>KG575667</v>
          </cell>
          <cell r="H15">
            <v>515180.59</v>
          </cell>
          <cell r="I15">
            <v>515180.59</v>
          </cell>
        </row>
        <row r="16">
          <cell r="G16" t="str">
            <v>KG575670</v>
          </cell>
          <cell r="H16">
            <v>515180.59</v>
          </cell>
          <cell r="I16">
            <v>515180.59</v>
          </cell>
        </row>
        <row r="17">
          <cell r="G17" t="str">
            <v>KG575684</v>
          </cell>
          <cell r="H17">
            <v>515180.59</v>
          </cell>
          <cell r="I17">
            <v>515180.59</v>
          </cell>
        </row>
        <row r="18">
          <cell r="G18" t="str">
            <v>KG575698</v>
          </cell>
          <cell r="H18">
            <v>519421.09</v>
          </cell>
          <cell r="I18">
            <v>519421.09</v>
          </cell>
        </row>
        <row r="19">
          <cell r="G19" t="str">
            <v>KG575720</v>
          </cell>
          <cell r="H19">
            <v>515180.59</v>
          </cell>
          <cell r="I19">
            <v>515180.59</v>
          </cell>
        </row>
        <row r="20">
          <cell r="G20" t="str">
            <v>KG575533</v>
          </cell>
          <cell r="H20">
            <v>515180.59</v>
          </cell>
          <cell r="I20">
            <v>515180.59</v>
          </cell>
        </row>
        <row r="21">
          <cell r="G21" t="str">
            <v>KG575726</v>
          </cell>
          <cell r="H21">
            <v>515180.59</v>
          </cell>
          <cell r="I21">
            <v>515180.59</v>
          </cell>
        </row>
        <row r="22">
          <cell r="G22" t="str">
            <v>KG572513</v>
          </cell>
          <cell r="H22">
            <v>515180.59</v>
          </cell>
          <cell r="I22">
            <v>515180.59</v>
          </cell>
        </row>
        <row r="23">
          <cell r="G23" t="str">
            <v>KG575458</v>
          </cell>
          <cell r="H23">
            <v>515180.59</v>
          </cell>
          <cell r="I23">
            <v>515180.59</v>
          </cell>
        </row>
        <row r="24">
          <cell r="G24" t="str">
            <v>KG575511</v>
          </cell>
          <cell r="H24">
            <v>515180.59</v>
          </cell>
          <cell r="I24">
            <v>515180.59</v>
          </cell>
        </row>
        <row r="25">
          <cell r="G25" t="str">
            <v>KG575556</v>
          </cell>
          <cell r="H25">
            <v>515180.59</v>
          </cell>
          <cell r="I25">
            <v>515180.59</v>
          </cell>
        </row>
        <row r="26">
          <cell r="G26" t="str">
            <v>KG575637</v>
          </cell>
          <cell r="H26">
            <v>515180.59</v>
          </cell>
          <cell r="I26">
            <v>515180.59</v>
          </cell>
        </row>
        <row r="27">
          <cell r="G27" t="str">
            <v>KG575671</v>
          </cell>
          <cell r="H27">
            <v>515180.59</v>
          </cell>
          <cell r="I27">
            <v>515180.59</v>
          </cell>
        </row>
        <row r="28">
          <cell r="G28" t="str">
            <v>KG575704</v>
          </cell>
          <cell r="H28">
            <v>519421.09</v>
          </cell>
          <cell r="I28">
            <v>519421.09</v>
          </cell>
        </row>
        <row r="29">
          <cell r="G29" t="str">
            <v>KG575718</v>
          </cell>
          <cell r="H29">
            <v>515180.59</v>
          </cell>
          <cell r="I29">
            <v>515180.59</v>
          </cell>
        </row>
        <row r="30">
          <cell r="G30" t="str">
            <v>KG575721</v>
          </cell>
          <cell r="H30">
            <v>515180.59</v>
          </cell>
          <cell r="I30">
            <v>515180.59</v>
          </cell>
        </row>
        <row r="31">
          <cell r="G31" t="str">
            <v>KG572486</v>
          </cell>
          <cell r="H31">
            <v>515180.59</v>
          </cell>
          <cell r="I31">
            <v>515180.59</v>
          </cell>
        </row>
        <row r="32">
          <cell r="G32" t="str">
            <v>KG575632</v>
          </cell>
          <cell r="H32">
            <v>515180.59</v>
          </cell>
          <cell r="I32">
            <v>515180.59</v>
          </cell>
        </row>
        <row r="33">
          <cell r="G33" t="str">
            <v>KG575694</v>
          </cell>
          <cell r="H33">
            <v>515180.59</v>
          </cell>
          <cell r="I33">
            <v>515180.59</v>
          </cell>
        </row>
        <row r="34">
          <cell r="G34" t="str">
            <v>KG575713</v>
          </cell>
          <cell r="H34">
            <v>515180.59</v>
          </cell>
          <cell r="I34">
            <v>515180.59</v>
          </cell>
        </row>
        <row r="35">
          <cell r="G35" t="str">
            <v>KG575727</v>
          </cell>
          <cell r="H35">
            <v>515180.59</v>
          </cell>
          <cell r="I35">
            <v>515180.59</v>
          </cell>
        </row>
        <row r="36">
          <cell r="G36" t="str">
            <v>KG575428</v>
          </cell>
          <cell r="H36">
            <v>515180.59</v>
          </cell>
          <cell r="I36">
            <v>515180.59</v>
          </cell>
        </row>
        <row r="37">
          <cell r="G37" t="str">
            <v>KG575722</v>
          </cell>
          <cell r="H37">
            <v>515180.59</v>
          </cell>
          <cell r="I37">
            <v>515180.59</v>
          </cell>
        </row>
        <row r="38">
          <cell r="G38" t="str">
            <v>KG575736</v>
          </cell>
          <cell r="H38">
            <v>515180.59</v>
          </cell>
          <cell r="I38">
            <v>515180.59</v>
          </cell>
        </row>
        <row r="39">
          <cell r="G39" t="str">
            <v>KG575731</v>
          </cell>
          <cell r="H39">
            <v>515180.59</v>
          </cell>
          <cell r="I39">
            <v>515180.59</v>
          </cell>
        </row>
        <row r="40">
          <cell r="G40" t="str">
            <v>KG575639</v>
          </cell>
          <cell r="H40">
            <v>515180.59</v>
          </cell>
          <cell r="I40">
            <v>515180.59</v>
          </cell>
        </row>
        <row r="41">
          <cell r="G41" t="str">
            <v>KG575690</v>
          </cell>
          <cell r="H41">
            <v>515180.59</v>
          </cell>
          <cell r="I41">
            <v>515180.59</v>
          </cell>
        </row>
        <row r="42">
          <cell r="G42" t="str">
            <v>KG575706</v>
          </cell>
          <cell r="H42">
            <v>515180.59</v>
          </cell>
          <cell r="I42">
            <v>515180.59</v>
          </cell>
        </row>
        <row r="43">
          <cell r="G43" t="str">
            <v>KG575723</v>
          </cell>
          <cell r="H43">
            <v>515180.59</v>
          </cell>
          <cell r="I43">
            <v>515180.59</v>
          </cell>
        </row>
        <row r="44">
          <cell r="G44" t="str">
            <v>KG575696</v>
          </cell>
          <cell r="H44">
            <v>515180.59</v>
          </cell>
          <cell r="I44">
            <v>515180.59</v>
          </cell>
        </row>
        <row r="45">
          <cell r="G45" t="str">
            <v>KG575701</v>
          </cell>
          <cell r="H45">
            <v>515180.59</v>
          </cell>
          <cell r="I45">
            <v>515180.59</v>
          </cell>
        </row>
        <row r="46">
          <cell r="G46" t="str">
            <v>KG528855</v>
          </cell>
          <cell r="H46">
            <v>508395.1</v>
          </cell>
          <cell r="I46">
            <v>457395.1</v>
          </cell>
        </row>
        <row r="47">
          <cell r="G47" t="str">
            <v>KG528905</v>
          </cell>
          <cell r="H47">
            <v>508395.1</v>
          </cell>
          <cell r="I47">
            <v>457395.1</v>
          </cell>
        </row>
        <row r="48">
          <cell r="G48" t="str">
            <v>KG528936</v>
          </cell>
          <cell r="H48">
            <v>508395.1</v>
          </cell>
          <cell r="I48">
            <v>457395.1</v>
          </cell>
        </row>
        <row r="49">
          <cell r="G49" t="str">
            <v>KG528970</v>
          </cell>
          <cell r="H49">
            <v>508395.1</v>
          </cell>
          <cell r="I49">
            <v>457395.1</v>
          </cell>
        </row>
        <row r="50">
          <cell r="G50" t="str">
            <v>KG575514</v>
          </cell>
          <cell r="H50">
            <v>515180.59</v>
          </cell>
          <cell r="I50">
            <v>515180.59</v>
          </cell>
        </row>
        <row r="51">
          <cell r="G51" t="str">
            <v>KG575643</v>
          </cell>
          <cell r="H51">
            <v>515180.59</v>
          </cell>
          <cell r="I51">
            <v>515180.59</v>
          </cell>
        </row>
        <row r="52">
          <cell r="G52" t="str">
            <v>KG575707</v>
          </cell>
          <cell r="H52">
            <v>515180.59</v>
          </cell>
          <cell r="I52">
            <v>515180.59</v>
          </cell>
        </row>
        <row r="53">
          <cell r="G53" t="str">
            <v>KG575724</v>
          </cell>
          <cell r="H53">
            <v>515180.59</v>
          </cell>
          <cell r="I53">
            <v>515180.59</v>
          </cell>
        </row>
        <row r="54">
          <cell r="G54" t="str">
            <v>KG528735</v>
          </cell>
          <cell r="H54">
            <v>508395.1</v>
          </cell>
          <cell r="I54">
            <v>457395.1</v>
          </cell>
        </row>
        <row r="55">
          <cell r="G55" t="str">
            <v>KG572511</v>
          </cell>
          <cell r="H55">
            <v>515180.59</v>
          </cell>
          <cell r="I55">
            <v>515180.59</v>
          </cell>
        </row>
        <row r="56">
          <cell r="G56" t="str">
            <v>KG575487</v>
          </cell>
          <cell r="H56">
            <v>515180.59</v>
          </cell>
          <cell r="I56">
            <v>515180.59</v>
          </cell>
        </row>
        <row r="57">
          <cell r="G57" t="str">
            <v>KG575649</v>
          </cell>
          <cell r="H57">
            <v>515180.59</v>
          </cell>
          <cell r="I57">
            <v>515180.59</v>
          </cell>
        </row>
        <row r="58">
          <cell r="G58" t="str">
            <v>KG575666</v>
          </cell>
          <cell r="H58">
            <v>515180.59</v>
          </cell>
          <cell r="I58">
            <v>515180.59</v>
          </cell>
        </row>
        <row r="59">
          <cell r="G59" t="str">
            <v>KG575697</v>
          </cell>
          <cell r="H59">
            <v>519421.09</v>
          </cell>
          <cell r="I59">
            <v>519421.09</v>
          </cell>
        </row>
        <row r="60">
          <cell r="G60" t="str">
            <v>KG575702</v>
          </cell>
          <cell r="H60">
            <v>515180.59</v>
          </cell>
          <cell r="I60">
            <v>515180.59</v>
          </cell>
        </row>
        <row r="61">
          <cell r="G61" t="str">
            <v>KG528730</v>
          </cell>
          <cell r="H61">
            <v>508395.1</v>
          </cell>
          <cell r="I61">
            <v>457395.1</v>
          </cell>
        </row>
        <row r="62">
          <cell r="G62" t="str">
            <v>KG575515</v>
          </cell>
          <cell r="H62">
            <v>515180.59</v>
          </cell>
          <cell r="I62">
            <v>515180.59</v>
          </cell>
        </row>
        <row r="63">
          <cell r="G63" t="str">
            <v>KG575708</v>
          </cell>
          <cell r="H63">
            <v>515180.59</v>
          </cell>
          <cell r="I63">
            <v>515180.59</v>
          </cell>
        </row>
        <row r="64">
          <cell r="G64" t="str">
            <v>KG575711</v>
          </cell>
          <cell r="H64">
            <v>515180.59</v>
          </cell>
          <cell r="I64">
            <v>515180.59</v>
          </cell>
        </row>
        <row r="65">
          <cell r="G65" t="str">
            <v>KG575725</v>
          </cell>
          <cell r="H65">
            <v>515180.59</v>
          </cell>
          <cell r="I65">
            <v>515180.59</v>
          </cell>
        </row>
        <row r="66">
          <cell r="G66" t="str">
            <v>KG585915</v>
          </cell>
          <cell r="H66">
            <v>496518.43</v>
          </cell>
          <cell r="I66">
            <v>496518.43</v>
          </cell>
        </row>
        <row r="67">
          <cell r="G67" t="str">
            <v>KG600194</v>
          </cell>
          <cell r="H67">
            <v>496518.43</v>
          </cell>
          <cell r="I67">
            <v>496518.43</v>
          </cell>
        </row>
        <row r="68">
          <cell r="G68" t="str">
            <v>KG585916</v>
          </cell>
          <cell r="H68">
            <v>496518.43</v>
          </cell>
          <cell r="I68">
            <v>496518.43</v>
          </cell>
        </row>
        <row r="69">
          <cell r="G69" t="str">
            <v>KG600195</v>
          </cell>
          <cell r="H69">
            <v>496518.43</v>
          </cell>
          <cell r="I69">
            <v>496518.43</v>
          </cell>
        </row>
        <row r="70">
          <cell r="G70" t="str">
            <v>KG585920</v>
          </cell>
          <cell r="H70">
            <v>496518.43</v>
          </cell>
          <cell r="I70">
            <v>496518.43</v>
          </cell>
        </row>
        <row r="71">
          <cell r="G71" t="str">
            <v>KG597646</v>
          </cell>
          <cell r="H71">
            <v>496518.43</v>
          </cell>
          <cell r="I71">
            <v>496518.43</v>
          </cell>
        </row>
        <row r="72">
          <cell r="G72" t="str">
            <v>KG585912</v>
          </cell>
          <cell r="H72">
            <v>496518.43</v>
          </cell>
          <cell r="I72">
            <v>496518.43</v>
          </cell>
        </row>
        <row r="73">
          <cell r="G73" t="str">
            <v>KG600196</v>
          </cell>
          <cell r="H73">
            <v>496518.43</v>
          </cell>
          <cell r="I73">
            <v>496518.43</v>
          </cell>
        </row>
        <row r="74">
          <cell r="G74" t="str">
            <v>KG585918</v>
          </cell>
          <cell r="H74">
            <v>496518.43</v>
          </cell>
          <cell r="I74">
            <v>496518.43</v>
          </cell>
        </row>
        <row r="75">
          <cell r="G75" t="str">
            <v>KG585921</v>
          </cell>
          <cell r="H75">
            <v>496518.43</v>
          </cell>
          <cell r="I75">
            <v>496518.43</v>
          </cell>
        </row>
        <row r="76">
          <cell r="G76" t="str">
            <v>KG557702</v>
          </cell>
          <cell r="H76">
            <v>518903.44</v>
          </cell>
          <cell r="I76">
            <v>518903.44</v>
          </cell>
        </row>
        <row r="77">
          <cell r="G77" t="str">
            <v>KG594340</v>
          </cell>
          <cell r="H77">
            <v>509107.35</v>
          </cell>
          <cell r="I77">
            <v>509107.35</v>
          </cell>
        </row>
        <row r="78">
          <cell r="G78" t="str">
            <v>KG557703</v>
          </cell>
          <cell r="H78">
            <v>518903.44</v>
          </cell>
          <cell r="I78">
            <v>518903.44</v>
          </cell>
        </row>
        <row r="79">
          <cell r="G79" t="str">
            <v>KG575795</v>
          </cell>
          <cell r="H79">
            <v>509107.35</v>
          </cell>
          <cell r="I79">
            <v>509107.35</v>
          </cell>
        </row>
        <row r="80">
          <cell r="G80" t="str">
            <v>KG595957</v>
          </cell>
          <cell r="H80">
            <v>509107.35</v>
          </cell>
          <cell r="I80">
            <v>509107.35</v>
          </cell>
        </row>
        <row r="81">
          <cell r="G81" t="str">
            <v>KG575796</v>
          </cell>
          <cell r="H81">
            <v>524706.86</v>
          </cell>
          <cell r="I81">
            <v>524706.86</v>
          </cell>
        </row>
        <row r="82">
          <cell r="G82" t="str">
            <v>KG561566</v>
          </cell>
          <cell r="H82">
            <v>518903.44</v>
          </cell>
          <cell r="I82">
            <v>518903.44</v>
          </cell>
        </row>
        <row r="83">
          <cell r="G83" t="str">
            <v>KG575788</v>
          </cell>
          <cell r="H83">
            <v>509107.35</v>
          </cell>
          <cell r="I83">
            <v>509107.35</v>
          </cell>
        </row>
        <row r="84">
          <cell r="G84" t="str">
            <v>KG575791</v>
          </cell>
          <cell r="H84">
            <v>509107.35</v>
          </cell>
          <cell r="I84">
            <v>509107.35</v>
          </cell>
        </row>
        <row r="85">
          <cell r="G85" t="str">
            <v>KG585902</v>
          </cell>
          <cell r="H85">
            <v>509107.35</v>
          </cell>
          <cell r="I85">
            <v>509107.35</v>
          </cell>
        </row>
        <row r="86">
          <cell r="G86" t="str">
            <v>KG557700</v>
          </cell>
          <cell r="H86">
            <v>518903.44</v>
          </cell>
          <cell r="I86">
            <v>518903.44</v>
          </cell>
        </row>
        <row r="87">
          <cell r="G87" t="str">
            <v>KG568874</v>
          </cell>
          <cell r="H87">
            <v>518903.44</v>
          </cell>
          <cell r="I87">
            <v>518903.44</v>
          </cell>
        </row>
        <row r="88">
          <cell r="G88" t="str">
            <v>KG575792</v>
          </cell>
          <cell r="H88">
            <v>509107.35</v>
          </cell>
          <cell r="I88">
            <v>509107.35</v>
          </cell>
        </row>
        <row r="89">
          <cell r="G89" t="str">
            <v>KG557701</v>
          </cell>
          <cell r="H89">
            <v>518903.44</v>
          </cell>
          <cell r="I89">
            <v>518903.44</v>
          </cell>
        </row>
        <row r="90">
          <cell r="G90" t="str">
            <v>KG644343</v>
          </cell>
          <cell r="H90">
            <v>671255.17</v>
          </cell>
          <cell r="I90">
            <v>671255.17</v>
          </cell>
        </row>
        <row r="91">
          <cell r="G91" t="str">
            <v>KG603124</v>
          </cell>
          <cell r="H91">
            <v>671255.17</v>
          </cell>
          <cell r="I91">
            <v>671255.17</v>
          </cell>
        </row>
        <row r="92">
          <cell r="G92" t="str">
            <v>KG603125</v>
          </cell>
          <cell r="H92">
            <v>671255.17</v>
          </cell>
          <cell r="I92">
            <v>671255.17</v>
          </cell>
        </row>
        <row r="93">
          <cell r="G93" t="str">
            <v>LK268189</v>
          </cell>
          <cell r="H93">
            <v>437222.68</v>
          </cell>
          <cell r="I93">
            <v>437222.68</v>
          </cell>
        </row>
        <row r="94">
          <cell r="G94" t="str">
            <v>LK268337</v>
          </cell>
          <cell r="H94">
            <v>437222.68</v>
          </cell>
          <cell r="I94">
            <v>437222.68</v>
          </cell>
        </row>
        <row r="95">
          <cell r="G95" t="str">
            <v>LK268176</v>
          </cell>
          <cell r="H95">
            <v>437222.68</v>
          </cell>
          <cell r="I95">
            <v>437222.68</v>
          </cell>
        </row>
        <row r="96">
          <cell r="G96" t="str">
            <v>LK268222</v>
          </cell>
          <cell r="H96">
            <v>437222.68</v>
          </cell>
          <cell r="I96">
            <v>437222.68</v>
          </cell>
        </row>
        <row r="97">
          <cell r="G97" t="str">
            <v>LK268236</v>
          </cell>
          <cell r="H97">
            <v>437222.68</v>
          </cell>
          <cell r="I97">
            <v>437222.68</v>
          </cell>
        </row>
        <row r="98">
          <cell r="G98" t="str">
            <v>L0868328</v>
          </cell>
          <cell r="H98">
            <v>213180.72</v>
          </cell>
          <cell r="I98">
            <v>213180.72</v>
          </cell>
        </row>
        <row r="99">
          <cell r="G99" t="str">
            <v>L0868429</v>
          </cell>
          <cell r="H99">
            <v>213180.72</v>
          </cell>
          <cell r="I99">
            <v>213180.72</v>
          </cell>
        </row>
        <row r="100">
          <cell r="G100" t="str">
            <v>L0868214</v>
          </cell>
          <cell r="H100">
            <v>213180.72</v>
          </cell>
          <cell r="I100">
            <v>213180.72</v>
          </cell>
        </row>
        <row r="101">
          <cell r="G101" t="str">
            <v>K0865329</v>
          </cell>
          <cell r="H101">
            <v>216330.12</v>
          </cell>
          <cell r="I101">
            <v>216330.12</v>
          </cell>
        </row>
        <row r="102">
          <cell r="G102" t="str">
            <v>K0865749</v>
          </cell>
          <cell r="H102">
            <v>216330.12</v>
          </cell>
          <cell r="I102">
            <v>216330.12</v>
          </cell>
        </row>
        <row r="103">
          <cell r="G103" t="str">
            <v>K0865428</v>
          </cell>
          <cell r="H103">
            <v>216330.12</v>
          </cell>
          <cell r="I103">
            <v>216330.12</v>
          </cell>
        </row>
        <row r="104">
          <cell r="G104" t="str">
            <v>K0865513</v>
          </cell>
          <cell r="H104">
            <v>216330.12</v>
          </cell>
          <cell r="I104">
            <v>216330.12</v>
          </cell>
        </row>
        <row r="105">
          <cell r="G105" t="str">
            <v>K0865673</v>
          </cell>
          <cell r="H105">
            <v>216330.12</v>
          </cell>
          <cell r="I105">
            <v>216330.12</v>
          </cell>
        </row>
        <row r="106">
          <cell r="G106" t="str">
            <v>K0865148</v>
          </cell>
          <cell r="H106">
            <v>216330.12</v>
          </cell>
          <cell r="I106">
            <v>216330.12</v>
          </cell>
        </row>
        <row r="107">
          <cell r="G107" t="str">
            <v>K0863439</v>
          </cell>
          <cell r="H107">
            <v>216330.12</v>
          </cell>
          <cell r="I107">
            <v>216330.12</v>
          </cell>
        </row>
        <row r="108">
          <cell r="G108" t="str">
            <v>L9137102</v>
          </cell>
          <cell r="H108">
            <v>226510.79</v>
          </cell>
          <cell r="I108">
            <v>226510.79</v>
          </cell>
        </row>
        <row r="109">
          <cell r="G109" t="str">
            <v>L9136723</v>
          </cell>
          <cell r="H109">
            <v>226510.79</v>
          </cell>
          <cell r="I109">
            <v>226510.79</v>
          </cell>
        </row>
        <row r="110">
          <cell r="G110" t="str">
            <v>L9137498</v>
          </cell>
          <cell r="H110">
            <v>226510.79</v>
          </cell>
          <cell r="I110">
            <v>226510.79</v>
          </cell>
        </row>
        <row r="111">
          <cell r="G111" t="str">
            <v>L9137283</v>
          </cell>
          <cell r="H111">
            <v>226510.79</v>
          </cell>
          <cell r="I111">
            <v>226510.79</v>
          </cell>
        </row>
        <row r="112">
          <cell r="G112" t="str">
            <v>L9136997</v>
          </cell>
          <cell r="H112">
            <v>226510.79</v>
          </cell>
          <cell r="I112">
            <v>226510.79</v>
          </cell>
        </row>
        <row r="113">
          <cell r="G113" t="str">
            <v>LY630955</v>
          </cell>
          <cell r="H113">
            <v>185513.56</v>
          </cell>
          <cell r="I113">
            <v>185513.56</v>
          </cell>
        </row>
        <row r="114">
          <cell r="G114" t="str">
            <v>LY628009</v>
          </cell>
          <cell r="H114">
            <v>185513.56</v>
          </cell>
          <cell r="I114">
            <v>185513.56</v>
          </cell>
        </row>
        <row r="115">
          <cell r="G115" t="str">
            <v>LY629807</v>
          </cell>
          <cell r="H115">
            <v>185513.56</v>
          </cell>
          <cell r="I115">
            <v>185513.56</v>
          </cell>
        </row>
        <row r="116">
          <cell r="G116" t="str">
            <v>LY633325</v>
          </cell>
          <cell r="H116">
            <v>185513.56</v>
          </cell>
          <cell r="I116">
            <v>185513.56</v>
          </cell>
        </row>
        <row r="117">
          <cell r="G117" t="str">
            <v>LY629755</v>
          </cell>
          <cell r="H117">
            <v>185513.56</v>
          </cell>
          <cell r="I117">
            <v>185513.56</v>
          </cell>
        </row>
        <row r="118">
          <cell r="G118" t="str">
            <v>LY629248</v>
          </cell>
          <cell r="H118">
            <v>201893.92</v>
          </cell>
          <cell r="I118">
            <v>201893.92</v>
          </cell>
        </row>
        <row r="119">
          <cell r="G119" t="str">
            <v>LY628349</v>
          </cell>
          <cell r="H119">
            <v>201893.92</v>
          </cell>
          <cell r="I119">
            <v>201893.92</v>
          </cell>
        </row>
        <row r="120">
          <cell r="G120" t="str">
            <v>LY630630</v>
          </cell>
          <cell r="H120">
            <v>201893.92</v>
          </cell>
          <cell r="I120">
            <v>201893.92</v>
          </cell>
        </row>
        <row r="121">
          <cell r="G121" t="str">
            <v>LY629702</v>
          </cell>
          <cell r="H121">
            <v>201893.92</v>
          </cell>
          <cell r="I121">
            <v>201893.92</v>
          </cell>
        </row>
        <row r="122">
          <cell r="G122" t="str">
            <v>KY324639</v>
          </cell>
          <cell r="H122">
            <v>226510.79</v>
          </cell>
          <cell r="I122">
            <v>226510.79</v>
          </cell>
        </row>
        <row r="123">
          <cell r="G123" t="str">
            <v>KY331012</v>
          </cell>
          <cell r="H123">
            <v>226510.79</v>
          </cell>
          <cell r="I123">
            <v>226510.79</v>
          </cell>
        </row>
        <row r="124">
          <cell r="G124" t="str">
            <v>KY331013</v>
          </cell>
          <cell r="H124">
            <v>226510.79</v>
          </cell>
          <cell r="I124">
            <v>226510.79</v>
          </cell>
        </row>
        <row r="125">
          <cell r="G125" t="str">
            <v>KY323941</v>
          </cell>
          <cell r="H125">
            <v>226510.79</v>
          </cell>
          <cell r="I125">
            <v>226510.79</v>
          </cell>
        </row>
        <row r="126">
          <cell r="G126" t="str">
            <v>KY324068</v>
          </cell>
          <cell r="H126">
            <v>226510.79</v>
          </cell>
          <cell r="I126">
            <v>226510.79</v>
          </cell>
        </row>
        <row r="127">
          <cell r="G127" t="str">
            <v>KY324248</v>
          </cell>
          <cell r="H127">
            <v>226510.79</v>
          </cell>
          <cell r="I127">
            <v>226510.79</v>
          </cell>
        </row>
        <row r="128">
          <cell r="G128" t="str">
            <v>LY358319</v>
          </cell>
          <cell r="H128">
            <v>298134.17</v>
          </cell>
          <cell r="I128">
            <v>298134.17</v>
          </cell>
        </row>
        <row r="129">
          <cell r="G129" t="str">
            <v>LY355042</v>
          </cell>
          <cell r="H129">
            <v>298134.17</v>
          </cell>
          <cell r="I129">
            <v>298134.17</v>
          </cell>
        </row>
        <row r="130">
          <cell r="G130" t="str">
            <v>LY348410</v>
          </cell>
          <cell r="H130">
            <v>298134.17</v>
          </cell>
          <cell r="I130">
            <v>298134.17</v>
          </cell>
        </row>
        <row r="131">
          <cell r="G131" t="str">
            <v>LY348505</v>
          </cell>
          <cell r="H131">
            <v>298134.17</v>
          </cell>
          <cell r="I131">
            <v>298134.17</v>
          </cell>
        </row>
        <row r="132">
          <cell r="G132" t="str">
            <v>LY354210</v>
          </cell>
          <cell r="H132">
            <v>298134.17</v>
          </cell>
          <cell r="I132">
            <v>298134.17</v>
          </cell>
        </row>
        <row r="133">
          <cell r="G133" t="str">
            <v>LY346066</v>
          </cell>
          <cell r="H133">
            <v>298134.17</v>
          </cell>
          <cell r="I133">
            <v>298134.17</v>
          </cell>
        </row>
        <row r="134">
          <cell r="G134" t="str">
            <v>LY346245</v>
          </cell>
          <cell r="H134">
            <v>298134.17</v>
          </cell>
          <cell r="I134">
            <v>298134.17</v>
          </cell>
        </row>
        <row r="135">
          <cell r="G135" t="str">
            <v>LY354331</v>
          </cell>
          <cell r="H135">
            <v>298134.17</v>
          </cell>
          <cell r="I135">
            <v>298134.17</v>
          </cell>
        </row>
        <row r="136">
          <cell r="G136" t="str">
            <v>LY354998</v>
          </cell>
          <cell r="H136">
            <v>298134.17</v>
          </cell>
          <cell r="I136">
            <v>298134.17</v>
          </cell>
        </row>
        <row r="137">
          <cell r="G137" t="str">
            <v>LY355357</v>
          </cell>
          <cell r="H137">
            <v>298134.17</v>
          </cell>
          <cell r="I137">
            <v>298134.17</v>
          </cell>
        </row>
        <row r="138">
          <cell r="G138" t="str">
            <v>LY357495</v>
          </cell>
          <cell r="H138">
            <v>298134.17</v>
          </cell>
          <cell r="I138">
            <v>298134.17</v>
          </cell>
        </row>
        <row r="139">
          <cell r="G139" t="str">
            <v>LY358302</v>
          </cell>
          <cell r="H139">
            <v>298134.17</v>
          </cell>
          <cell r="I139">
            <v>298134.17</v>
          </cell>
        </row>
        <row r="140">
          <cell r="G140" t="str">
            <v>LY346242</v>
          </cell>
          <cell r="H140">
            <v>298134.17</v>
          </cell>
          <cell r="I140">
            <v>298134.17</v>
          </cell>
        </row>
        <row r="141">
          <cell r="G141" t="str">
            <v>LY355099</v>
          </cell>
          <cell r="H141">
            <v>298134.17</v>
          </cell>
          <cell r="I141">
            <v>298134.17</v>
          </cell>
        </row>
        <row r="142">
          <cell r="G142" t="str">
            <v>LY355331</v>
          </cell>
          <cell r="H142">
            <v>298134.17</v>
          </cell>
          <cell r="I142">
            <v>298134.17</v>
          </cell>
        </row>
        <row r="143">
          <cell r="G143" t="str">
            <v>LY358402</v>
          </cell>
          <cell r="H143">
            <v>298134.17</v>
          </cell>
          <cell r="I143">
            <v>298134.17</v>
          </cell>
        </row>
        <row r="144">
          <cell r="G144" t="str">
            <v>LY346145</v>
          </cell>
          <cell r="H144">
            <v>298134.17</v>
          </cell>
          <cell r="I144">
            <v>298134.17</v>
          </cell>
        </row>
        <row r="145">
          <cell r="G145" t="str">
            <v>LY346260</v>
          </cell>
          <cell r="H145">
            <v>298134.17</v>
          </cell>
          <cell r="I145">
            <v>298134.17</v>
          </cell>
        </row>
        <row r="146">
          <cell r="G146" t="str">
            <v>LY358277</v>
          </cell>
          <cell r="H146">
            <v>298134.17</v>
          </cell>
          <cell r="I146">
            <v>298134.17</v>
          </cell>
        </row>
        <row r="147">
          <cell r="G147" t="str">
            <v>KH008715</v>
          </cell>
          <cell r="H147">
            <v>195996.94</v>
          </cell>
          <cell r="I147">
            <v>195996.94</v>
          </cell>
        </row>
        <row r="148">
          <cell r="G148" t="str">
            <v>KH008724</v>
          </cell>
          <cell r="H148">
            <v>195996.94</v>
          </cell>
          <cell r="I148">
            <v>195996.94</v>
          </cell>
        </row>
        <row r="149">
          <cell r="G149" t="str">
            <v>KH008277</v>
          </cell>
          <cell r="H149">
            <v>195996.94</v>
          </cell>
          <cell r="I149">
            <v>195996.94</v>
          </cell>
        </row>
        <row r="150">
          <cell r="G150" t="str">
            <v>KH008716</v>
          </cell>
          <cell r="H150">
            <v>195996.94</v>
          </cell>
          <cell r="I150">
            <v>195996.94</v>
          </cell>
        </row>
        <row r="151">
          <cell r="G151" t="str">
            <v>KH009462</v>
          </cell>
          <cell r="H151">
            <v>195996.94</v>
          </cell>
          <cell r="I151">
            <v>195996.94</v>
          </cell>
        </row>
        <row r="152">
          <cell r="G152" t="str">
            <v>KH008904</v>
          </cell>
          <cell r="H152">
            <v>195996.94</v>
          </cell>
          <cell r="I152">
            <v>195996.94</v>
          </cell>
        </row>
        <row r="153">
          <cell r="G153" t="str">
            <v>KH008278</v>
          </cell>
          <cell r="H153">
            <v>195996.94</v>
          </cell>
          <cell r="I153">
            <v>195996.94</v>
          </cell>
        </row>
        <row r="154">
          <cell r="G154" t="str">
            <v>KH008717</v>
          </cell>
          <cell r="H154">
            <v>195996.94</v>
          </cell>
          <cell r="I154">
            <v>195996.94</v>
          </cell>
        </row>
        <row r="155">
          <cell r="G155" t="str">
            <v>KH008720</v>
          </cell>
          <cell r="H155">
            <v>195996.94</v>
          </cell>
          <cell r="I155">
            <v>195996.94</v>
          </cell>
        </row>
        <row r="156">
          <cell r="G156" t="str">
            <v>KH008905</v>
          </cell>
          <cell r="H156">
            <v>195996.94</v>
          </cell>
          <cell r="I156">
            <v>195996.94</v>
          </cell>
        </row>
        <row r="157">
          <cell r="G157" t="str">
            <v>KH008721</v>
          </cell>
          <cell r="H157">
            <v>195996.94</v>
          </cell>
          <cell r="I157">
            <v>195996.94</v>
          </cell>
        </row>
        <row r="158">
          <cell r="G158" t="str">
            <v>KH008713</v>
          </cell>
          <cell r="H158">
            <v>195996.94</v>
          </cell>
          <cell r="I158">
            <v>195996.94</v>
          </cell>
        </row>
        <row r="159">
          <cell r="G159" t="str">
            <v>KH009831</v>
          </cell>
          <cell r="H159">
            <v>214208.06</v>
          </cell>
          <cell r="I159">
            <v>214208.06</v>
          </cell>
        </row>
        <row r="160">
          <cell r="G160" t="str">
            <v>KH008719</v>
          </cell>
          <cell r="H160">
            <v>195996.94</v>
          </cell>
          <cell r="I160">
            <v>195996.94</v>
          </cell>
        </row>
        <row r="161">
          <cell r="G161" t="str">
            <v>KH008896</v>
          </cell>
          <cell r="H161">
            <v>195996.94</v>
          </cell>
          <cell r="I161">
            <v>195996.94</v>
          </cell>
        </row>
        <row r="162">
          <cell r="G162" t="str">
            <v>KH008714</v>
          </cell>
          <cell r="H162">
            <v>195996.94</v>
          </cell>
          <cell r="I162">
            <v>195996.94</v>
          </cell>
        </row>
        <row r="163">
          <cell r="G163" t="str">
            <v>KH009832</v>
          </cell>
          <cell r="H163">
            <v>214208.06</v>
          </cell>
          <cell r="I163">
            <v>214208.06</v>
          </cell>
        </row>
        <row r="164">
          <cell r="G164" t="str">
            <v>KH008656</v>
          </cell>
          <cell r="H164">
            <v>195996.94</v>
          </cell>
          <cell r="I164">
            <v>195996.94</v>
          </cell>
        </row>
        <row r="165">
          <cell r="G165" t="str">
            <v>KH008723</v>
          </cell>
          <cell r="H165">
            <v>195996.94</v>
          </cell>
          <cell r="I165">
            <v>195996.94</v>
          </cell>
        </row>
        <row r="166">
          <cell r="G166" t="str">
            <v>KH008897</v>
          </cell>
          <cell r="H166">
            <v>195996.94</v>
          </cell>
          <cell r="I166">
            <v>195996.94</v>
          </cell>
        </row>
        <row r="167">
          <cell r="G167" t="str">
            <v>LH000335</v>
          </cell>
          <cell r="H167">
            <v>229688.38</v>
          </cell>
          <cell r="I167">
            <v>229688.38</v>
          </cell>
        </row>
        <row r="168">
          <cell r="G168" t="str">
            <v>LH000853</v>
          </cell>
          <cell r="H168">
            <v>229688.38</v>
          </cell>
          <cell r="I168">
            <v>229688.38</v>
          </cell>
        </row>
        <row r="169">
          <cell r="G169" t="str">
            <v>LH000568</v>
          </cell>
          <cell r="H169">
            <v>229688.38</v>
          </cell>
          <cell r="I169">
            <v>229688.38</v>
          </cell>
        </row>
        <row r="170">
          <cell r="G170" t="str">
            <v>LH000451</v>
          </cell>
          <cell r="H170">
            <v>229688.38</v>
          </cell>
          <cell r="I170">
            <v>229688.38</v>
          </cell>
        </row>
        <row r="171">
          <cell r="G171" t="str">
            <v>KH009652</v>
          </cell>
          <cell r="H171">
            <v>236972.83</v>
          </cell>
          <cell r="I171">
            <v>236972.83</v>
          </cell>
        </row>
        <row r="172">
          <cell r="G172" t="str">
            <v>LH001571</v>
          </cell>
          <cell r="H172">
            <v>241526.48</v>
          </cell>
          <cell r="I172">
            <v>241526.48</v>
          </cell>
        </row>
        <row r="173">
          <cell r="G173" t="str">
            <v>LH000476</v>
          </cell>
          <cell r="H173">
            <v>229688.38</v>
          </cell>
          <cell r="I173">
            <v>229688.38</v>
          </cell>
        </row>
        <row r="174">
          <cell r="G174" t="str">
            <v>LH002057</v>
          </cell>
          <cell r="H174">
            <v>241526.48</v>
          </cell>
          <cell r="I174">
            <v>241526.48</v>
          </cell>
        </row>
        <row r="175">
          <cell r="G175" t="str">
            <v>L6N87918</v>
          </cell>
          <cell r="H175">
            <v>271904.08</v>
          </cell>
          <cell r="I175">
            <v>271904.08</v>
          </cell>
        </row>
        <row r="176">
          <cell r="G176" t="str">
            <v>L6N85542</v>
          </cell>
          <cell r="H176">
            <v>271904.08</v>
          </cell>
          <cell r="I176">
            <v>271904.08</v>
          </cell>
        </row>
        <row r="177">
          <cell r="G177" t="str">
            <v>L6P01688</v>
          </cell>
          <cell r="H177">
            <v>239527.2</v>
          </cell>
          <cell r="I177">
            <v>239527.2</v>
          </cell>
        </row>
        <row r="178">
          <cell r="G178" t="str">
            <v>L6N93168</v>
          </cell>
          <cell r="H178">
            <v>239527.2</v>
          </cell>
          <cell r="I178">
            <v>239527.2</v>
          </cell>
        </row>
        <row r="179">
          <cell r="G179" t="str">
            <v>L6N89358</v>
          </cell>
          <cell r="H179">
            <v>239527.2</v>
          </cell>
          <cell r="I179">
            <v>239527.2</v>
          </cell>
        </row>
        <row r="180">
          <cell r="G180" t="str">
            <v>L6N88445</v>
          </cell>
          <cell r="H180">
            <v>239527.2</v>
          </cell>
          <cell r="I180">
            <v>239527.2</v>
          </cell>
        </row>
        <row r="181">
          <cell r="G181" t="str">
            <v>175</v>
          </cell>
          <cell r="I181">
            <v>67547592.089999989</v>
          </cell>
        </row>
        <row r="182">
          <cell r="G182" t="str">
            <v/>
          </cell>
        </row>
        <row r="183">
          <cell r="G183" t="str">
            <v>HW610542</v>
          </cell>
          <cell r="H183">
            <v>260000</v>
          </cell>
          <cell r="I183">
            <v>260000</v>
          </cell>
        </row>
        <row r="184">
          <cell r="G184" t="str">
            <v>FC816080</v>
          </cell>
          <cell r="H184">
            <v>232000</v>
          </cell>
          <cell r="I184">
            <v>232000</v>
          </cell>
        </row>
        <row r="185">
          <cell r="G185" t="str">
            <v>FC807585</v>
          </cell>
          <cell r="H185">
            <v>348000</v>
          </cell>
          <cell r="I185">
            <v>348000</v>
          </cell>
        </row>
        <row r="186">
          <cell r="G186" t="str">
            <v>FJ130321</v>
          </cell>
          <cell r="H186">
            <v>237200</v>
          </cell>
          <cell r="I186">
            <v>237200</v>
          </cell>
        </row>
        <row r="187">
          <cell r="G187" t="str">
            <v>GN760112</v>
          </cell>
          <cell r="H187">
            <v>238080</v>
          </cell>
          <cell r="I187">
            <v>119040</v>
          </cell>
        </row>
        <row r="188">
          <cell r="G188" t="str">
            <v>GT128635</v>
          </cell>
          <cell r="H188">
            <v>144000</v>
          </cell>
          <cell r="I188">
            <v>144000</v>
          </cell>
        </row>
        <row r="189">
          <cell r="G189" t="str">
            <v>HT551906</v>
          </cell>
          <cell r="H189">
            <v>185600</v>
          </cell>
          <cell r="I189">
            <v>185600</v>
          </cell>
        </row>
        <row r="190">
          <cell r="G190" t="str">
            <v>JT328554</v>
          </cell>
          <cell r="H190">
            <v>249200</v>
          </cell>
          <cell r="I190">
            <v>124600</v>
          </cell>
        </row>
        <row r="191">
          <cell r="G191" t="str">
            <v>GG246503</v>
          </cell>
          <cell r="H191">
            <v>311840</v>
          </cell>
          <cell r="I191">
            <v>311840</v>
          </cell>
        </row>
        <row r="192">
          <cell r="G192" t="str">
            <v>HR242907</v>
          </cell>
          <cell r="H192">
            <v>229280</v>
          </cell>
          <cell r="I192">
            <v>114640</v>
          </cell>
        </row>
        <row r="193">
          <cell r="G193" t="str">
            <v>JS583141</v>
          </cell>
          <cell r="H193">
            <v>161120</v>
          </cell>
          <cell r="I193">
            <v>161120</v>
          </cell>
        </row>
        <row r="194">
          <cell r="G194" t="str">
            <v>HL194754</v>
          </cell>
          <cell r="H194">
            <v>135120</v>
          </cell>
          <cell r="I194">
            <v>135120</v>
          </cell>
        </row>
        <row r="195">
          <cell r="G195" t="str">
            <v>JE001920</v>
          </cell>
          <cell r="H195">
            <v>162560</v>
          </cell>
          <cell r="I195">
            <v>81280</v>
          </cell>
        </row>
        <row r="196">
          <cell r="G196" t="str">
            <v>FM279550</v>
          </cell>
          <cell r="H196">
            <v>120800</v>
          </cell>
          <cell r="I196">
            <v>60400</v>
          </cell>
        </row>
        <row r="197">
          <cell r="G197" t="str">
            <v>G0770325</v>
          </cell>
          <cell r="H197">
            <v>86640</v>
          </cell>
          <cell r="I197">
            <v>86640</v>
          </cell>
        </row>
        <row r="198">
          <cell r="G198" t="str">
            <v>H3328337</v>
          </cell>
          <cell r="H198">
            <v>76320</v>
          </cell>
          <cell r="I198">
            <v>76320</v>
          </cell>
        </row>
        <row r="199">
          <cell r="G199" t="str">
            <v>H3325253</v>
          </cell>
          <cell r="H199">
            <v>103680</v>
          </cell>
          <cell r="I199">
            <v>51840</v>
          </cell>
        </row>
        <row r="200">
          <cell r="G200" t="str">
            <v>J7508740</v>
          </cell>
          <cell r="H200">
            <v>177200</v>
          </cell>
          <cell r="I200">
            <v>177200</v>
          </cell>
        </row>
        <row r="201">
          <cell r="G201" t="str">
            <v>JD126442</v>
          </cell>
          <cell r="H201">
            <v>105520</v>
          </cell>
          <cell r="I201">
            <v>105520</v>
          </cell>
        </row>
        <row r="202">
          <cell r="G202" t="str">
            <v>GH000591</v>
          </cell>
          <cell r="H202">
            <v>77920</v>
          </cell>
          <cell r="I202">
            <v>77920</v>
          </cell>
        </row>
        <row r="203">
          <cell r="G203" t="str">
            <v>JK147373</v>
          </cell>
          <cell r="H203">
            <v>227760</v>
          </cell>
          <cell r="I203">
            <v>227760</v>
          </cell>
        </row>
        <row r="204">
          <cell r="G204" t="str">
            <v>FE057053</v>
          </cell>
          <cell r="H204">
            <v>127680</v>
          </cell>
          <cell r="I204">
            <v>127680</v>
          </cell>
        </row>
        <row r="205">
          <cell r="G205" t="str">
            <v>GX047828</v>
          </cell>
          <cell r="H205">
            <v>168480</v>
          </cell>
          <cell r="I205">
            <v>168480</v>
          </cell>
        </row>
        <row r="206">
          <cell r="G206" t="str">
            <v>HY182152</v>
          </cell>
          <cell r="H206">
            <v>135280</v>
          </cell>
          <cell r="I206">
            <v>135280</v>
          </cell>
        </row>
        <row r="207">
          <cell r="G207" t="str">
            <v>HH543387</v>
          </cell>
          <cell r="H207">
            <v>340800</v>
          </cell>
          <cell r="I207">
            <v>340800</v>
          </cell>
        </row>
        <row r="208">
          <cell r="G208" t="str">
            <v>GD681780</v>
          </cell>
          <cell r="H208">
            <v>176720</v>
          </cell>
          <cell r="I208">
            <v>176720</v>
          </cell>
        </row>
        <row r="209">
          <cell r="G209" t="str">
            <v>HT527870</v>
          </cell>
          <cell r="H209">
            <v>208880</v>
          </cell>
          <cell r="I209">
            <v>208880</v>
          </cell>
        </row>
        <row r="210">
          <cell r="G210" t="str">
            <v>HT551489</v>
          </cell>
          <cell r="H210">
            <v>236080</v>
          </cell>
          <cell r="I210">
            <v>236080</v>
          </cell>
        </row>
        <row r="211">
          <cell r="G211" t="str">
            <v>HH006296</v>
          </cell>
          <cell r="H211">
            <v>92000</v>
          </cell>
          <cell r="I211">
            <v>92000</v>
          </cell>
        </row>
        <row r="212">
          <cell r="G212" t="str">
            <v>29</v>
          </cell>
          <cell r="I212">
            <v>4803960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-mit02" refreshedDate="43742.445504629628" createdVersion="5" refreshedVersion="5" minRefreshableVersion="3" recordCount="360" xr:uid="{00000000-000A-0000-FFFF-FFFF0A000000}">
  <cacheSource type="worksheet">
    <worksheetSource ref="A2:AG362" sheet="COMPRAS "/>
  </cacheSource>
  <cacheFields count="33">
    <cacheField name="FECHA DE COMPRA" numFmtId="0">
      <sharedItems containsDate="1" containsBlank="1" containsMixedTypes="1" minDate="2017-06-28T00:00:00" maxDate="2019-09-28T00:00:00"/>
    </cacheField>
    <cacheField name="MARCA" numFmtId="0">
      <sharedItems containsBlank="1"/>
    </cacheField>
    <cacheField name="VIN" numFmtId="0">
      <sharedItems containsBlank="1"/>
    </cacheField>
    <cacheField name="SERIE" numFmtId="0">
      <sharedItems containsBlank="1"/>
    </cacheField>
    <cacheField name="VALOR FACTURA" numFmtId="0">
      <sharedItems containsBlank="1" containsMixedTypes="1" containsNumber="1" minValue="65000" maxValue="1514313.28"/>
    </cacheField>
    <cacheField name="IMPORTE A PAGAR NETO" numFmtId="0">
      <sharedItems containsBlank="1" containsMixedTypes="1" containsNumber="1" minValue="60400" maxValue="1514313.28"/>
    </cacheField>
    <cacheField name="NOMBRE DEL PROVEEDOR " numFmtId="0">
      <sharedItems containsBlank="1"/>
    </cacheField>
    <cacheField name="STATUS UNIDAD" numFmtId="0">
      <sharedItems containsBlank="1"/>
    </cacheField>
    <cacheField name="UBICACIÓN" numFmtId="0">
      <sharedItems containsBlank="1"/>
    </cacheField>
    <cacheField name="FINANCIAMIENTO CON" numFmtId="0">
      <sharedItems containsBlank="1" count="11">
        <m/>
        <s v="FCA CONTI"/>
        <s v="FCA FIAT"/>
        <s v="FCA ALFA"/>
        <s v=" FCA SEMINUEVOS"/>
        <s v="FIVE CONTI"/>
        <s v="FIVE FIAT"/>
        <s v="BANCOMER"/>
        <s v="SEMINUEVOS"/>
        <s v="INTERCAMBIO"/>
        <s v="PROPIAS EN PISO"/>
      </sharedItems>
    </cacheField>
    <cacheField name="FECHA DE FINANCIAMIENTO" numFmtId="0">
      <sharedItems containsDate="1" containsBlank="1" containsMixedTypes="1" minDate="2018-10-25T00:00:00" maxDate="2019-10-04T00:00:00"/>
    </cacheField>
    <cacheField name="DIAS DE CREDITO" numFmtId="0">
      <sharedItems containsDate="1" containsString="0" containsBlank="1" containsMixedTypes="1" minDate="2018-11-17T00:00:00" maxDate="2020-03-31T00:00:00"/>
    </cacheField>
    <cacheField name="DIAS TRASCURRIDOS " numFmtId="0">
      <sharedItems containsString="0" containsBlank="1" containsNumber="1" containsInteger="1" minValue="-19" maxValue="321"/>
    </cacheField>
    <cacheField name="TASA" numFmtId="0">
      <sharedItems containsBlank="1" containsMixedTypes="1" containsNumber="1" minValue="9.1800000000000007E-2" maxValue="344"/>
    </cacheField>
    <cacheField name="INTERESES" numFmtId="0">
      <sharedItems containsString="0" containsBlank="1" containsNumber="1" minValue="66.575183419999988" maxValue="28048.515272844445"/>
    </cacheField>
    <cacheField name="IMPORTE A PAGAR" numFmtId="0">
      <sharedItems containsBlank="1" containsMixedTypes="1" containsNumber="1" minValue="0" maxValue="1514313.28"/>
    </cacheField>
    <cacheField name="REPORTE DE INVENTARIO" numFmtId="0">
      <sharedItems containsNonDate="0" containsString="0" containsBlank="1"/>
    </cacheField>
    <cacheField name="FECHA DE PAGO A FINAN" numFmtId="0">
      <sharedItems containsDate="1" containsBlank="1" containsMixedTypes="1" minDate="2017-12-19T00:00:00" maxDate="2017-12-20T00:00:00"/>
    </cacheField>
    <cacheField name="Serie Factura" numFmtId="0">
      <sharedItems containsBlank="1"/>
    </cacheField>
    <cacheField name="CLIENTE" numFmtId="0">
      <sharedItems containsBlank="1"/>
    </cacheField>
    <cacheField name="TIPO DE VENTA" numFmtId="0">
      <sharedItems containsBlank="1" count="15">
        <s v="FC FINANCIAL CONTI"/>
        <s v="FLOTILLA ESPECIAL"/>
        <s v="PISO"/>
        <s v="FLOTILLA ESPECIAL "/>
        <s v="CONTADO BANCO"/>
        <s v="VACH"/>
        <s v="OUT OF STOCK"/>
        <s v="CONTADO"/>
        <s v="VACH "/>
        <s v="INTERCAMBIO"/>
        <s v="EMPLEADO CHRYSLER/VACH"/>
        <m/>
        <s v="OUT OF STOCK " u="1"/>
        <s v="OUT OF STOCK/ VACH" u="1"/>
        <s v="OUT OF STOCK/VACH" u="1"/>
      </sharedItems>
    </cacheField>
    <cacheField name="FECHA DE VENTA" numFmtId="0">
      <sharedItems containsDate="1" containsBlank="1" containsMixedTypes="1" minDate="2019-08-31T00:00:00" maxDate="2019-10-04T00:00:00"/>
    </cacheField>
    <cacheField name="DIAS DE CREDITO CON PRORROGA" numFmtId="0">
      <sharedItems containsBlank="1"/>
    </cacheField>
    <cacheField name="FECHA VENCIMIENTO" numFmtId="0">
      <sharedItems containsNonDate="0" containsDate="1" containsString="0" containsBlank="1" minDate="2019-10-18T00:00:00" maxDate="2019-10-20T00:00:00"/>
    </cacheField>
    <cacheField name="VALOR DE VENTA" numFmtId="0">
      <sharedItems containsBlank="1" containsMixedTypes="1" containsNumber="1" minValue="134000" maxValue="1184900"/>
    </cacheField>
    <cacheField name="PAGO DEL CLIENTE" numFmtId="0">
      <sharedItems containsBlank="1" containsMixedTypes="1" containsNumber="1" minValue="50" maxValue="1184900"/>
    </cacheField>
    <cacheField name="SALDO ACTUAL" numFmtId="0">
      <sharedItems containsBlank="1" containsMixedTypes="1" containsNumber="1" minValue="0" maxValue="925900"/>
    </cacheField>
    <cacheField name="STATUS DE PAGO" numFmtId="0">
      <sharedItems containsBlank="1"/>
    </cacheField>
    <cacheField name="No. RECIBO" numFmtId="0">
      <sharedItems containsBlank="1"/>
    </cacheField>
    <cacheField name="FECHA DE RECIBO" numFmtId="0">
      <sharedItems containsDate="1" containsBlank="1" containsMixedTypes="1" minDate="2019-08-07T00:00:00" maxDate="2019-10-04T00:00:00"/>
    </cacheField>
    <cacheField name="FECHA DE SALIDA " numFmtId="0">
      <sharedItems containsDate="1" containsBlank="1" containsMixedTypes="1" minDate="2019-09-18T00:00:00" maxDate="2019-09-20T00:00:00"/>
    </cacheField>
    <cacheField name="VENDEDOR " numFmtId="0">
      <sharedItems containsBlank="1"/>
    </cacheField>
    <cacheField name="PRIORIDAD DE PAGO" numFmtId="0">
      <sharedItems containsBlank="1" count="12">
        <m/>
        <s v="3 NORMAL"/>
        <s v="1 IMPORTANTE"/>
        <s v="FIVE"/>
        <s v="SEMINUEVO CONTI"/>
        <s v="INTERCAMBIO CONTI"/>
        <s v="INTERCAMBIO FIAT"/>
        <s v="ACTIVOS FIJOS"/>
        <s v="PROPIA CONTI"/>
        <s v="PAGO" u="1"/>
        <s v="SUPER IMPORTANTE" u="1"/>
        <s v="bbv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s v="FC FINANCIAL CONTI"/>
    <m/>
    <m/>
    <s v="FC FINANCIAL CONTI"/>
    <m/>
    <m/>
    <m/>
    <m/>
    <s v="FC FINANCIAL CONTI"/>
    <x v="0"/>
    <m/>
    <m/>
    <m/>
    <m/>
    <m/>
    <s v="FC FINANCIAL CONTI"/>
    <m/>
    <s v="CF CREDIT CONTI"/>
    <m/>
    <s v="FC FINANCIAL CONTI"/>
    <x v="0"/>
    <m/>
    <m/>
    <m/>
    <m/>
    <m/>
    <s v="FC FINANCIAL CONTI"/>
    <m/>
    <m/>
    <s v="FC FINANCIAL CONTI"/>
    <m/>
    <m/>
    <x v="0"/>
  </r>
  <r>
    <s v="09/05/2019"/>
    <s v="RAM 4000 CHASIS CABINA &quot;PL&quot; 4X2 MTX 8 CIL"/>
    <s v="3C7WRAKT7KG557700"/>
    <s v="KG557700"/>
    <n v="518903.44"/>
    <n v="518903.44"/>
    <s v="FCA Financial Services"/>
    <s v="FINANCIADA"/>
    <s v="P3"/>
    <x v="1"/>
    <s v="09/05/2019"/>
    <d v="2019-06-01T00:00:00"/>
    <n v="125"/>
    <n v="148"/>
    <m/>
    <n v="518903.44"/>
    <m/>
    <m/>
    <s v="MAA000031567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09/05/2019"/>
    <s v="RAM 4000 CHASIS CABINA &quot;PL&quot; 4X2 MTX 8 CIL"/>
    <s v="3C7WRAKT7KG568874"/>
    <s v="KG568874"/>
    <n v="518903.44"/>
    <n v="518903.44"/>
    <s v="FCA Financial Services"/>
    <s v="FINANCIADA"/>
    <s v="P3"/>
    <x v="1"/>
    <s v="09/05/2019"/>
    <d v="2019-06-01T00:00:00"/>
    <n v="125"/>
    <n v="148"/>
    <m/>
    <n v="518903.44"/>
    <m/>
    <m/>
    <s v="MAA000031568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11/05/2019"/>
    <s v="RAM 4000 CHASIS CABINA &quot;PL&quot; 4X2 MTX 8 CIL"/>
    <s v="3C7WRAKT2KG557703"/>
    <s v="KG557703"/>
    <n v="518903.44"/>
    <n v="518903.44"/>
    <s v="FCA Financial Services"/>
    <s v="FINANCIADA"/>
    <s v="P3"/>
    <x v="1"/>
    <s v="11/05/2019"/>
    <d v="2019-06-03T00:00:00"/>
    <n v="123"/>
    <n v="146"/>
    <m/>
    <n v="518903.44"/>
    <m/>
    <m/>
    <s v="MAA000031569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14/05/2019"/>
    <s v="RAM 4000 CHASIS CABINA &quot;PL&quot; 4X2 MTX 8 CIL"/>
    <s v="3C7WRAKT9KG557701"/>
    <s v="KG557701"/>
    <n v="518903.44"/>
    <n v="518903.44"/>
    <s v="FCA Financial Services"/>
    <s v="FINANCIADA"/>
    <s v="P1"/>
    <x v="1"/>
    <s v="14/05/2019"/>
    <d v="2019-06-06T00:00:00"/>
    <n v="120"/>
    <n v="143"/>
    <m/>
    <n v="518903.44"/>
    <m/>
    <m/>
    <s v="MAA000031570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14/05/2019"/>
    <s v="RAM 4000 CHASIS CABINA &quot;PL&quot; 4X2 MTX 8 CIL"/>
    <s v="3C7WRAKT0KG557702"/>
    <s v="KG557702"/>
    <n v="518903.44"/>
    <n v="518903.44"/>
    <s v="FCA Financial Services"/>
    <s v="FINANCIADA"/>
    <s v="P3"/>
    <x v="1"/>
    <s v="14/05/2019"/>
    <d v="2019-06-06T00:00:00"/>
    <n v="120"/>
    <n v="143"/>
    <m/>
    <n v="518903.44"/>
    <m/>
    <m/>
    <s v="MAA000031571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29/05/2019"/>
    <s v="RAM 4000 CHASIS CABINA &quot;PL&quot; 4X2 MTX 8 CIL"/>
    <s v="3C7WRAKT5KG561566"/>
    <s v="KG561566"/>
    <n v="518903.44"/>
    <n v="518903.44"/>
    <s v="FCA Financial Services"/>
    <s v="FINANCIADA"/>
    <s v="LERMA"/>
    <x v="1"/>
    <s v="29/05/2019"/>
    <d v="2019-06-21T00:00:00"/>
    <n v="105"/>
    <n v="128"/>
    <m/>
    <n v="518903.44"/>
    <m/>
    <m/>
    <s v="MAA000031572"/>
    <s v="PROMOTORA DEL DESARROLLO DE AMERICA LATINA SA DE CV"/>
    <x v="1"/>
    <d v="2019-09-30T00:00:00"/>
    <m/>
    <m/>
    <n v="552000"/>
    <m/>
    <n v="552000"/>
    <m/>
    <m/>
    <m/>
    <m/>
    <s v="TORTI BECERRIL RENE OMAR"/>
    <x v="1"/>
  </r>
  <r>
    <s v="19/06/2019"/>
    <s v="RAM 4000 CREW CAB CHASSIS CABINA / V8 6.4L 8AT 4X4"/>
    <s v="3C7WRBLJ5KG603124"/>
    <s v="KG603124"/>
    <n v="671255.17"/>
    <n v="671255.17"/>
    <s v="FCA Financial Services"/>
    <s v="FINANCIADA"/>
    <m/>
    <x v="1"/>
    <s v="19/06/2019"/>
    <d v="2019-07-12T00:00:00"/>
    <n v="84"/>
    <n v="107"/>
    <m/>
    <n v="671255.17"/>
    <m/>
    <m/>
    <m/>
    <m/>
    <x v="2"/>
    <m/>
    <m/>
    <m/>
    <m/>
    <m/>
    <n v="0"/>
    <m/>
    <m/>
    <m/>
    <m/>
    <m/>
    <x v="1"/>
  </r>
  <r>
    <s v="19/06/2019"/>
    <s v="RAM 4000 CREW CAB CHASSIS CABINA / V8 6.4L 8AT 4X4"/>
    <s v="3C7WRBLJ7KG603125"/>
    <s v="KG603125"/>
    <n v="671255.17"/>
    <n v="671255.17"/>
    <s v="FCA Financial Services"/>
    <s v="FINANCIADA"/>
    <m/>
    <x v="1"/>
    <s v="19/06/2019"/>
    <d v="2019-07-12T00:00:00"/>
    <n v="84"/>
    <n v="107"/>
    <m/>
    <n v="671255.17"/>
    <m/>
    <m/>
    <m/>
    <m/>
    <x v="2"/>
    <m/>
    <m/>
    <m/>
    <m/>
    <m/>
    <n v="0"/>
    <m/>
    <m/>
    <m/>
    <m/>
    <m/>
    <x v="1"/>
  </r>
  <r>
    <s v="16/07/2019"/>
    <s v="RAM 4000 CHASIS CABINA &quot;PL&quot; 4X2 MTX 8 CIL"/>
    <s v="3C7WRAKT7KG575792"/>
    <s v="KG575792"/>
    <n v="509107.35"/>
    <n v="509107.35"/>
    <s v="FCA Financial Services"/>
    <s v="FINANCIADA"/>
    <s v="P1"/>
    <x v="1"/>
    <s v="16/07/2019"/>
    <d v="2019-08-08T00:00:00"/>
    <n v="57"/>
    <n v="80"/>
    <m/>
    <n v="509107.35"/>
    <m/>
    <m/>
    <m/>
    <m/>
    <x v="2"/>
    <m/>
    <m/>
    <m/>
    <m/>
    <m/>
    <n v="0"/>
    <m/>
    <m/>
    <m/>
    <m/>
    <m/>
    <x v="1"/>
  </r>
  <r>
    <s v="03/08/2019"/>
    <s v="RAM 4000 CHASIS CABINA &quot;PL&quot; 4X2 MTX 8 CIL"/>
    <s v="3C7WRAKT5KG575791"/>
    <s v="KG575791"/>
    <n v="509107.35"/>
    <n v="509107.35"/>
    <s v="FCA Financial Services"/>
    <s v="FINANCIADA"/>
    <s v="LERMA"/>
    <x v="1"/>
    <s v="03/08/2019"/>
    <d v="2019-08-26T00:00:00"/>
    <n v="39"/>
    <n v="62"/>
    <m/>
    <n v="509107.35"/>
    <m/>
    <m/>
    <m/>
    <m/>
    <x v="2"/>
    <m/>
    <m/>
    <m/>
    <m/>
    <m/>
    <n v="0"/>
    <m/>
    <m/>
    <m/>
    <m/>
    <m/>
    <x v="1"/>
  </r>
  <r>
    <s v="07/08/2019"/>
    <s v="RAM 4000 CHASIS CABINA &quot;PL&quot; 4X2 MTX 8 CIL"/>
    <s v="3C7WRAKT5KG575788"/>
    <s v="KG575788"/>
    <n v="509107.35"/>
    <n v="509107.35"/>
    <s v="FCA Financial Services"/>
    <s v="FINANCIADA"/>
    <s v="P1"/>
    <x v="1"/>
    <s v="07/08/2019"/>
    <d v="2019-08-30T00:00:00"/>
    <n v="35"/>
    <n v="58"/>
    <m/>
    <n v="509107.35"/>
    <m/>
    <m/>
    <m/>
    <m/>
    <x v="2"/>
    <m/>
    <m/>
    <m/>
    <m/>
    <m/>
    <n v="0"/>
    <m/>
    <m/>
    <m/>
    <m/>
    <m/>
    <x v="1"/>
  </r>
  <r>
    <s v="07/08/2019"/>
    <s v="RAM 4000 CHASIS CABINA &quot;PL&quot; 4X2 MTX 8 CIL"/>
    <s v="3C7WRAKT2KG575795"/>
    <s v="KG575795"/>
    <n v="509107.35"/>
    <n v="509107.35"/>
    <s v="FCA Financial Services"/>
    <s v="FINANCIADA"/>
    <s v="LERMA"/>
    <x v="1"/>
    <s v="07/08/2019"/>
    <d v="2019-08-30T00:00:00"/>
    <n v="35"/>
    <n v="58"/>
    <m/>
    <n v="509107.35"/>
    <m/>
    <m/>
    <m/>
    <m/>
    <x v="2"/>
    <m/>
    <m/>
    <m/>
    <m/>
    <m/>
    <n v="0"/>
    <m/>
    <m/>
    <m/>
    <m/>
    <m/>
    <x v="1"/>
  </r>
  <r>
    <s v="07/08/2019"/>
    <s v="RAM 4000 CHASIS CABINA &quot;PL&quot; 4X2 MTX 8 CIL"/>
    <s v="3C7WRAKT4KG575796"/>
    <s v="KG575796"/>
    <n v="524706.86"/>
    <n v="524706.86"/>
    <s v="FCA Financial Services"/>
    <s v="FINANCIADA"/>
    <s v="P1"/>
    <x v="1"/>
    <s v="07/08/2019"/>
    <d v="2019-08-30T00:00:00"/>
    <n v="35"/>
    <n v="58"/>
    <m/>
    <n v="524706.86"/>
    <m/>
    <m/>
    <s v="MAA000031573"/>
    <s v="PROMOTORA DEL DESARROLLO DE AMERICA LATINA SA DE CV"/>
    <x v="3"/>
    <d v="2019-09-30T00:00:00"/>
    <m/>
    <m/>
    <n v="552000"/>
    <m/>
    <n v="552000"/>
    <m/>
    <m/>
    <m/>
    <m/>
    <s v="TORTI BECERRIL RENE OMAR"/>
    <x v="1"/>
  </r>
  <r>
    <s v="07/08/2019"/>
    <s v="RAM 4000 CHASIS CABINA &quot;PL&quot; 4X2 MTX 8 CIL"/>
    <s v="3C7WRAKT5KG585902"/>
    <s v="KG585902"/>
    <n v="509107.35"/>
    <n v="509107.35"/>
    <s v="FCA Financial Services"/>
    <s v="FINANCIADA"/>
    <s v="LERMA"/>
    <x v="1"/>
    <s v="07/08/2019"/>
    <d v="2019-08-30T00:00:00"/>
    <n v="35"/>
    <n v="58"/>
    <m/>
    <n v="509107.35"/>
    <m/>
    <m/>
    <m/>
    <m/>
    <x v="2"/>
    <m/>
    <m/>
    <m/>
    <m/>
    <m/>
    <n v="0"/>
    <m/>
    <m/>
    <m/>
    <m/>
    <m/>
    <x v="1"/>
  </r>
  <r>
    <s v="27/08/2019"/>
    <s v="RAM 4000 CHASIS CABINA &quot;PL&quot; 4X2 MTX 8 CIL"/>
    <s v="3C7WRAKT1KG594340"/>
    <s v="KG594340"/>
    <n v="509107.35"/>
    <n v="509107.35"/>
    <s v="FCA Financial Services"/>
    <s v="FINANCIADA"/>
    <m/>
    <x v="1"/>
    <s v="27/08/2019"/>
    <d v="2019-09-19T00:00:00"/>
    <n v="15"/>
    <n v="38"/>
    <m/>
    <n v="509107.35"/>
    <m/>
    <m/>
    <m/>
    <m/>
    <x v="2"/>
    <m/>
    <m/>
    <m/>
    <m/>
    <m/>
    <n v="0"/>
    <m/>
    <m/>
    <m/>
    <m/>
    <m/>
    <x v="1"/>
  </r>
  <r>
    <s v="29/08/2019"/>
    <s v="RAM 4000 CHASIS CABINA &quot;PL&quot; 4X2 MTX 8 CIL"/>
    <s v="3C7WRAKT3KG595957"/>
    <s v="KG595957"/>
    <n v="509107.35"/>
    <n v="509107.35"/>
    <s v="FCA Financial Services"/>
    <s v="FINANCIADA"/>
    <m/>
    <x v="1"/>
    <s v="29/08/2019"/>
    <d v="2019-09-21T00:00:00"/>
    <n v="13"/>
    <n v="36"/>
    <m/>
    <n v="509107.35"/>
    <m/>
    <m/>
    <m/>
    <m/>
    <x v="2"/>
    <m/>
    <m/>
    <m/>
    <m/>
    <m/>
    <n v="0"/>
    <m/>
    <m/>
    <m/>
    <m/>
    <m/>
    <x v="1"/>
  </r>
  <r>
    <s v="29/08/2019"/>
    <s v="DODGE ATTITUDE SE MT"/>
    <s v="ML3AB26J7KH008713"/>
    <s v="KH008713"/>
    <n v="195996.94"/>
    <n v="195996.94"/>
    <s v="FCA Financial Services"/>
    <s v="FINANCIADA"/>
    <s v="ATLACOMULCO"/>
    <x v="1"/>
    <s v="29/08/2019"/>
    <d v="2019-09-21T00:00:00"/>
    <n v="13"/>
    <n v="36"/>
    <m/>
    <n v="195996.94"/>
    <m/>
    <m/>
    <s v="AA000002091"/>
    <s v="BERNAL GARDUÑO SANTA"/>
    <x v="4"/>
    <d v="2019-09-03T00:00:00"/>
    <m/>
    <m/>
    <n v="197900"/>
    <n v="197900"/>
    <n v="0"/>
    <s v="PAGO DE UNIDAD"/>
    <s v="FRCA000001693, FPCA000000591, FPCA000000594, FPCA000000595"/>
    <s v="03,25,27/09/2019, 03/10/2019"/>
    <m/>
    <s v="HERNANDEZ SALAZAR GABRIEL"/>
    <x v="2"/>
  </r>
  <r>
    <s v="29/08/2019"/>
    <s v="DODGE ATTITUDE SE MT"/>
    <s v="ML3AB26J8KH008719"/>
    <s v="KH008719"/>
    <n v="195996.94"/>
    <n v="195996.94"/>
    <s v="FCA Financial Services"/>
    <s v="FINANCIADA"/>
    <s v="P1"/>
    <x v="1"/>
    <s v="29/08/2019"/>
    <d v="2019-09-21T00:00:00"/>
    <n v="13"/>
    <n v="36"/>
    <m/>
    <n v="195996.94"/>
    <m/>
    <m/>
    <s v="MAA000031452"/>
    <s v="CAMACHO ESTRELLA HARLEY GABRIEL"/>
    <x v="5"/>
    <d v="2019-09-03T00:00:00"/>
    <m/>
    <m/>
    <n v="189900"/>
    <m/>
    <n v="189900"/>
    <m/>
    <m/>
    <m/>
    <m/>
    <s v="PIEDRA REMIGIO JUAN CARLOS"/>
    <x v="1"/>
  </r>
  <r>
    <s v="30/08/2019"/>
    <s v="DODGE NEON MANUAL"/>
    <s v="ZFAADAAR0L6P01688"/>
    <s v="L6P01688"/>
    <n v="239527.2"/>
    <n v="239527.2"/>
    <s v="FCA Financial Services"/>
    <s v="FINANCIADA"/>
    <m/>
    <x v="1"/>
    <s v="30/08/2019"/>
    <d v="2019-09-22T00:00:00"/>
    <n v="12"/>
    <n v="35"/>
    <m/>
    <n v="239527.2"/>
    <m/>
    <m/>
    <s v="AA000002093"/>
    <s v="GUARDIA GARDUÑO ISMAEL"/>
    <x v="5"/>
    <d v="2019-09-03T00:00:00"/>
    <m/>
    <m/>
    <n v="265400"/>
    <m/>
    <n v="265400"/>
    <m/>
    <m/>
    <m/>
    <m/>
    <s v="HERNANDEZ SALAZAR GABRIEL"/>
    <x v="1"/>
  </r>
  <r>
    <s v="04/09/2019"/>
    <s v="DODGE GRAND CARAVAN SXT"/>
    <s v="2C4RDGBG9KR748589"/>
    <s v="KR748589"/>
    <n v="491760.21"/>
    <n v="491760.21"/>
    <s v="FCA Financial Services"/>
    <s v="FINANCIADA"/>
    <s v="SALA"/>
    <x v="1"/>
    <s v="04/09/2019"/>
    <d v="2019-09-27T00:00:00"/>
    <n v="7"/>
    <n v="30"/>
    <m/>
    <n v="491760.21"/>
    <m/>
    <m/>
    <m/>
    <m/>
    <x v="2"/>
    <m/>
    <m/>
    <m/>
    <m/>
    <m/>
    <n v="0"/>
    <m/>
    <m/>
    <m/>
    <m/>
    <m/>
    <x v="3"/>
  </r>
  <r>
    <s v="04/09/2019"/>
    <s v="DODGE ATTITUDE SE AT"/>
    <s v="ML3AB26J7KH009831"/>
    <s v="KH009831"/>
    <n v="214208.06"/>
    <n v="214208.06"/>
    <s v="FCA Financial Services"/>
    <s v="FINANCIADA"/>
    <s v="P1"/>
    <x v="1"/>
    <s v="04/09/2019"/>
    <d v="2019-09-27T00:00:00"/>
    <n v="7"/>
    <n v="30"/>
    <m/>
    <n v="214208.06"/>
    <m/>
    <m/>
    <m/>
    <m/>
    <x v="2"/>
    <m/>
    <m/>
    <m/>
    <m/>
    <m/>
    <n v="0"/>
    <m/>
    <m/>
    <m/>
    <m/>
    <m/>
    <x v="3"/>
  </r>
  <r>
    <s v="04/09/2019"/>
    <s v="DODGE ATTITUDE SE AT"/>
    <s v="ML3AB26J9KH009832"/>
    <s v="KH009832"/>
    <n v="214208.06"/>
    <n v="214208.06"/>
    <s v="FCA Financial Services"/>
    <s v="FINANCIADA"/>
    <s v="BODY"/>
    <x v="1"/>
    <s v="04/09/2019"/>
    <d v="2019-09-27T00:00:00"/>
    <n v="7"/>
    <n v="30"/>
    <m/>
    <n v="214208.06"/>
    <m/>
    <m/>
    <m/>
    <m/>
    <x v="2"/>
    <m/>
    <m/>
    <m/>
    <m/>
    <m/>
    <n v="0"/>
    <m/>
    <m/>
    <m/>
    <m/>
    <m/>
    <x v="3"/>
  </r>
  <r>
    <s v="05/09/2019"/>
    <s v="JEEP COMPASS LIMITED PREMIUM 4X2 ATX6 2.4L"/>
    <s v="3C4NJCCB6LT110446"/>
    <s v="LT110446"/>
    <n v="546853.94999999995"/>
    <n v="546853.94999999995"/>
    <s v="FCA Financial Services"/>
    <s v="FINANCIADA"/>
    <s v="LERMA"/>
    <x v="1"/>
    <s v="05/09/2019"/>
    <d v="2019-09-28T00:00:00"/>
    <n v="6"/>
    <n v="29"/>
    <m/>
    <n v="546853.94999999995"/>
    <m/>
    <m/>
    <m/>
    <m/>
    <x v="2"/>
    <m/>
    <m/>
    <m/>
    <m/>
    <m/>
    <n v="0"/>
    <m/>
    <m/>
    <m/>
    <m/>
    <m/>
    <x v="3"/>
  </r>
  <r>
    <s v="05/09/2019"/>
    <s v="JEEP COMPASS LIMITED PREMIUM 4X2 ATX6 2.4L"/>
    <s v="3C4NJCCB8LT110447"/>
    <s v="LT110447"/>
    <n v="546853.94999999995"/>
    <n v="546853.94999999995"/>
    <s v="FCA Financial Services"/>
    <s v="FINANCIADA"/>
    <s v="ATLACOMULCO"/>
    <x v="1"/>
    <s v="05/09/2019"/>
    <d v="2019-09-28T00:00:00"/>
    <n v="6"/>
    <n v="29"/>
    <m/>
    <n v="546853.94999999995"/>
    <m/>
    <m/>
    <m/>
    <m/>
    <x v="2"/>
    <m/>
    <m/>
    <m/>
    <m/>
    <m/>
    <n v="0"/>
    <m/>
    <m/>
    <m/>
    <m/>
    <m/>
    <x v="3"/>
  </r>
  <r>
    <s v="09/09/2019"/>
    <s v="DODGE ATTITUDE SXT AT"/>
    <s v="ML3AB56J7LH001571"/>
    <s v="LH001571"/>
    <n v="241526.48"/>
    <n v="241526.48"/>
    <s v="FCA Financial Services"/>
    <s v="FINANCIADA"/>
    <s v="SALA"/>
    <x v="1"/>
    <s v="09/09/2019"/>
    <d v="2019-10-02T00:00:00"/>
    <n v="2"/>
    <n v="25"/>
    <m/>
    <n v="241526.48"/>
    <m/>
    <m/>
    <m/>
    <m/>
    <x v="2"/>
    <m/>
    <m/>
    <m/>
    <m/>
    <m/>
    <n v="0"/>
    <m/>
    <m/>
    <m/>
    <m/>
    <m/>
    <x v="3"/>
  </r>
  <r>
    <s v="11/09/2019"/>
    <s v="RAM 4000 CHASIS PLANO CORTO &quot;P&quot; (143.5&quot;) / V8 5MT 4X2"/>
    <s v="3C7WRAHT3KG651791"/>
    <s v="KG651791"/>
    <n v="496518.43"/>
    <n v="496518.43"/>
    <s v="FCA Financial Services"/>
    <s v="FINANCIADA"/>
    <s v="ENTREGADA/correo 26/09/2019"/>
    <x v="1"/>
    <s v="11/09/2019"/>
    <d v="2019-10-04T00:00:00"/>
    <n v="0"/>
    <n v="23"/>
    <m/>
    <n v="496518.43"/>
    <m/>
    <m/>
    <s v="MAA000031491"/>
    <s v="GAS IMPERIAL, S.A. DE C.V."/>
    <x v="1"/>
    <d v="2019-09-13T00:00:00"/>
    <s v="30 DN ENTREGA"/>
    <d v="2019-10-19T00:00:00"/>
    <n v="522600"/>
    <m/>
    <n v="522600"/>
    <m/>
    <m/>
    <m/>
    <d v="2019-09-19T00:00:00"/>
    <s v="TORTI BECERRIL RENE OMAR"/>
    <x v="1"/>
  </r>
  <r>
    <s v="11/09/2019"/>
    <s v="RAM 4000 CHASIS PLANO CORTO &quot;P&quot; (143.5&quot;) / V8 5MT 4X2"/>
    <s v="3C7WRAHT5KG651792"/>
    <s v="KG651792"/>
    <n v="496518.43"/>
    <n v="496518.43"/>
    <s v="FCA Financial Services"/>
    <s v="FINANCIADA"/>
    <s v="ENTREGADA/correo 26/09/2019"/>
    <x v="1"/>
    <s v="11/09/2019"/>
    <d v="2019-10-04T00:00:00"/>
    <n v="0"/>
    <n v="23"/>
    <m/>
    <n v="496518.43"/>
    <m/>
    <m/>
    <s v="MAA000031490"/>
    <s v="GAS IMPERIAL, S.A. DE C.V."/>
    <x v="1"/>
    <d v="2019-09-13T00:00:00"/>
    <s v="30 DN ENTREGA"/>
    <d v="2019-10-19T00:00:00"/>
    <n v="522600"/>
    <m/>
    <n v="522600"/>
    <m/>
    <m/>
    <m/>
    <d v="2019-09-19T00:00:00"/>
    <s v="TORTI BECERRIL RENE OMAR"/>
    <x v="1"/>
  </r>
  <r>
    <s v="11/09/2019"/>
    <s v="RAM 4000 CHASIS PLANO CORTO &quot;P&quot; (143.5&quot;) / V8 5MT 4X2"/>
    <s v="3C7WRAHT9KG657952"/>
    <s v="KG657952"/>
    <n v="496518.43"/>
    <n v="496518.43"/>
    <s v="FCA Financial Services"/>
    <s v="FINANCIADA"/>
    <s v="ENTREGADA/correo 26/09/2019"/>
    <x v="1"/>
    <s v="11/09/2019"/>
    <d v="2019-10-04T00:00:00"/>
    <n v="0"/>
    <n v="23"/>
    <m/>
    <n v="496518.43"/>
    <m/>
    <m/>
    <s v="MAA000031489"/>
    <s v="GAS IMPERIAL, S.A. DE C.V."/>
    <x v="1"/>
    <d v="2019-09-13T00:00:00"/>
    <s v="30 DN ENTREGA"/>
    <d v="2019-10-19T00:00:00"/>
    <n v="522600"/>
    <m/>
    <n v="522600"/>
    <m/>
    <m/>
    <m/>
    <d v="2019-09-19T00:00:00"/>
    <s v="TORTI BECERRIL RENE OMAR"/>
    <x v="1"/>
  </r>
  <r>
    <s v="11/09/2019"/>
    <s v="RAM 4000 CHASIS PLANO CORTO &quot;P&quot; (143.5&quot;) / V8 5MT 4X2"/>
    <s v="3C7WRAHT0KG657953"/>
    <s v="KG657953"/>
    <n v="496518.43"/>
    <n v="496518.43"/>
    <s v="FCA Financial Services"/>
    <s v="FINANCIADA"/>
    <s v="ENTREGADA/correo 26/09/2019"/>
    <x v="1"/>
    <s v="11/09/2019"/>
    <d v="2019-10-04T00:00:00"/>
    <n v="0"/>
    <n v="23"/>
    <m/>
    <n v="496518.43"/>
    <m/>
    <m/>
    <s v="MAA000031488"/>
    <s v="GAS IMPERIAL, S.A. DE C.V."/>
    <x v="1"/>
    <d v="2019-09-13T00:00:00"/>
    <s v="30 DN ENTREGA"/>
    <d v="2019-10-19T00:00:00"/>
    <n v="522600"/>
    <m/>
    <n v="522600"/>
    <m/>
    <m/>
    <m/>
    <d v="2019-09-19T00:00:00"/>
    <s v="TORTI BECERRIL RENE OMAR"/>
    <x v="1"/>
  </r>
  <r>
    <s v="11/09/2019"/>
    <s v="RAM 4000 CHASIS PLANO CORTO &quot;P&quot; (143.5&quot;) / V8 5MT 4X2"/>
    <s v="3C7WRAHT2KG657954"/>
    <s v="KG657954"/>
    <n v="496518.43"/>
    <n v="496518.43"/>
    <s v="FCA Financial Services"/>
    <s v="FINANCIADA"/>
    <s v="ENTREGADA/correo 26/09/2019"/>
    <x v="1"/>
    <s v="11/09/2019"/>
    <d v="2019-10-04T00:00:00"/>
    <n v="0"/>
    <n v="23"/>
    <m/>
    <n v="496518.43"/>
    <m/>
    <m/>
    <s v="MAA000031487"/>
    <s v="GAS IMPERIAL, S.A. DE C.V."/>
    <x v="1"/>
    <d v="2019-09-13T00:00:00"/>
    <s v="30 DN ENTREGA"/>
    <d v="2019-10-19T00:00:00"/>
    <n v="522600"/>
    <m/>
    <n v="522600"/>
    <m/>
    <m/>
    <m/>
    <d v="2019-09-19T00:00:00"/>
    <s v="TORTI BECERRIL RENE OMAR"/>
    <x v="1"/>
  </r>
  <r>
    <s v="11/09/2019"/>
    <s v="JEEP WRANGLER UNLIMITED RUBICON"/>
    <s v="1C4HJXFG0LW117981"/>
    <s v="LW117981"/>
    <n v="825226.38"/>
    <n v="825226.38"/>
    <s v="FCA Financial Services"/>
    <s v="FINANCIADA"/>
    <s v="SALA"/>
    <x v="1"/>
    <s v="11/09/2019"/>
    <d v="2019-10-04T00:00:00"/>
    <n v="0"/>
    <n v="23"/>
    <m/>
    <n v="825226.38"/>
    <m/>
    <m/>
    <m/>
    <m/>
    <x v="2"/>
    <m/>
    <m/>
    <m/>
    <m/>
    <m/>
    <n v="0"/>
    <m/>
    <m/>
    <m/>
    <m/>
    <m/>
    <x v="1"/>
  </r>
  <r>
    <s v="17/09/2019"/>
    <s v="JEEP GRAND CHEROKEE LIMITED 4X4 8 CIL"/>
    <s v="1C4RJFBT6LC105790"/>
    <s v="LC105790"/>
    <n v="797720.99"/>
    <n v="797720.99"/>
    <s v="FCA Financial Services"/>
    <s v="FINANCIADA"/>
    <s v="P1"/>
    <x v="1"/>
    <s v="17/09/2019"/>
    <d v="2019-10-10T00:00:00"/>
    <n v="-6"/>
    <n v="17"/>
    <m/>
    <n v="797720.99"/>
    <m/>
    <m/>
    <m/>
    <m/>
    <x v="2"/>
    <m/>
    <m/>
    <m/>
    <m/>
    <m/>
    <n v="0"/>
    <m/>
    <m/>
    <m/>
    <m/>
    <m/>
    <x v="1"/>
  </r>
  <r>
    <s v="17/09/2019"/>
    <s v="JEEP GRAND CHEROKEE LIMITED 3.6L V6 4X2"/>
    <s v="1C4RJEBG9LC113704"/>
    <s v="LC113704"/>
    <n v="736501.96"/>
    <n v="736501.96"/>
    <s v="FCA Financial Services"/>
    <s v="FINANCIADA"/>
    <s v="P1"/>
    <x v="1"/>
    <s v="17/09/2019"/>
    <d v="2019-10-10T00:00:00"/>
    <n v="-6"/>
    <n v="17"/>
    <m/>
    <n v="736501.96"/>
    <m/>
    <m/>
    <m/>
    <m/>
    <x v="2"/>
    <m/>
    <m/>
    <m/>
    <m/>
    <m/>
    <n v="0"/>
    <m/>
    <m/>
    <m/>
    <m/>
    <m/>
    <x v="1"/>
  </r>
  <r>
    <d v="2019-09-19T00:00:00"/>
    <s v="JEEP RENEGADE LIMITED 1.8L 6AT"/>
    <s v="988611532LK274923"/>
    <s v="LK274923"/>
    <n v="437222.68"/>
    <n v="437222.68"/>
    <s v="FCA Financial Services"/>
    <s v="FINANCIADA"/>
    <m/>
    <x v="1"/>
    <d v="2019-09-19T00:00:00"/>
    <d v="2019-10-12T00:00:00"/>
    <n v="-8"/>
    <n v="15"/>
    <m/>
    <n v="437222.68"/>
    <m/>
    <m/>
    <m/>
    <m/>
    <x v="2"/>
    <m/>
    <m/>
    <m/>
    <m/>
    <m/>
    <n v="0"/>
    <m/>
    <m/>
    <m/>
    <m/>
    <m/>
    <x v="1"/>
  </r>
  <r>
    <d v="2019-09-19T00:00:00"/>
    <s v="JEEP WRANGLER RUBICON"/>
    <s v="1C4HJXCGXLW130080"/>
    <s v="LW130080"/>
    <n v="709936.05"/>
    <n v="709936.05"/>
    <s v="FCA Financial Services"/>
    <s v="FINANCIADA"/>
    <s v="P1"/>
    <x v="1"/>
    <d v="2019-09-19T00:00:00"/>
    <d v="2019-10-12T00:00:00"/>
    <n v="-8"/>
    <n v="15"/>
    <m/>
    <n v="709936.05"/>
    <m/>
    <m/>
    <m/>
    <m/>
    <x v="2"/>
    <m/>
    <m/>
    <m/>
    <m/>
    <m/>
    <n v="0"/>
    <m/>
    <m/>
    <m/>
    <m/>
    <m/>
    <x v="1"/>
  </r>
  <r>
    <s v="20/09/2019"/>
    <s v="JEEP WRANGLER UNLIMITED RUBICON"/>
    <s v="1C4HJXFG3LW117988"/>
    <s v="LW117988"/>
    <n v="825226.38"/>
    <n v="825226.38"/>
    <s v="FCA Financial Services"/>
    <s v="FINANCIADA"/>
    <s v="SALA"/>
    <x v="1"/>
    <s v="20/09/2019"/>
    <d v="2019-10-13T00:00:00"/>
    <n v="-9"/>
    <n v="14"/>
    <m/>
    <n v="825226.38"/>
    <m/>
    <m/>
    <m/>
    <m/>
    <x v="2"/>
    <m/>
    <m/>
    <m/>
    <m/>
    <m/>
    <n v="0"/>
    <m/>
    <m/>
    <m/>
    <m/>
    <m/>
    <x v="1"/>
  </r>
  <r>
    <s v="24/09/2019"/>
    <s v="JEEP GRAND CHEROKEE LIMITED 3.6L V6 4X2"/>
    <s v="1C4RJEBGXLC145190"/>
    <s v="LC145190"/>
    <n v="736501.96"/>
    <n v="736501.96"/>
    <s v="FCA Financial Services"/>
    <s v="FINANCIADA"/>
    <m/>
    <x v="1"/>
    <s v="24/09/2019"/>
    <d v="2019-10-17T00:00:00"/>
    <n v="-13"/>
    <n v="10"/>
    <m/>
    <n v="736501.96"/>
    <m/>
    <m/>
    <m/>
    <m/>
    <x v="2"/>
    <m/>
    <m/>
    <m/>
    <m/>
    <m/>
    <n v="0"/>
    <m/>
    <m/>
    <m/>
    <m/>
    <m/>
    <x v="1"/>
  </r>
  <r>
    <s v="24/09/2019"/>
    <s v="JEEP WRANGLER MILD-HYBRID 2L 4C NIGHT EAGLE"/>
    <s v="1C4HJXEN1LW125250"/>
    <s v="LW125250"/>
    <n v="853850.02"/>
    <n v="853850.02"/>
    <s v="FCA Financial Services"/>
    <s v="FINANCIADA"/>
    <s v="SALA"/>
    <x v="1"/>
    <s v="24/09/2019"/>
    <d v="2019-10-17T00:00:00"/>
    <n v="-13"/>
    <n v="10"/>
    <m/>
    <n v="853850.02"/>
    <m/>
    <m/>
    <s v="MAA000031588"/>
    <s v="GONZALEZ TAPIA RAUL"/>
    <x v="4"/>
    <d v="2019-10-03T00:00:00"/>
    <m/>
    <m/>
    <n v="947900"/>
    <n v="947900"/>
    <n v="0"/>
    <s v="PAGO DE UNIDAD"/>
    <s v="FRCM000007890"/>
    <d v="2019-10-03T00:00:00"/>
    <m/>
    <s v="MONTOYA JAIMES RAUL"/>
    <x v="2"/>
  </r>
  <r>
    <s v="25/09/2019"/>
    <s v="RAM 4000 CHASIS CABINA &quot;PL&quot; 4X2 MTX 8 CIL"/>
    <s v="3C7WRAKT6KG575797"/>
    <s v="KG575797"/>
    <n v="524706.86"/>
    <n v="524706.86"/>
    <s v="FCA Financial Services"/>
    <s v="FINANCIADA"/>
    <m/>
    <x v="1"/>
    <s v="25/09/2019"/>
    <d v="2019-10-18T00:00:00"/>
    <n v="-14"/>
    <n v="9"/>
    <m/>
    <n v="524706.86"/>
    <m/>
    <m/>
    <s v="MAA000031579"/>
    <s v="PROMOTORA DEL DESARROLLO DE AMERICA LATINA SA DE CV"/>
    <x v="1"/>
    <d v="2019-10-01T00:00:00"/>
    <m/>
    <m/>
    <n v="552000"/>
    <m/>
    <n v="552000"/>
    <m/>
    <m/>
    <m/>
    <m/>
    <s v="TORTI BECERRIL RENE OMAR"/>
    <x v="1"/>
  </r>
  <r>
    <s v="25/09/2019"/>
    <s v="JEEP COMPASS LIMITED 4X2 ATX6 2.4L"/>
    <s v="3C4NJCCB6KT819926"/>
    <s v="KT819926"/>
    <n v="494559.95"/>
    <n v="494559.95"/>
    <s v="FCA Financial Services"/>
    <s v="FINANCIADA"/>
    <m/>
    <x v="1"/>
    <s v="25/09/2019"/>
    <d v="2019-10-18T00:00:00"/>
    <n v="-14"/>
    <n v="9"/>
    <m/>
    <n v="494559.95"/>
    <m/>
    <m/>
    <s v="MAA000031539"/>
    <s v="ARRENDADORA INTEGRAL SUMMA SA DE CV"/>
    <x v="6"/>
    <d v="2019-09-27T00:00:00"/>
    <m/>
    <m/>
    <n v="485400"/>
    <m/>
    <n v="485400"/>
    <m/>
    <m/>
    <m/>
    <m/>
    <s v="TORTI BECERRIL RENE OMAR"/>
    <x v="1"/>
  </r>
  <r>
    <s v="26/09/2019"/>
    <s v="DODGE ATTITUDE SE MT"/>
    <s v="ML3AB26J5KH008547"/>
    <s v="KH008547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7KH008548"/>
    <s v="KH008548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9KH008549"/>
    <s v="KH008549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5KH008550"/>
    <s v="KH008550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6KH009075"/>
    <s v="KH009075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8KH009076"/>
    <s v="KH009076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XKH009077"/>
    <s v="KH009077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1KH009078"/>
    <s v="KH009078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3KH009079"/>
    <s v="KH009079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4KH009401"/>
    <s v="KH009401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6KH009402"/>
    <s v="KH009402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8KH009403"/>
    <s v="KH009403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XKH009404"/>
    <s v="KH009404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DODGE ATTITUDE SE MT"/>
    <s v="ML3AB26J1KH009405"/>
    <s v="KH009405"/>
    <n v="195996.94"/>
    <n v="195996.94"/>
    <s v="FCA Financial Services"/>
    <s v="FINANCIADA"/>
    <m/>
    <x v="1"/>
    <s v="26/09/2019"/>
    <d v="2019-10-19T00:00:00"/>
    <n v="-15"/>
    <n v="8"/>
    <m/>
    <n v="195996.94"/>
    <m/>
    <m/>
    <m/>
    <m/>
    <x v="2"/>
    <m/>
    <m/>
    <m/>
    <m/>
    <m/>
    <n v="0"/>
    <m/>
    <m/>
    <m/>
    <m/>
    <m/>
    <x v="1"/>
  </r>
  <r>
    <s v="26/09/2019"/>
    <s v="RAM 1500MIL-HYBRID LTD BLACK PACKAGE CREW CAB 4X4"/>
    <s v="1C6SRFHT8LN139761"/>
    <s v="LN139761"/>
    <n v="1067218.17"/>
    <n v="1067218.17"/>
    <s v="FCA Financial Services"/>
    <s v="FINANCIADA"/>
    <s v="P1"/>
    <x v="1"/>
    <s v="26/09/2019"/>
    <d v="2019-10-19T00:00:00"/>
    <n v="-15"/>
    <n v="8"/>
    <m/>
    <n v="1067218.17"/>
    <m/>
    <m/>
    <s v="MAA000031590"/>
    <s v="GRUPO INDUSTRIAL DE MANTENIMIENTO Y MAQUINADOS ORTIZ S.A. DE C.V."/>
    <x v="7"/>
    <d v="2019-10-03T00:00:00"/>
    <m/>
    <m/>
    <n v="1184900"/>
    <n v="1184900"/>
    <n v="0"/>
    <s v="PAGO DE UNIDAD"/>
    <s v="FRCM000007884, FRCM000007885"/>
    <d v="2019-10-03T00:00:00"/>
    <m/>
    <s v="MARTINEZ TORRES MIGUEL ANGEL"/>
    <x v="2"/>
  </r>
  <r>
    <s v="27/09/2019"/>
    <s v="JEEP WRANGLER UNLIMITED SAHARA ETORQUE MILD-HYBRID I4 4X4"/>
    <s v="1C4HJXEN5LW124442"/>
    <s v="LW124442"/>
    <n v="854954.25"/>
    <n v="854954.25"/>
    <s v="FCA Financial Services"/>
    <s v="FINANCIADA"/>
    <m/>
    <x v="1"/>
    <s v="27/09/2019"/>
    <d v="2019-10-20T00:00:00"/>
    <n v="-16"/>
    <n v="7"/>
    <m/>
    <n v="854954.25"/>
    <m/>
    <m/>
    <m/>
    <m/>
    <x v="2"/>
    <m/>
    <m/>
    <m/>
    <m/>
    <m/>
    <n v="0"/>
    <m/>
    <m/>
    <m/>
    <m/>
    <m/>
    <x v="1"/>
  </r>
  <r>
    <s v="29/09/2019"/>
    <s v="RAM 4000 CHASIS CABINA &quot;PL&quot; 4X2 MTX 8 CIL"/>
    <s v="3C7WRAKT9KG575793"/>
    <s v="KG575793"/>
    <n v="509107.35"/>
    <n v="509107.35"/>
    <s v="FCA Financial Services"/>
    <s v="FINANCIADA"/>
    <m/>
    <x v="1"/>
    <s v="29/09/2019"/>
    <d v="2019-10-22T00:00:00"/>
    <n v="-18"/>
    <n v="5"/>
    <m/>
    <n v="509107.35"/>
    <m/>
    <m/>
    <m/>
    <m/>
    <x v="2"/>
    <m/>
    <m/>
    <m/>
    <m/>
    <m/>
    <n v="0"/>
    <m/>
    <m/>
    <m/>
    <m/>
    <m/>
    <x v="1"/>
  </r>
  <r>
    <s v="28/09/2019"/>
    <s v="DODGE GRAND CARAVAN SXT +"/>
    <s v="2C4RDGDG3KR757415"/>
    <s v="KR757415"/>
    <n v="547903.27"/>
    <n v="547903.27"/>
    <s v="FCA Financial Services"/>
    <s v="FINANCIADA"/>
    <m/>
    <x v="1"/>
    <s v="28/09/2019"/>
    <d v="2019-10-21T00:00:00"/>
    <n v="-17"/>
    <n v="6"/>
    <m/>
    <n v="547903.27"/>
    <m/>
    <m/>
    <m/>
    <m/>
    <x v="2"/>
    <m/>
    <m/>
    <m/>
    <m/>
    <m/>
    <n v="0"/>
    <m/>
    <m/>
    <m/>
    <m/>
    <m/>
    <x v="1"/>
  </r>
  <r>
    <s v="28/09/2019"/>
    <s v="JEEP GRAND CHEROKEE LIMITED 3.6L V6 4X2"/>
    <s v="1C4RJEBG3LC145189"/>
    <s v="LC145189"/>
    <n v="736501.96"/>
    <n v="736501.96"/>
    <s v="FCA Financial Services"/>
    <s v="FINANCIADA"/>
    <m/>
    <x v="1"/>
    <s v="28/09/2019"/>
    <d v="2019-10-21T00:00:00"/>
    <n v="-17"/>
    <n v="6"/>
    <m/>
    <n v="736501.96"/>
    <m/>
    <m/>
    <m/>
    <m/>
    <x v="2"/>
    <m/>
    <m/>
    <m/>
    <m/>
    <m/>
    <n v="0"/>
    <m/>
    <m/>
    <m/>
    <m/>
    <m/>
    <x v="1"/>
  </r>
  <r>
    <s v="28/09/2019"/>
    <s v="JEEP GRAND CHEROKEE LIMITED 3.6L V6 4X2"/>
    <s v="1C4RJEBG1LC145191"/>
    <s v="LC145191"/>
    <n v="736501.96"/>
    <n v="736501.96"/>
    <s v="FCA Financial Services"/>
    <s v="FINANCIADA"/>
    <m/>
    <x v="1"/>
    <s v="28/09/2019"/>
    <d v="2019-10-21T00:00:00"/>
    <n v="-17"/>
    <n v="6"/>
    <m/>
    <n v="736501.96"/>
    <m/>
    <m/>
    <m/>
    <m/>
    <x v="2"/>
    <m/>
    <m/>
    <m/>
    <m/>
    <m/>
    <n v="0"/>
    <m/>
    <m/>
    <m/>
    <m/>
    <m/>
    <x v="1"/>
  </r>
  <r>
    <s v="30/09/2019"/>
    <s v="JEEP COMPASS LIMITED PREMIUM 4X2 ATX6 2.4L"/>
    <s v="3C4NJCCB8KT832340"/>
    <s v="KT832340"/>
    <n v="531490.48"/>
    <n v="531490.48"/>
    <s v="FCA Financial Services"/>
    <s v="FINANCIADA"/>
    <m/>
    <x v="1"/>
    <s v="30/09/2019"/>
    <d v="2019-10-23T00:00:00"/>
    <n v="-19"/>
    <n v="4"/>
    <m/>
    <n v="531490.48"/>
    <m/>
    <m/>
    <s v="MAA000031557"/>
    <s v="FEDERACION MEXICANA DE FUTBOL ASOCIACION A.C."/>
    <x v="7"/>
    <d v="2019-09-30T00:00:00"/>
    <m/>
    <m/>
    <n v="562900"/>
    <m/>
    <n v="562900"/>
    <m/>
    <m/>
    <m/>
    <m/>
    <s v="GONZALEZ MIRANDA GENOVEVA PATRICIA"/>
    <x v="1"/>
  </r>
  <r>
    <s v="30/09/2019"/>
    <s v="JEEP COMPASS LIMITED PREMIUM 4X2 ATX6 2.4L"/>
    <s v="3C4NJCCBXKT832341"/>
    <s v="KT832341"/>
    <n v="531490.48"/>
    <n v="531490.48"/>
    <s v="FCA Financial Services"/>
    <s v="FINANCIADA"/>
    <m/>
    <x v="1"/>
    <s v="30/09/2019"/>
    <d v="2019-10-23T00:00:00"/>
    <n v="-19"/>
    <n v="4"/>
    <m/>
    <n v="531490.48"/>
    <m/>
    <m/>
    <s v="MAA000031554"/>
    <s v="FEDERACION MEXICANA DE FUTBOL ASOCIACION A.C."/>
    <x v="7"/>
    <d v="2019-09-30T00:00:00"/>
    <m/>
    <m/>
    <n v="562900"/>
    <m/>
    <n v="562900"/>
    <m/>
    <m/>
    <m/>
    <m/>
    <s v="GONZALEZ MIRANDA GENOVEVA PATRICIA"/>
    <x v="1"/>
  </r>
  <r>
    <s v="30/09/2019"/>
    <s v="DODGE ATTITUDE SE MT"/>
    <s v="ML3AB26J4KH008054"/>
    <s v="KH008054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7KH008274"/>
    <s v="KH008274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4KH008569"/>
    <s v="KH008569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0KH008570"/>
    <s v="KH008570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2KH008571"/>
    <s v="KH008571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4KH008572"/>
    <s v="KH008572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6KH008573"/>
    <s v="KH008573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8KH008574"/>
    <s v="KH008574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4KH009088"/>
    <s v="KH009088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6KH009089"/>
    <s v="KH009089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2KH009090"/>
    <s v="KH009090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6KH009447"/>
    <s v="KH009447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4KH009527"/>
    <s v="KH009527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6KH009528"/>
    <s v="KH009528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8KH009529"/>
    <s v="KH009529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4KH009530"/>
    <s v="KH009530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6KH009531"/>
    <s v="KH009531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8KH009532"/>
    <s v="KH009532"/>
    <n v="195996.94"/>
    <n v="195996.94"/>
    <s v="FCA Financial Services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JEEP GRAND CHEROKEE LIMITED 3.6L V6 4X2"/>
    <s v="1C4RJEBG3LC145192"/>
    <s v="LC145192"/>
    <n v="736501.96"/>
    <n v="736501.96"/>
    <s v="FCA Financial Services"/>
    <s v="FINANCIADA"/>
    <m/>
    <x v="1"/>
    <s v="30/09/2019"/>
    <d v="2019-10-23T00:00:00"/>
    <n v="-19"/>
    <n v="4"/>
    <m/>
    <n v="736501.96"/>
    <m/>
    <m/>
    <m/>
    <m/>
    <x v="2"/>
    <m/>
    <m/>
    <m/>
    <m/>
    <m/>
    <n v="0"/>
    <m/>
    <m/>
    <m/>
    <m/>
    <m/>
    <x v="1"/>
  </r>
  <r>
    <s v="30/09/2019"/>
    <s v="DODGE ATTITUDE SE AT"/>
    <s v="ML3AB26J9LH000307"/>
    <s v="LH000307"/>
    <n v="218761.71"/>
    <n v="218761.71"/>
    <s v="FCA Financial Services"/>
    <s v="FINANCIADA"/>
    <m/>
    <x v="1"/>
    <s v="30/09/2019"/>
    <d v="2019-10-23T00:00:00"/>
    <n v="-19"/>
    <n v="4"/>
    <m/>
    <n v="218761.71"/>
    <m/>
    <m/>
    <m/>
    <m/>
    <x v="2"/>
    <m/>
    <m/>
    <m/>
    <m/>
    <m/>
    <n v="0"/>
    <m/>
    <m/>
    <m/>
    <m/>
    <m/>
    <x v="1"/>
  </r>
  <r>
    <s v="30/09/2019"/>
    <s v="DODGE ATTITUDE SE AT"/>
    <s v="ML3AB26J3LH000870"/>
    <s v="LH000870"/>
    <n v="218761.71"/>
    <n v="218761.71"/>
    <s v="FCA Financial Services"/>
    <s v="FINANCIADA"/>
    <m/>
    <x v="1"/>
    <s v="30/09/2019"/>
    <d v="2019-10-23T00:00:00"/>
    <n v="-19"/>
    <n v="4"/>
    <m/>
    <n v="218761.71"/>
    <m/>
    <m/>
    <m/>
    <m/>
    <x v="2"/>
    <m/>
    <m/>
    <m/>
    <m/>
    <m/>
    <n v="0"/>
    <m/>
    <m/>
    <m/>
    <m/>
    <m/>
    <x v="1"/>
  </r>
  <r>
    <s v="30/09/2019"/>
    <s v="DODGE ATTITUDE SE AT"/>
    <s v="ML3AB26J4LH000912"/>
    <s v="LH000912"/>
    <n v="218761.71"/>
    <n v="218761.71"/>
    <s v="FCA Financial Services"/>
    <s v="FINANCIADA"/>
    <m/>
    <x v="1"/>
    <s v="30/09/2019"/>
    <d v="2019-10-23T00:00:00"/>
    <n v="-19"/>
    <n v="4"/>
    <m/>
    <n v="218761.71"/>
    <m/>
    <m/>
    <m/>
    <m/>
    <x v="2"/>
    <m/>
    <m/>
    <m/>
    <m/>
    <m/>
    <n v="0"/>
    <m/>
    <m/>
    <m/>
    <m/>
    <m/>
    <x v="1"/>
  </r>
  <r>
    <s v="30/09/2019"/>
    <s v="DODGE ATTITUDE SE AT"/>
    <s v="ML3AB26J0LH000938"/>
    <s v="LH000938"/>
    <n v="218761.71"/>
    <n v="218761.71"/>
    <s v="FCA Financial Services"/>
    <s v="FINANCIADA"/>
    <m/>
    <x v="1"/>
    <s v="30/09/2019"/>
    <d v="2019-10-23T00:00:00"/>
    <n v="-19"/>
    <n v="4"/>
    <m/>
    <n v="218761.71"/>
    <m/>
    <m/>
    <m/>
    <m/>
    <x v="2"/>
    <m/>
    <m/>
    <m/>
    <m/>
    <m/>
    <n v="0"/>
    <m/>
    <m/>
    <m/>
    <m/>
    <m/>
    <x v="1"/>
  </r>
  <r>
    <s v="30/09/2019"/>
    <s v="DODGE ATTITUDE SE AT"/>
    <s v="ML3AB26JXLH001711"/>
    <s v="LH001711"/>
    <n v="218761.71"/>
    <n v="218761.71"/>
    <s v="FCA Financial Services"/>
    <s v="FINANCIADA"/>
    <m/>
    <x v="1"/>
    <s v="30/09/2019"/>
    <d v="2019-10-23T00:00:00"/>
    <n v="-19"/>
    <n v="4"/>
    <m/>
    <n v="218761.71"/>
    <m/>
    <m/>
    <m/>
    <m/>
    <x v="2"/>
    <m/>
    <m/>
    <m/>
    <m/>
    <m/>
    <n v="0"/>
    <m/>
    <m/>
    <m/>
    <m/>
    <m/>
    <x v="1"/>
  </r>
  <r>
    <s v="30/09/2019"/>
    <s v="DODGE ATTITUDE SXT AT"/>
    <s v="ML3AB56J1LH000299"/>
    <s v="LH000299"/>
    <n v="241526.48"/>
    <n v="241526.48"/>
    <s v="FCA Financial Services"/>
    <s v="FINANCIADA"/>
    <m/>
    <x v="1"/>
    <s v="30/09/2019"/>
    <d v="2019-10-23T00:00:00"/>
    <n v="-19"/>
    <n v="4"/>
    <m/>
    <n v="241526.48"/>
    <m/>
    <m/>
    <m/>
    <m/>
    <x v="2"/>
    <m/>
    <m/>
    <m/>
    <m/>
    <m/>
    <n v="0"/>
    <m/>
    <m/>
    <m/>
    <m/>
    <m/>
    <x v="1"/>
  </r>
  <r>
    <s v="30/09/2019"/>
    <s v="DODGE ATTITUDE SXT AT"/>
    <s v="ML3AB56JXLH001676"/>
    <s v="LH001676"/>
    <n v="241526.48"/>
    <n v="241526.48"/>
    <s v="FCA Financial Services"/>
    <s v="FINANCIADA"/>
    <m/>
    <x v="1"/>
    <s v="30/09/2019"/>
    <d v="2019-10-23T00:00:00"/>
    <n v="-19"/>
    <n v="4"/>
    <m/>
    <n v="241526.48"/>
    <m/>
    <m/>
    <m/>
    <m/>
    <x v="2"/>
    <m/>
    <m/>
    <m/>
    <m/>
    <m/>
    <n v="0"/>
    <m/>
    <m/>
    <m/>
    <m/>
    <m/>
    <x v="1"/>
  </r>
  <r>
    <s v="30/09/2019"/>
    <s v="DODGE ATTITUDE SXT AT"/>
    <s v="ML3AB56J3LH001826"/>
    <s v="LH001826"/>
    <n v="241526.48"/>
    <n v="241526.48"/>
    <s v="FCA Financial Services"/>
    <s v="FINANCIADA"/>
    <m/>
    <x v="1"/>
    <s v="30/09/2019"/>
    <d v="2019-10-23T00:00:00"/>
    <n v="-19"/>
    <n v="4"/>
    <m/>
    <n v="241526.48"/>
    <m/>
    <m/>
    <m/>
    <m/>
    <x v="2"/>
    <m/>
    <m/>
    <m/>
    <m/>
    <m/>
    <n v="0"/>
    <m/>
    <m/>
    <m/>
    <m/>
    <m/>
    <x v="1"/>
  </r>
  <r>
    <s v="30/09/2019"/>
    <s v="RAM PROMASTER RAPID"/>
    <s v="9BD265557L9139887"/>
    <s v="L9139887"/>
    <n v="226510.79"/>
    <n v="226510.79"/>
    <s v="FCA Financial Services"/>
    <s v="FINANCIADA"/>
    <m/>
    <x v="1"/>
    <s v="30/09/2019"/>
    <d v="2019-10-23T00:00:00"/>
    <n v="-19"/>
    <n v="4"/>
    <m/>
    <n v="226510.79"/>
    <m/>
    <m/>
    <s v="MAA000031576"/>
    <s v="ECOLAB HOLDINGS MEXICO S DE RL DE CV"/>
    <x v="6"/>
    <d v="2019-10-01T00:00:00"/>
    <m/>
    <m/>
    <n v="238000"/>
    <m/>
    <n v="238000"/>
    <m/>
    <m/>
    <m/>
    <m/>
    <s v="TORTI BECERRIL RENE OMAR"/>
    <x v="1"/>
  </r>
  <r>
    <s v="30/09/2019"/>
    <s v="RAM PROMASTER RAPID"/>
    <s v="9BD265552L9140008"/>
    <s v="L9140008"/>
    <n v="226510.79"/>
    <n v="226510.79"/>
    <s v="FCA Financial Services"/>
    <s v="FINANCIADA"/>
    <m/>
    <x v="1"/>
    <s v="30/09/2019"/>
    <d v="2019-10-23T00:00:00"/>
    <n v="-19"/>
    <n v="4"/>
    <m/>
    <n v="226510.79"/>
    <m/>
    <m/>
    <s v="MAA000031575"/>
    <s v="ECOLAB HOLDINGS MEXICO S DE RL DE CV"/>
    <x v="6"/>
    <d v="2019-10-01T00:00:00"/>
    <m/>
    <m/>
    <n v="238000"/>
    <m/>
    <n v="238000"/>
    <m/>
    <m/>
    <m/>
    <m/>
    <s v="TORTI BECERRIL RENE OMAR"/>
    <x v="1"/>
  </r>
  <r>
    <s v="30/09/2019"/>
    <s v="RAM PROMASTER RAPID"/>
    <s v="9BD265556L9140092"/>
    <s v="L9140092"/>
    <n v="226510.79"/>
    <n v="226510.79"/>
    <s v="FCA Financial Services"/>
    <s v="FINANCIADA"/>
    <m/>
    <x v="1"/>
    <s v="30/09/2019"/>
    <d v="2019-10-23T00:00:00"/>
    <n v="-19"/>
    <n v="4"/>
    <m/>
    <n v="226510.79"/>
    <m/>
    <m/>
    <m/>
    <m/>
    <x v="2"/>
    <m/>
    <m/>
    <m/>
    <m/>
    <m/>
    <n v="0"/>
    <m/>
    <m/>
    <m/>
    <m/>
    <m/>
    <x v="1"/>
  </r>
  <r>
    <s v="30/09/2019"/>
    <s v="RAM 700 REGULAR CAB"/>
    <s v="9BD578457LY354480"/>
    <s v="LY354480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1LY354507"/>
    <s v="LY354507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5LY354560"/>
    <s v="LY354560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9LY356974"/>
    <s v="LY356974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3LY357280"/>
    <s v="LY357280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4LY357319"/>
    <s v="LY357319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1LY361456"/>
    <s v="LY361456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4LY361726"/>
    <s v="LY361726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8LY361731"/>
    <s v="LY361731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3LY362219"/>
    <s v="LY362219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5LY362223"/>
    <s v="LY362223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9LY362547"/>
    <s v="LY362547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9LY363150"/>
    <s v="LY363150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5LY363307"/>
    <s v="LY363307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s v="30/09/2019"/>
    <s v="RAM 700 REGULAR CAB"/>
    <s v="9BD578453LY363354"/>
    <s v="LY363354"/>
    <n v="231014.2"/>
    <n v="231014.2"/>
    <s v="FCA Financial Services"/>
    <s v="FINANCIADA"/>
    <m/>
    <x v="1"/>
    <s v="30/09/2019"/>
    <d v="2019-10-23T00:00:00"/>
    <n v="-19"/>
    <n v="4"/>
    <m/>
    <n v="231014.2"/>
    <m/>
    <m/>
    <m/>
    <m/>
    <x v="2"/>
    <m/>
    <m/>
    <m/>
    <m/>
    <m/>
    <n v="0"/>
    <m/>
    <m/>
    <m/>
    <m/>
    <m/>
    <x v="1"/>
  </r>
  <r>
    <d v="2019-09-27T00:00:00"/>
    <s v="MONTERO LIMITED AUT"/>
    <s v="JE4NE51T8KJ000764"/>
    <s v="KJ000764"/>
    <n v="561584.46"/>
    <n v="561584.46"/>
    <s v="FCA Financial Services"/>
    <s v="FINANCIADA"/>
    <m/>
    <x v="1"/>
    <d v="2019-09-27T00:00:00"/>
    <d v="2019-10-20T00:00:00"/>
    <n v="-16"/>
    <n v="7"/>
    <m/>
    <n v="561584.46"/>
    <m/>
    <m/>
    <m/>
    <m/>
    <x v="2"/>
    <m/>
    <m/>
    <m/>
    <m/>
    <m/>
    <n v="0"/>
    <m/>
    <m/>
    <m/>
    <m/>
    <m/>
    <x v="1"/>
  </r>
  <r>
    <d v="2019-09-27T00:00:00"/>
    <s v="MONTERO LIMITED AUT"/>
    <s v="JE4NE51T9KJ000773"/>
    <s v="KJ000773"/>
    <n v="561584.46"/>
    <n v="561584.46"/>
    <s v="FCA Financial Services"/>
    <s v="FINANCIADA"/>
    <m/>
    <x v="1"/>
    <d v="2019-09-27T00:00:00"/>
    <d v="2019-10-20T00:00:00"/>
    <n v="-16"/>
    <n v="7"/>
    <m/>
    <n v="561584.46"/>
    <m/>
    <m/>
    <m/>
    <m/>
    <x v="2"/>
    <m/>
    <m/>
    <m/>
    <m/>
    <m/>
    <n v="0"/>
    <m/>
    <m/>
    <m/>
    <m/>
    <m/>
    <x v="1"/>
  </r>
  <r>
    <d v="2019-09-27T00:00:00"/>
    <s v="MONTERO LIMITED AUT"/>
    <s v="JE4NE51T0KJ000791"/>
    <s v="KJ000791"/>
    <n v="561584.46"/>
    <n v="561584.46"/>
    <s v="FCA Financial Services"/>
    <s v="FINANCIADA"/>
    <m/>
    <x v="1"/>
    <d v="2019-09-27T00:00:00"/>
    <d v="2019-10-20T00:00:00"/>
    <n v="-16"/>
    <n v="7"/>
    <m/>
    <n v="561584.46"/>
    <m/>
    <m/>
    <m/>
    <m/>
    <x v="2"/>
    <m/>
    <m/>
    <m/>
    <m/>
    <m/>
    <n v="0"/>
    <m/>
    <m/>
    <m/>
    <m/>
    <m/>
    <x v="1"/>
  </r>
  <r>
    <s v="30/09/2019"/>
    <s v="DODGE JOURNEY SPORT PLUS +7 PAS. (2.4L)"/>
    <s v="3C4PDCGB1KT757832"/>
    <s v="KT757832"/>
    <n v="451062.43"/>
    <n v="451062.43"/>
    <s v="EMPRESA AUTOMOTRIZ TOLUCA S.A. DE C.V."/>
    <s v="FINANCIADA"/>
    <m/>
    <x v="1"/>
    <s v="30/09/2019"/>
    <d v="2019-10-23T00:00:00"/>
    <n v="-19"/>
    <n v="4"/>
    <m/>
    <n v="451062.43"/>
    <m/>
    <m/>
    <m/>
    <m/>
    <x v="2"/>
    <m/>
    <m/>
    <m/>
    <m/>
    <m/>
    <n v="0"/>
    <m/>
    <m/>
    <m/>
    <m/>
    <m/>
    <x v="1"/>
  </r>
  <r>
    <s v="30/09/2019"/>
    <s v="DODGE ATTITUDE SE MT"/>
    <s v="ML3AB26J0KH006771"/>
    <s v="KH006771"/>
    <n v="195996.94"/>
    <n v="195996.94"/>
    <s v="EMPRESA AUTOMOTRIZ TOLUCA S.A. DE C.V.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DODGE ATTITUDE SE MT"/>
    <s v="ML3AB26J8KH005741"/>
    <s v="KH005741"/>
    <n v="195996.94"/>
    <n v="195996.94"/>
    <s v="EMPRESA AUTOMOTRIZ TOLUCA S.A. DE C.V."/>
    <s v="FINANCIADA"/>
    <m/>
    <x v="1"/>
    <s v="30/09/2019"/>
    <d v="2019-10-23T00:00:00"/>
    <n v="-19"/>
    <n v="4"/>
    <m/>
    <n v="195996.94"/>
    <m/>
    <m/>
    <m/>
    <m/>
    <x v="2"/>
    <m/>
    <m/>
    <m/>
    <m/>
    <m/>
    <n v="0"/>
    <m/>
    <m/>
    <m/>
    <m/>
    <m/>
    <x v="1"/>
  </r>
  <r>
    <s v="30/09/2019"/>
    <s v="JEEP GRAND CHEROKEE LIMITED LUJO 3.6L V6 4X2"/>
    <s v="1C4RJEBG1KC805440"/>
    <s v="KC805440"/>
    <n v="721874.64"/>
    <n v="721874.64"/>
    <s v="EMPRESA AUTOMOTRIZ TOLUCA S.A. DE C.V."/>
    <s v="FINANCIADA"/>
    <m/>
    <x v="1"/>
    <s v="30/09/2019"/>
    <d v="2019-10-23T00:00:00"/>
    <n v="-19"/>
    <n v="4"/>
    <m/>
    <n v="721874.64"/>
    <m/>
    <m/>
    <m/>
    <m/>
    <x v="2"/>
    <m/>
    <m/>
    <m/>
    <m/>
    <m/>
    <n v="0"/>
    <m/>
    <m/>
    <m/>
    <m/>
    <m/>
    <x v="1"/>
  </r>
  <r>
    <s v="30/09/2019"/>
    <s v="RAM PROMASTER RAPID"/>
    <s v="9BD26555XL9136854"/>
    <s v="L9136854"/>
    <n v="226510.79"/>
    <n v="226510.79"/>
    <s v="EMPRESA AUTOMOTRIZ TOLUCA S.A. DE C.V."/>
    <s v="FINANCIADA"/>
    <m/>
    <x v="1"/>
    <s v="30/09/2019"/>
    <d v="2019-10-23T00:00:00"/>
    <n v="-19"/>
    <n v="4"/>
    <m/>
    <n v="226510.79"/>
    <m/>
    <m/>
    <m/>
    <m/>
    <x v="2"/>
    <m/>
    <m/>
    <m/>
    <m/>
    <m/>
    <n v="0"/>
    <m/>
    <m/>
    <m/>
    <m/>
    <m/>
    <x v="1"/>
  </r>
  <r>
    <s v="30/09/2019"/>
    <s v="JEEP WRANGLER UNLIMITED SAHARA"/>
    <s v="1C4HJXEG4KW647290"/>
    <s v="KW647290"/>
    <n v="759475.89"/>
    <n v="759475.89"/>
    <s v="EMPRESA AUTOMOTRIZ TOLUCA S.A. DE C.V."/>
    <s v="FINANCIADA"/>
    <m/>
    <x v="1"/>
    <s v="30/09/2019"/>
    <d v="2019-10-23T00:00:00"/>
    <n v="-19"/>
    <n v="4"/>
    <m/>
    <n v="759475.89"/>
    <m/>
    <m/>
    <m/>
    <m/>
    <x v="2"/>
    <m/>
    <m/>
    <m/>
    <m/>
    <m/>
    <n v="0"/>
    <m/>
    <m/>
    <m/>
    <m/>
    <m/>
    <x v="1"/>
  </r>
  <r>
    <s v="FC FINANCIAL FIAT"/>
    <m/>
    <m/>
    <s v="FC FINANCIAL FIAT"/>
    <m/>
    <m/>
    <s v="FC FINANCIAL FIAT"/>
    <m/>
    <m/>
    <x v="0"/>
    <s v="FC FINANCIAL FIAT"/>
    <m/>
    <m/>
    <m/>
    <m/>
    <m/>
    <m/>
    <m/>
    <m/>
    <s v="FC FINANCIAL FIAT"/>
    <x v="1"/>
    <m/>
    <s v="FC FINANCIAL FIAT"/>
    <m/>
    <m/>
    <s v="FC FINANCIAL FIAT"/>
    <m/>
    <m/>
    <s v="FC FINANCIAL FIAT"/>
    <m/>
    <m/>
    <s v="FC FINANCIAL FIAT"/>
    <x v="0"/>
  </r>
  <r>
    <s v="26/08/2019"/>
    <s v="FIAT UNO SPORTING MANUAL"/>
    <s v="9BD195A88K0865148"/>
    <s v="K0865148"/>
    <n v="216330.12"/>
    <n v="216330.12"/>
    <s v="FCA Financial Services"/>
    <s v="FINANCIADA"/>
    <s v="LERMA"/>
    <x v="2"/>
    <s v="26/08/2019"/>
    <d v="2019-09-18T00:00:00"/>
    <n v="16"/>
    <n v="39"/>
    <m/>
    <n v="216330.12"/>
    <m/>
    <m/>
    <s v="LA000003080"/>
    <s v="PANIAGUA REYNA GERARDO"/>
    <x v="8"/>
    <d v="2019-09-03T00:00:00"/>
    <m/>
    <m/>
    <n v="240400"/>
    <n v="1000"/>
    <n v="239400"/>
    <s v="A CUENTA DE ENGANCHE"/>
    <s v="FRCL000000997"/>
    <d v="2019-08-07T00:00:00"/>
    <m/>
    <s v="PANIAGUA REYNA GERARDO"/>
    <x v="1"/>
  </r>
  <r>
    <s v="27/09/2019"/>
    <s v="FIAT MOBI LIKE MANUAL"/>
    <s v="9BD341A56LY633205"/>
    <s v="LY633205"/>
    <n v="185513.56"/>
    <n v="185513.56"/>
    <s v="FCA Financial Services"/>
    <s v="FINANCIADA"/>
    <m/>
    <x v="2"/>
    <s v="27/09/2019"/>
    <d v="2019-10-20T00:00:00"/>
    <n v="-16"/>
    <n v="7"/>
    <m/>
    <n v="185513.56"/>
    <m/>
    <m/>
    <m/>
    <m/>
    <x v="2"/>
    <m/>
    <m/>
    <m/>
    <m/>
    <m/>
    <n v="0"/>
    <m/>
    <m/>
    <m/>
    <m/>
    <m/>
    <x v="1"/>
  </r>
  <r>
    <s v="30/09/2019"/>
    <s v="FIAT UNO SPORTING MANUAL"/>
    <s v="9BD195A88L0868441"/>
    <s v="L0868441"/>
    <n v="221279.84"/>
    <n v="221279.84"/>
    <s v="FCA Financial Services"/>
    <s v="FINANCIADA"/>
    <m/>
    <x v="2"/>
    <s v="30/09/2019"/>
    <d v="2019-10-23T00:00:00"/>
    <n v="-19"/>
    <n v="4"/>
    <m/>
    <n v="221279.84"/>
    <m/>
    <m/>
    <m/>
    <m/>
    <x v="2"/>
    <m/>
    <m/>
    <m/>
    <m/>
    <m/>
    <n v="0"/>
    <m/>
    <m/>
    <m/>
    <m/>
    <m/>
    <x v="1"/>
  </r>
  <r>
    <s v="30/09/2019"/>
    <s v="FIAT UNO SPORTING MANUAL"/>
    <s v="9BD195A88L0870481"/>
    <s v="L0870481"/>
    <n v="221279.84"/>
    <n v="221279.84"/>
    <s v="FCA Financial Services"/>
    <s v="FINANCIADA"/>
    <m/>
    <x v="2"/>
    <s v="30/09/2019"/>
    <d v="2019-10-23T00:00:00"/>
    <n v="-19"/>
    <n v="4"/>
    <m/>
    <n v="221279.84"/>
    <m/>
    <m/>
    <m/>
    <m/>
    <x v="2"/>
    <m/>
    <m/>
    <m/>
    <m/>
    <m/>
    <n v="0"/>
    <m/>
    <m/>
    <m/>
    <m/>
    <m/>
    <x v="1"/>
  </r>
  <r>
    <s v="30/09/2019"/>
    <s v="FIAT UNO SPORTING MANUAL"/>
    <s v="9BD195A88L0870495"/>
    <s v="L0870495"/>
    <n v="221279.84"/>
    <n v="221279.84"/>
    <s v="FCA Financial Services"/>
    <s v="FINANCIADA"/>
    <m/>
    <x v="2"/>
    <s v="30/09/2019"/>
    <d v="2019-10-23T00:00:00"/>
    <n v="-19"/>
    <n v="4"/>
    <m/>
    <n v="221279.84"/>
    <m/>
    <m/>
    <m/>
    <m/>
    <x v="2"/>
    <m/>
    <m/>
    <m/>
    <m/>
    <m/>
    <n v="0"/>
    <m/>
    <m/>
    <m/>
    <m/>
    <m/>
    <x v="1"/>
  </r>
  <r>
    <s v="30/09/2019"/>
    <s v="FIAT UNO SPORTING MANUAL"/>
    <s v="9BD195A83L0870761"/>
    <s v="L0870761"/>
    <n v="221279.84"/>
    <n v="221279.84"/>
    <s v="FCA Financial Services"/>
    <s v="FINANCIADA"/>
    <m/>
    <x v="2"/>
    <s v="30/09/2019"/>
    <d v="2019-10-23T00:00:00"/>
    <n v="-19"/>
    <n v="4"/>
    <m/>
    <n v="221279.84"/>
    <m/>
    <m/>
    <m/>
    <m/>
    <x v="2"/>
    <m/>
    <m/>
    <m/>
    <m/>
    <m/>
    <n v="0"/>
    <m/>
    <m/>
    <m/>
    <m/>
    <m/>
    <x v="1"/>
  </r>
  <r>
    <s v="30/09/2019"/>
    <s v="FIAT UNO SPORTING MANUAL"/>
    <s v="9BD195A8XL0871616"/>
    <s v="L0871616"/>
    <n v="221279.84"/>
    <n v="221279.84"/>
    <s v="FCA Financial Services"/>
    <s v="FINANCIADA"/>
    <m/>
    <x v="2"/>
    <s v="30/09/2019"/>
    <d v="2019-10-23T00:00:00"/>
    <n v="-19"/>
    <n v="4"/>
    <m/>
    <n v="221279.84"/>
    <m/>
    <m/>
    <m/>
    <m/>
    <x v="2"/>
    <m/>
    <m/>
    <m/>
    <m/>
    <m/>
    <n v="0"/>
    <m/>
    <m/>
    <m/>
    <m/>
    <m/>
    <x v="1"/>
  </r>
  <r>
    <s v="30/09/2019"/>
    <s v="FIAT UNO LIKE MANUAL"/>
    <s v="9BD195529L0871158"/>
    <s v="L0871158"/>
    <n v="199230.56"/>
    <n v="199230.56"/>
    <s v="FCA Financial Services"/>
    <s v="FINANCIADA"/>
    <m/>
    <x v="2"/>
    <s v="30/09/2019"/>
    <d v="2019-10-23T00:00:00"/>
    <n v="-19"/>
    <n v="4"/>
    <m/>
    <n v="199230.56"/>
    <m/>
    <m/>
    <m/>
    <m/>
    <x v="2"/>
    <m/>
    <m/>
    <m/>
    <m/>
    <m/>
    <n v="0"/>
    <m/>
    <m/>
    <m/>
    <m/>
    <m/>
    <x v="1"/>
  </r>
  <r>
    <s v="30/09/2019"/>
    <s v="FIAT UNO LIKE MANUAL"/>
    <s v="9BD19552XL0874571"/>
    <s v="L0874571"/>
    <n v="199230.56"/>
    <n v="199230.56"/>
    <s v="FCA Financial Services"/>
    <s v="FINANCIADA"/>
    <m/>
    <x v="2"/>
    <s v="30/09/2019"/>
    <d v="2019-10-23T00:00:00"/>
    <n v="-19"/>
    <n v="4"/>
    <m/>
    <n v="199230.56"/>
    <m/>
    <m/>
    <m/>
    <m/>
    <x v="2"/>
    <m/>
    <m/>
    <m/>
    <m/>
    <m/>
    <n v="0"/>
    <m/>
    <m/>
    <m/>
    <m/>
    <m/>
    <x v="1"/>
  </r>
  <r>
    <s v="30/09/2019"/>
    <s v="FIAT UNO LIKE MANUAL"/>
    <s v="9BD19552XL0874621"/>
    <s v="L0874621"/>
    <n v="199230.56"/>
    <n v="199230.56"/>
    <s v="FCA Financial Services"/>
    <s v="FINANCIADA"/>
    <m/>
    <x v="2"/>
    <s v="30/09/2019"/>
    <d v="2019-10-23T00:00:00"/>
    <n v="-19"/>
    <n v="4"/>
    <m/>
    <n v="199230.56"/>
    <m/>
    <m/>
    <m/>
    <m/>
    <x v="2"/>
    <m/>
    <m/>
    <m/>
    <m/>
    <m/>
    <n v="0"/>
    <m/>
    <m/>
    <m/>
    <m/>
    <m/>
    <x v="1"/>
  </r>
  <r>
    <s v="30/09/2019"/>
    <s v="FIAT UNO WAY MANUAL"/>
    <s v="9BD195561L0868578"/>
    <s v="L0868578"/>
    <n v="213180.72"/>
    <n v="213180.72"/>
    <s v="FCA Financial Services"/>
    <s v="FINANCIADA"/>
    <m/>
    <x v="2"/>
    <s v="30/09/2019"/>
    <d v="2019-10-23T00:00:00"/>
    <n v="-19"/>
    <n v="4"/>
    <m/>
    <n v="213180.72"/>
    <m/>
    <m/>
    <m/>
    <m/>
    <x v="2"/>
    <m/>
    <m/>
    <m/>
    <m/>
    <m/>
    <n v="0"/>
    <m/>
    <m/>
    <m/>
    <m/>
    <m/>
    <x v="1"/>
  </r>
  <r>
    <s v="30/09/2019"/>
    <s v="FIAT UNO WAY MANUAL"/>
    <s v="9BD195567L0868617"/>
    <s v="L0868617"/>
    <n v="213180.72"/>
    <n v="213180.72"/>
    <s v="FCA Financial Services"/>
    <s v="FINANCIADA"/>
    <m/>
    <x v="2"/>
    <s v="30/09/2019"/>
    <d v="2019-10-23T00:00:00"/>
    <n v="-19"/>
    <n v="4"/>
    <m/>
    <n v="213180.72"/>
    <m/>
    <m/>
    <m/>
    <m/>
    <x v="2"/>
    <m/>
    <m/>
    <m/>
    <m/>
    <m/>
    <n v="0"/>
    <m/>
    <m/>
    <m/>
    <m/>
    <m/>
    <x v="1"/>
  </r>
  <r>
    <s v="30/09/2019"/>
    <s v="FIAT UNO WAY MANUAL"/>
    <s v="9BD195560L0870757"/>
    <s v="L0870757"/>
    <n v="213180.72"/>
    <n v="213180.72"/>
    <s v="FCA Financial Services"/>
    <s v="FINANCIADA"/>
    <m/>
    <x v="2"/>
    <s v="30/09/2019"/>
    <d v="2019-10-23T00:00:00"/>
    <n v="-19"/>
    <n v="4"/>
    <m/>
    <n v="213180.72"/>
    <m/>
    <m/>
    <m/>
    <m/>
    <x v="2"/>
    <m/>
    <m/>
    <m/>
    <m/>
    <m/>
    <n v="0"/>
    <m/>
    <m/>
    <m/>
    <m/>
    <m/>
    <x v="1"/>
  </r>
  <r>
    <s v="FC FINANCIAL ALFA"/>
    <m/>
    <m/>
    <s v="FC FINANCIAL ALFA"/>
    <m/>
    <m/>
    <m/>
    <m/>
    <m/>
    <x v="0"/>
    <s v="FC FINANCIAL ALFA"/>
    <m/>
    <m/>
    <m/>
    <m/>
    <s v="FC FINANCIAL ALFA"/>
    <m/>
    <m/>
    <s v="FC FINANCIAL ALFA"/>
    <m/>
    <x v="1"/>
    <m/>
    <m/>
    <m/>
    <s v="FC FINANCIAL ALFA"/>
    <m/>
    <m/>
    <m/>
    <s v="FC FINANCIAL ALFA"/>
    <m/>
    <m/>
    <s v="FC FINANCIAL ALFA"/>
    <x v="0"/>
  </r>
  <r>
    <d v="2018-10-25T00:00:00"/>
    <s v="ALFA ROMEO STELVIO AUTOMATICO 2LTS 4CIL SPORT"/>
    <s v="ZASPAKAN3K7C33146"/>
    <s v="K7C33146"/>
    <n v="941552.84"/>
    <n v="140931.69999999995"/>
    <s v="FCA Financial Services"/>
    <s v="REDUCCION"/>
    <s v="SALA"/>
    <x v="3"/>
    <d v="2018-10-25T00:00:00"/>
    <d v="2018-11-17T00:00:00"/>
    <n v="321"/>
    <n v="344"/>
    <n v="360"/>
    <n v="140931.69999999995"/>
    <m/>
    <m/>
    <m/>
    <m/>
    <x v="2"/>
    <m/>
    <m/>
    <m/>
    <m/>
    <m/>
    <n v="0"/>
    <m/>
    <m/>
    <m/>
    <m/>
    <m/>
    <x v="1"/>
  </r>
  <r>
    <d v="2019-02-11T00:00:00"/>
    <s v="ALFA ROMEO MITO VELOCE MANUAL"/>
    <s v="ZARCACCH0KX080901"/>
    <s v="KX080901"/>
    <n v="431135.44"/>
    <n v="316135.44"/>
    <s v="FCA Financial Services"/>
    <s v="REDUCCION"/>
    <s v="AUTOPOLANCO"/>
    <x v="3"/>
    <d v="2019-02-11T00:00:00"/>
    <d v="2019-03-06T00:00:00"/>
    <n v="212"/>
    <n v="235"/>
    <n v="240"/>
    <n v="316135.44"/>
    <m/>
    <m/>
    <s v="MAA000031586"/>
    <s v="AUTOMOTORES SONI SA DE CV"/>
    <x v="9"/>
    <s v="03/10/2019"/>
    <m/>
    <m/>
    <n v="436293.53"/>
    <n v="436293.53"/>
    <n v="0"/>
    <s v="PAGO DE UNIDAD"/>
    <s v="FRCM000007892"/>
    <d v="2019-10-03T00:00:00"/>
    <m/>
    <s v=". . CASA"/>
    <x v="2"/>
  </r>
  <r>
    <s v="17/06/2019"/>
    <s v="ALFA ROMEO STELVIO QV"/>
    <s v="ZASPAKEV4K7C56784"/>
    <s v="K7C56784"/>
    <n v="1514313.28"/>
    <n v="1514313.28"/>
    <s v="FCA Financial Services"/>
    <s v="FINANCIADA"/>
    <s v="SALA"/>
    <x v="3"/>
    <s v="17/06/2019"/>
    <d v="2019-07-10T00:00:00"/>
    <n v="86"/>
    <n v="109"/>
    <m/>
    <n v="1514313.28"/>
    <m/>
    <m/>
    <m/>
    <m/>
    <x v="2"/>
    <m/>
    <m/>
    <m/>
    <m/>
    <m/>
    <n v="0"/>
    <m/>
    <m/>
    <m/>
    <m/>
    <m/>
    <x v="1"/>
  </r>
  <r>
    <s v="SEMINUEVOS FC FINANCIAL"/>
    <m/>
    <m/>
    <s v="SEMINUEVOS FC FINANCIAL"/>
    <m/>
    <m/>
    <m/>
    <m/>
    <m/>
    <x v="0"/>
    <m/>
    <m/>
    <m/>
    <m/>
    <m/>
    <m/>
    <m/>
    <m/>
    <m/>
    <m/>
    <x v="1"/>
    <m/>
    <m/>
    <m/>
    <m/>
    <s v="SEMINUEVOS FC FINANCIAL"/>
    <m/>
    <m/>
    <m/>
    <s v="SEMINUEVOS FC FINANCIAL"/>
    <m/>
    <s v="SEMINUEVOS CF"/>
    <x v="0"/>
  </r>
  <r>
    <s v="22/12/2018"/>
    <s v="FUSION"/>
    <s v="3FA6P0H95HR242907"/>
    <s v="HR242907"/>
    <n v="229280"/>
    <n v="114640"/>
    <s v="FCA Financial Services"/>
    <s v="REDUCCION"/>
    <s v="P1"/>
    <x v="4"/>
    <d v="2019-06-11T00:00:00"/>
    <d v="2019-07-04T00:00:00"/>
    <n v="92"/>
    <n v="115"/>
    <m/>
    <n v="114640"/>
    <m/>
    <m/>
    <m/>
    <m/>
    <x v="2"/>
    <m/>
    <m/>
    <m/>
    <m/>
    <m/>
    <n v="0"/>
    <m/>
    <m/>
    <m/>
    <m/>
    <m/>
    <x v="1"/>
  </r>
  <r>
    <s v="28/03/2019"/>
    <s v="JETTA MKVI TRENDLINE STD"/>
    <s v="3VW1W1AJ9FM279550"/>
    <s v="FM279550"/>
    <n v="120800"/>
    <n v="60400"/>
    <s v="FCA Financial Services"/>
    <s v="REDUCCION"/>
    <s v="ATLACOMULCO"/>
    <x v="4"/>
    <d v="2019-06-11T00:00:00"/>
    <d v="2019-07-04T00:00:00"/>
    <n v="92"/>
    <n v="115"/>
    <m/>
    <n v="60400"/>
    <m/>
    <m/>
    <m/>
    <m/>
    <x v="2"/>
    <m/>
    <m/>
    <m/>
    <m/>
    <m/>
    <n v="0"/>
    <m/>
    <m/>
    <m/>
    <m/>
    <m/>
    <x v="1"/>
  </r>
  <r>
    <s v="06/05/2019"/>
    <s v="ACCENT 4 PUERTAS GLS TA 1.6L 4CIL"/>
    <s v="3KPC34A53JE001920"/>
    <s v="JE001920"/>
    <n v="162560"/>
    <n v="81280"/>
    <s v="FCA Financial Services"/>
    <s v="REDUCCION"/>
    <s v="P1"/>
    <x v="4"/>
    <d v="2019-06-11T00:00:00"/>
    <d v="2019-07-04T00:00:00"/>
    <n v="92"/>
    <n v="115"/>
    <m/>
    <n v="81280"/>
    <m/>
    <m/>
    <m/>
    <m/>
    <x v="2"/>
    <m/>
    <m/>
    <m/>
    <m/>
    <m/>
    <n v="0"/>
    <m/>
    <m/>
    <m/>
    <m/>
    <m/>
    <x v="1"/>
  </r>
  <r>
    <s v="09/04/2019"/>
    <s v="JOURNEY 7 PAS LUJO"/>
    <s v="3C4PDCCB7JT328554"/>
    <s v="JT328554"/>
    <n v="249200"/>
    <n v="124600"/>
    <s v="FCA Financial Services"/>
    <s v="REDUCCION"/>
    <s v="LERMA"/>
    <x v="4"/>
    <d v="2019-06-11T00:00:00"/>
    <d v="2019-07-04T00:00:00"/>
    <n v="92"/>
    <n v="115"/>
    <m/>
    <n v="124600"/>
    <m/>
    <m/>
    <m/>
    <m/>
    <x v="2"/>
    <m/>
    <m/>
    <m/>
    <m/>
    <m/>
    <n v="0"/>
    <m/>
    <m/>
    <m/>
    <m/>
    <m/>
    <x v="1"/>
  </r>
  <r>
    <s v="22/05/2019"/>
    <s v="FRONTIER PRO-4X 4X2 T/A"/>
    <s v="1N6AD0ER3GN760112"/>
    <s v="GN760112"/>
    <n v="238080"/>
    <n v="119040"/>
    <s v="FCA Financial Services"/>
    <s v="REDUCCION"/>
    <s v="LERMA"/>
    <x v="4"/>
    <d v="2019-06-11T00:00:00"/>
    <d v="2019-07-04T00:00:00"/>
    <n v="92"/>
    <n v="115"/>
    <m/>
    <n v="119040"/>
    <m/>
    <m/>
    <m/>
    <m/>
    <x v="2"/>
    <m/>
    <m/>
    <m/>
    <m/>
    <m/>
    <n v="0"/>
    <m/>
    <m/>
    <m/>
    <m/>
    <m/>
    <x v="1"/>
  </r>
  <r>
    <s v="10/12/2018"/>
    <s v="CHERVROLET CRUZE"/>
    <s v="3G1B85DM6JS583141"/>
    <s v="JS583141"/>
    <n v="161120"/>
    <n v="161120"/>
    <s v="FCA Financial Services"/>
    <s v="FINANCIADA"/>
    <s v="LERMA"/>
    <x v="4"/>
    <d v="2019-07-12T00:00:00"/>
    <d v="2019-08-04T00:00:00"/>
    <n v="61"/>
    <n v="84"/>
    <m/>
    <n v="161120"/>
    <m/>
    <m/>
    <m/>
    <m/>
    <x v="2"/>
    <m/>
    <m/>
    <m/>
    <m/>
    <m/>
    <n v="0"/>
    <m/>
    <m/>
    <m/>
    <m/>
    <m/>
    <x v="1"/>
  </r>
  <r>
    <s v="16/04/2019"/>
    <s v="JOURNEY SE ATX +7"/>
    <s v="3C4BDCABXHT551906"/>
    <s v="HT551906"/>
    <n v="185600"/>
    <n v="185600"/>
    <s v="FCA Financial Services"/>
    <s v="FINANCIADA"/>
    <s v="ATLACOMULCO"/>
    <x v="4"/>
    <d v="2019-07-12T00:00:00"/>
    <d v="2019-08-04T00:00:00"/>
    <n v="61"/>
    <n v="84"/>
    <m/>
    <n v="185600"/>
    <m/>
    <m/>
    <m/>
    <m/>
    <x v="2"/>
    <m/>
    <m/>
    <m/>
    <m/>
    <m/>
    <n v="0"/>
    <m/>
    <m/>
    <m/>
    <m/>
    <m/>
    <x v="1"/>
  </r>
  <r>
    <s v="08/06/2019"/>
    <s v="AVEO D LT"/>
    <s v="LSGHD52H5JD126442"/>
    <s v="JD126442"/>
    <n v="105520"/>
    <n v="105520"/>
    <s v="FCA Financial Services"/>
    <s v="FINANCIADA"/>
    <s v="SAN RAFAEL"/>
    <x v="4"/>
    <d v="2019-07-12T00:00:00"/>
    <d v="2019-08-04T00:00:00"/>
    <n v="61"/>
    <n v="84"/>
    <m/>
    <n v="105520"/>
    <m/>
    <m/>
    <s v="MAA000031552"/>
    <s v="AUTOPOLANCO, S.A. DE C.V."/>
    <x v="7"/>
    <d v="2019-09-30T00:00:00"/>
    <m/>
    <m/>
    <n v="145000"/>
    <m/>
    <n v="145000"/>
    <m/>
    <m/>
    <m/>
    <m/>
    <s v="LARA MENDOZA EMMANUEL"/>
    <x v="1"/>
  </r>
  <r>
    <s v="10/06/2019"/>
    <s v="GRAND CHEROKEE LTD"/>
    <s v="1C4RJEBG0FC816080"/>
    <s v="FC816080"/>
    <n v="232000"/>
    <n v="232000"/>
    <s v="FCA Financial Services"/>
    <s v="FINANCIADA"/>
    <s v="P1"/>
    <x v="4"/>
    <d v="2019-07-12T00:00:00"/>
    <d v="2019-08-04T00:00:00"/>
    <n v="61"/>
    <n v="84"/>
    <m/>
    <n v="232000"/>
    <m/>
    <m/>
    <m/>
    <m/>
    <x v="2"/>
    <m/>
    <m/>
    <m/>
    <m/>
    <m/>
    <n v="0"/>
    <m/>
    <m/>
    <m/>
    <m/>
    <m/>
    <x v="1"/>
  </r>
  <r>
    <s v="28/06/2019"/>
    <s v="QUADRIFOGLIO V HATCHBACK"/>
    <s v="ZARBACCA8GX047828"/>
    <s v="GX047828"/>
    <n v="168480"/>
    <n v="168480"/>
    <s v="FCA Financial Services"/>
    <s v="FINANCIADA"/>
    <s v="P1"/>
    <x v="4"/>
    <d v="2019-08-29T00:00:00"/>
    <d v="2019-09-21T00:00:00"/>
    <n v="13"/>
    <n v="36"/>
    <m/>
    <n v="168480"/>
    <m/>
    <m/>
    <m/>
    <m/>
    <x v="2"/>
    <m/>
    <m/>
    <m/>
    <m/>
    <m/>
    <n v="0"/>
    <m/>
    <m/>
    <m/>
    <m/>
    <m/>
    <x v="1"/>
  </r>
  <r>
    <s v="01/07/2019"/>
    <s v="COMPASS LIMITED FWD AUT 4 CIL"/>
    <s v="1C4NJCCB7GD681780"/>
    <s v="GD681780"/>
    <n v="176720"/>
    <n v="176720"/>
    <s v="FCA Financial Services"/>
    <s v="FINANCIADA"/>
    <s v="P1"/>
    <x v="4"/>
    <d v="2019-08-29T00:00:00"/>
    <d v="2019-09-21T00:00:00"/>
    <n v="13"/>
    <n v="36"/>
    <m/>
    <n v="176720"/>
    <m/>
    <m/>
    <s v="MAA000031534"/>
    <s v="JULIO ALEJANDRO GUZMAN MEDINA"/>
    <x v="4"/>
    <s v="26/09/2019"/>
    <m/>
    <m/>
    <n v="245000"/>
    <n v="245000"/>
    <n v="0"/>
    <s v="PAGO DE UNIDAD"/>
    <s v="FRCM000007661, FRCM000007757, FPCM000005421"/>
    <s v="26/09/2019, 03/10/2019"/>
    <m/>
    <s v="ALEJANDRO CARRANZA ALONSO"/>
    <x v="2"/>
  </r>
  <r>
    <s v="16/07/2019"/>
    <s v="GRAND CHEROKEE SUMMIT 4X4"/>
    <s v="1C4RJFJT1FC807585"/>
    <s v="FC807585"/>
    <n v="348000"/>
    <n v="348000"/>
    <s v="FCA Financial Services"/>
    <s v="FINANCIADA"/>
    <s v="P1"/>
    <x v="4"/>
    <d v="2019-08-29T00:00:00"/>
    <d v="2019-09-21T00:00:00"/>
    <n v="13"/>
    <n v="36"/>
    <m/>
    <n v="348000"/>
    <m/>
    <m/>
    <m/>
    <m/>
    <x v="2"/>
    <m/>
    <m/>
    <m/>
    <m/>
    <m/>
    <n v="0"/>
    <m/>
    <m/>
    <m/>
    <m/>
    <m/>
    <x v="1"/>
  </r>
  <r>
    <s v="18/07/2019"/>
    <s v="JOURNEY AUTOMATICA 6 CIL."/>
    <s v="3C4PDCFG6HT551489"/>
    <s v="HT551489"/>
    <n v="236080"/>
    <n v="236080"/>
    <s v="FCA Financial Services"/>
    <s v="FINANCIADA"/>
    <s v="P1"/>
    <x v="4"/>
    <d v="2019-08-29T00:00:00"/>
    <d v="2019-09-21T00:00:00"/>
    <n v="13"/>
    <n v="36"/>
    <m/>
    <n v="236080"/>
    <m/>
    <m/>
    <m/>
    <m/>
    <x v="2"/>
    <m/>
    <m/>
    <m/>
    <m/>
    <m/>
    <n v="0"/>
    <m/>
    <m/>
    <m/>
    <m/>
    <m/>
    <x v="1"/>
  </r>
  <r>
    <s v="05/08/2019"/>
    <s v="VISION MTX"/>
    <s v="9BD197575H3328337"/>
    <s v="H3328337"/>
    <n v="76320"/>
    <n v="76320"/>
    <s v="FCA Financial Services"/>
    <s v="FINANCIADA"/>
    <m/>
    <x v="4"/>
    <d v="2019-08-29T00:00:00"/>
    <d v="2019-09-21T00:00:00"/>
    <n v="13"/>
    <n v="36"/>
    <m/>
    <n v="76320"/>
    <m/>
    <m/>
    <m/>
    <m/>
    <x v="2"/>
    <m/>
    <m/>
    <m/>
    <m/>
    <m/>
    <n v="0"/>
    <m/>
    <m/>
    <m/>
    <m/>
    <m/>
    <x v="1"/>
  </r>
  <r>
    <s v="05/08/2019"/>
    <s v="2500 CREW CAB LARAMIE V8 8AT 4X4"/>
    <s v="3C6SRBET1GG246503"/>
    <s v="GG246503"/>
    <n v="311840"/>
    <n v="176720"/>
    <s v="FCA Financial Services"/>
    <s v="FINANCIADA"/>
    <s v="P1"/>
    <x v="4"/>
    <d v="2019-08-29T00:00:00"/>
    <d v="2019-09-21T00:00:00"/>
    <n v="13"/>
    <n v="36"/>
    <m/>
    <n v="176720"/>
    <m/>
    <m/>
    <s v="MAA000031435"/>
    <s v="JOAQUIN MARTINEZ DURAN"/>
    <x v="7"/>
    <d v="2019-08-31T00:00:00"/>
    <m/>
    <m/>
    <n v="470000"/>
    <n v="9000"/>
    <n v="461000"/>
    <s v="A CUENTA DE UNIDAD"/>
    <s v="FRCM000007423"/>
    <d v="2019-08-31T00:00:00"/>
    <m/>
    <s v="FRANCISCO GALICIA BECERRA"/>
    <x v="1"/>
  </r>
  <r>
    <s v="05/08/2019"/>
    <s v="UNO SPORTING MANUAL"/>
    <s v="9BD195A81G0770325"/>
    <s v="G0770325"/>
    <n v="86640"/>
    <n v="86640"/>
    <s v="FCA Financial Services"/>
    <s v="FINANCIADA"/>
    <s v="BODY"/>
    <x v="4"/>
    <d v="2019-08-29T00:00:00"/>
    <d v="2019-09-21T00:00:00"/>
    <n v="13"/>
    <n v="36"/>
    <m/>
    <n v="86640"/>
    <m/>
    <m/>
    <s v="MAA000031566"/>
    <s v="JOSE TRINIDAD BEDOYA SANTOS"/>
    <x v="7"/>
    <d v="2019-09-30T00:00:00"/>
    <m/>
    <m/>
    <n v="134000"/>
    <n v="134000"/>
    <n v="0"/>
    <s v="PAGO DE UNIDAD"/>
    <s v="FRCM000007854, FPCM000005420"/>
    <s v="30/09/2019, 03/10/2019"/>
    <m/>
    <s v="RIVAS TOVAR MARGARITO"/>
    <x v="2"/>
  </r>
  <r>
    <s v="07/08/2019"/>
    <s v="RENEGADE LATITUDE 4X2"/>
    <s v="988611566JK147373"/>
    <s v="JK147373"/>
    <n v="227760"/>
    <n v="227760"/>
    <s v="FCA Financial Services"/>
    <s v="FINANCIADA"/>
    <s v="P1"/>
    <x v="4"/>
    <d v="2019-08-29T00:00:00"/>
    <d v="2019-09-21T00:00:00"/>
    <n v="13"/>
    <n v="36"/>
    <m/>
    <n v="227760"/>
    <m/>
    <m/>
    <m/>
    <m/>
    <x v="2"/>
    <m/>
    <m/>
    <m/>
    <m/>
    <m/>
    <n v="0"/>
    <m/>
    <m/>
    <m/>
    <m/>
    <m/>
    <x v="1"/>
  </r>
  <r>
    <s v="08/08/2019"/>
    <s v="MIRAGE GLS MT"/>
    <s v="ML3AA28J6HH006296"/>
    <s v="HH006296"/>
    <n v="92000"/>
    <n v="92000"/>
    <s v="FCA Financial Services"/>
    <s v="FINANCIADA"/>
    <s v="BODY"/>
    <x v="4"/>
    <d v="2019-08-29T00:00:00"/>
    <d v="2019-09-21T00:00:00"/>
    <n v="13"/>
    <n v="36"/>
    <m/>
    <n v="92000"/>
    <m/>
    <m/>
    <m/>
    <m/>
    <x v="2"/>
    <m/>
    <m/>
    <m/>
    <m/>
    <m/>
    <n v="0"/>
    <m/>
    <m/>
    <m/>
    <m/>
    <m/>
    <x v="1"/>
  </r>
  <r>
    <s v="08/08/2019"/>
    <s v="DODGE JOURNEY SXT + 7 LUJO"/>
    <s v="3C4PDCCB1HT527870"/>
    <s v="HT527870"/>
    <n v="208880"/>
    <n v="208880"/>
    <s v="FCA Financial Services"/>
    <s v="FINANCIADA"/>
    <m/>
    <x v="4"/>
    <d v="2019-08-29T00:00:00"/>
    <d v="2019-09-21T00:00:00"/>
    <n v="13"/>
    <n v="36"/>
    <m/>
    <n v="208880"/>
    <m/>
    <m/>
    <m/>
    <m/>
    <x v="2"/>
    <m/>
    <m/>
    <m/>
    <m/>
    <m/>
    <n v="0"/>
    <m/>
    <m/>
    <m/>
    <m/>
    <m/>
    <x v="1"/>
  </r>
  <r>
    <s v="21/08/2019"/>
    <s v="JOURNEY SE ATX"/>
    <s v="3C4BDCAB7GT128635"/>
    <s v="GT128635"/>
    <n v="144000"/>
    <n v="144000"/>
    <s v="FCA Financial Services"/>
    <s v="FINANCIADA"/>
    <s v="P1"/>
    <x v="4"/>
    <d v="2019-08-29T00:00:00"/>
    <d v="2019-09-21T00:00:00"/>
    <n v="13"/>
    <n v="36"/>
    <m/>
    <n v="144000"/>
    <m/>
    <m/>
    <m/>
    <m/>
    <x v="2"/>
    <m/>
    <m/>
    <m/>
    <m/>
    <m/>
    <n v="0"/>
    <m/>
    <m/>
    <m/>
    <m/>
    <m/>
    <x v="1"/>
  </r>
  <r>
    <s v="08/08/2019"/>
    <s v="SOUL PE 2.0 EX T/A"/>
    <s v="KNDJP3A49J7508740"/>
    <s v="J7508740"/>
    <n v="177200"/>
    <n v="177200"/>
    <s v="FCA Financial Services"/>
    <s v="FINANCIADA"/>
    <s v="P1"/>
    <x v="4"/>
    <d v="2019-09-10T00:00:00"/>
    <d v="2019-10-03T00:00:00"/>
    <n v="1"/>
    <n v="24"/>
    <m/>
    <n v="177200"/>
    <m/>
    <m/>
    <m/>
    <m/>
    <x v="2"/>
    <m/>
    <m/>
    <m/>
    <m/>
    <m/>
    <n v="0"/>
    <m/>
    <m/>
    <m/>
    <m/>
    <m/>
    <x v="1"/>
  </r>
  <r>
    <s v="26/08/2019"/>
    <s v="ATTITUDE SE AT"/>
    <s v="ML3AB26J2GH000591"/>
    <s v="GH000591"/>
    <n v="77920"/>
    <n v="77920"/>
    <s v="FCA Financial Services"/>
    <s v="FINANCIADA"/>
    <s v="P1"/>
    <x v="4"/>
    <d v="2019-09-10T00:00:00"/>
    <d v="2019-10-03T00:00:00"/>
    <n v="1"/>
    <n v="24"/>
    <m/>
    <n v="77920"/>
    <m/>
    <m/>
    <m/>
    <m/>
    <x v="2"/>
    <m/>
    <m/>
    <m/>
    <m/>
    <m/>
    <n v="0"/>
    <m/>
    <m/>
    <m/>
    <m/>
    <m/>
    <x v="1"/>
  </r>
  <r>
    <s v="27/08/2019"/>
    <s v="CHEROKEE LIMITED FWD"/>
    <s v="1C4PJLDB3HW610542"/>
    <s v="HW610542"/>
    <n v="260000"/>
    <n v="260000"/>
    <s v="FCA Financial Services"/>
    <s v="FINANCIADA"/>
    <s v="ATLACOMULCO"/>
    <x v="4"/>
    <d v="2019-09-10T00:00:00"/>
    <d v="2019-10-03T00:00:00"/>
    <n v="1"/>
    <n v="24"/>
    <m/>
    <n v="260000"/>
    <m/>
    <m/>
    <m/>
    <m/>
    <x v="2"/>
    <m/>
    <m/>
    <m/>
    <m/>
    <m/>
    <n v="0"/>
    <m/>
    <m/>
    <m/>
    <m/>
    <m/>
    <x v="1"/>
  </r>
  <r>
    <s v="30/08/2019"/>
    <s v="ASX SE +"/>
    <s v="4A4LM61U4FE057053"/>
    <s v="FE057053"/>
    <n v="127680"/>
    <n v="127680"/>
    <s v="FCA Financial Services"/>
    <s v="FINANCIADA"/>
    <s v="LERMA"/>
    <x v="4"/>
    <d v="2019-09-10T00:00:00"/>
    <d v="2019-10-03T00:00:00"/>
    <n v="1"/>
    <n v="24"/>
    <m/>
    <n v="127680"/>
    <m/>
    <m/>
    <m/>
    <m/>
    <x v="2"/>
    <m/>
    <m/>
    <m/>
    <m/>
    <m/>
    <n v="0"/>
    <m/>
    <m/>
    <m/>
    <m/>
    <m/>
    <x v="1"/>
  </r>
  <r>
    <s v="31/08/2019"/>
    <s v="ACADIA D"/>
    <s v="1GKKV9KD2FJ130321"/>
    <s v="FJ130321"/>
    <n v="237200"/>
    <n v="237200"/>
    <s v="FCA Financial Services"/>
    <s v="FINANCIADA"/>
    <s v="P1"/>
    <x v="4"/>
    <d v="2019-09-10T00:00:00"/>
    <d v="2019-10-03T00:00:00"/>
    <n v="1"/>
    <n v="24"/>
    <m/>
    <n v="237200"/>
    <m/>
    <m/>
    <m/>
    <m/>
    <x v="2"/>
    <m/>
    <m/>
    <m/>
    <m/>
    <m/>
    <n v="0"/>
    <m/>
    <m/>
    <m/>
    <m/>
    <m/>
    <x v="1"/>
  </r>
  <r>
    <s v="04/09/2019"/>
    <s v="DURANGO"/>
    <s v="1C4SDHCT8GC441949"/>
    <s v="GC441949"/>
    <n v="325520"/>
    <n v="325520"/>
    <s v="FCA Financial Services"/>
    <s v="FINANCIADA"/>
    <s v="P1"/>
    <x v="4"/>
    <d v="2019-09-24T00:00:00"/>
    <d v="2019-10-17T00:00:00"/>
    <n v="-13"/>
    <n v="10"/>
    <m/>
    <n v="325520"/>
    <m/>
    <m/>
    <m/>
    <m/>
    <x v="2"/>
    <m/>
    <m/>
    <m/>
    <m/>
    <m/>
    <n v="0"/>
    <m/>
    <m/>
    <m/>
    <m/>
    <m/>
    <x v="1"/>
  </r>
  <r>
    <s v="05/09/2019"/>
    <s v="2500 REG CAB HEMI SPORT V8 6ATX 4X2"/>
    <s v="3C6JRAAT8HG544916"/>
    <s v="HG544916"/>
    <n v="248000"/>
    <n v="248000"/>
    <s v="FCA Financial Services"/>
    <s v="FINANCIADA"/>
    <s v="ATLACOMULCO"/>
    <x v="4"/>
    <d v="2019-09-24T00:00:00"/>
    <d v="2019-10-17T00:00:00"/>
    <n v="-13"/>
    <n v="10"/>
    <m/>
    <n v="248000"/>
    <m/>
    <m/>
    <m/>
    <m/>
    <x v="2"/>
    <m/>
    <m/>
    <m/>
    <m/>
    <m/>
    <n v="0"/>
    <m/>
    <m/>
    <m/>
    <m/>
    <m/>
    <x v="1"/>
  </r>
  <r>
    <s v="05/09/2019"/>
    <s v="SONIC F LTZ"/>
    <s v="3G1J85DCXGS588984"/>
    <s v="GS588984"/>
    <n v="106400"/>
    <n v="106400"/>
    <s v="FCA Financial Services"/>
    <s v="FINANCIADA"/>
    <s v="LERMA"/>
    <x v="4"/>
    <d v="2019-09-24T00:00:00"/>
    <d v="2019-10-17T00:00:00"/>
    <n v="-13"/>
    <n v="10"/>
    <m/>
    <n v="106400"/>
    <m/>
    <m/>
    <m/>
    <m/>
    <x v="2"/>
    <m/>
    <m/>
    <m/>
    <m/>
    <m/>
    <n v="0"/>
    <m/>
    <m/>
    <m/>
    <m/>
    <m/>
    <x v="1"/>
  </r>
  <r>
    <s v="31/08/2019"/>
    <s v="GRAND I10 4 PUERTAS GL MID AUTOMATICO 4"/>
    <s v="MALA74BC2HM189248"/>
    <s v="HM189248"/>
    <n v="84560"/>
    <n v="84560"/>
    <s v="FCA Financial Services"/>
    <s v="FINANCIADA"/>
    <s v="P1"/>
    <x v="4"/>
    <d v="2019-09-24T00:00:00"/>
    <d v="2019-10-17T00:00:00"/>
    <n v="-13"/>
    <n v="10"/>
    <m/>
    <n v="84560"/>
    <m/>
    <m/>
    <m/>
    <m/>
    <x v="2"/>
    <m/>
    <m/>
    <m/>
    <m/>
    <m/>
    <n v="0"/>
    <m/>
    <m/>
    <m/>
    <m/>
    <m/>
    <x v="1"/>
  </r>
  <r>
    <s v="31/08/2019"/>
    <s v="MITO PROGRESSION LUXURY"/>
    <s v="ZARBACCA5GX047740"/>
    <s v="GX047740"/>
    <n v="140800"/>
    <n v="140800"/>
    <s v="FCA Financial Services"/>
    <s v="FINANCIADA"/>
    <s v="P1"/>
    <x v="4"/>
    <d v="2019-09-24T00:00:00"/>
    <d v="2019-10-17T00:00:00"/>
    <n v="-13"/>
    <n v="10"/>
    <m/>
    <n v="140800"/>
    <m/>
    <m/>
    <m/>
    <m/>
    <x v="2"/>
    <m/>
    <m/>
    <m/>
    <m/>
    <m/>
    <n v="0"/>
    <m/>
    <m/>
    <m/>
    <m/>
    <m/>
    <x v="1"/>
  </r>
  <r>
    <s v="FIVE CONTI"/>
    <m/>
    <s v="FIVE CONTI"/>
    <m/>
    <s v="FIVE CONTI"/>
    <m/>
    <s v="FIVE CONTI"/>
    <m/>
    <m/>
    <x v="0"/>
    <s v="FIVE CONTI"/>
    <m/>
    <m/>
    <s v="FIVE CONTI"/>
    <m/>
    <m/>
    <m/>
    <m/>
    <s v="FIVE CONTI"/>
    <s v="FIVE CONTI"/>
    <x v="1"/>
    <m/>
    <s v="FIVE CONTI"/>
    <m/>
    <s v="FIVE CONTI"/>
    <m/>
    <s v="FIVE CONTI"/>
    <m/>
    <s v="FIVE CONTI"/>
    <m/>
    <s v="FIVE CONTI"/>
    <s v="FIVE CONTI"/>
    <x v="0"/>
  </r>
  <r>
    <s v="26/03/2019"/>
    <s v="RAM 2500 REGULAR CAB R/T / V8 8AT"/>
    <s v="3C6JRBCTXKG541736"/>
    <s v="KG541736"/>
    <n v="574843.80000000005"/>
    <n v="488617.23000000004"/>
    <s v="FCA Financial Services"/>
    <s v="REFINANCIADA"/>
    <s v="ATLACOMULCO"/>
    <x v="5"/>
    <d v="2019-08-21T00:00:00"/>
    <n v="58"/>
    <n v="44"/>
    <n v="9.4E-2"/>
    <n v="5613.6690646666675"/>
    <n v="494230.89906466671"/>
    <m/>
    <m/>
    <m/>
    <m/>
    <x v="2"/>
    <m/>
    <m/>
    <m/>
    <m/>
    <m/>
    <n v="0"/>
    <m/>
    <m/>
    <m/>
    <m/>
    <m/>
    <x v="1"/>
  </r>
  <r>
    <s v="05/04/2019"/>
    <s v="JEEP COMPASS LIMITED 4X2 ATX6 2.4L"/>
    <s v="3C4NJCCB8KT762712"/>
    <s v="KT762712"/>
    <n v="490557.04"/>
    <n v="416973.484"/>
    <s v="FCA Financial Services"/>
    <s v="REFINANCIADA"/>
    <s v="P1"/>
    <x v="5"/>
    <d v="2019-09-04T00:00:00"/>
    <n v="58"/>
    <n v="30"/>
    <n v="9.3299999999999994E-2"/>
    <n v="3241.9688380999996"/>
    <n v="420215.45283809997"/>
    <m/>
    <m/>
    <s v="MAA000031476"/>
    <s v="SERVICIO Y TECNOLOGIA ESPECIALIZADA S.A. DE C.V."/>
    <x v="1"/>
    <d v="2019-09-12T00:00:00"/>
    <m/>
    <m/>
    <n v="464000"/>
    <m/>
    <n v="464000"/>
    <m/>
    <m/>
    <m/>
    <m/>
    <s v="TORTI BECERRIL RENE OMAR"/>
    <x v="1"/>
  </r>
  <r>
    <s v="05/04/2019"/>
    <s v="DODGE ATTITUDE SE MT"/>
    <s v="ML3AB26J1KH004379"/>
    <s v="KH004379"/>
    <n v="194174.72"/>
    <n v="165048.51199999999"/>
    <s v="FCA Financial Services"/>
    <s v="REFINANCIADA"/>
    <s v="P1"/>
    <x v="5"/>
    <d v="2019-09-04T00:00:00"/>
    <n v="58"/>
    <n v="30"/>
    <n v="9.3299999999999994E-2"/>
    <n v="1283.2521807999999"/>
    <n v="166331.76418079998"/>
    <m/>
    <m/>
    <s v="MAA000031448"/>
    <s v="CONTRERAS MENDEZ JUAN CARLOS"/>
    <x v="5"/>
    <d v="2019-09-03T00:00:00"/>
    <m/>
    <m/>
    <n v="189900"/>
    <n v="50"/>
    <n v="189850"/>
    <s v="A CUENTA DE ENGANCHE"/>
    <s v="FRCM000007460"/>
    <d v="2019-09-03T00:00:00"/>
    <m/>
    <s v="ROMAN MOJICA JAVIER"/>
    <x v="1"/>
  </r>
  <r>
    <s v="05/04/2019"/>
    <s v="DODGE ATTITUDE SE MT"/>
    <s v="ML3AB26J6KH005320"/>
    <s v="KH005320"/>
    <n v="194174.72"/>
    <n v="165048.51199999999"/>
    <s v="FCA Financial Services"/>
    <s v="REFINANCIADA"/>
    <s v="P1"/>
    <x v="5"/>
    <d v="2019-09-04T00:00:00"/>
    <n v="58"/>
    <n v="30"/>
    <n v="9.3299999999999994E-2"/>
    <n v="1283.2521807999999"/>
    <n v="166331.76418079998"/>
    <m/>
    <m/>
    <s v="MAA000031314"/>
    <s v="ROMERO HUERTA JOSE ZACARIAS"/>
    <x v="5"/>
    <s v="31/07/2019"/>
    <m/>
    <m/>
    <n v="214900"/>
    <n v="9000"/>
    <n v="205900"/>
    <s v="PAGO DE ENGANCHE"/>
    <s v="FRCM000006971, FPCM000005274"/>
    <s v="31/07/2019, 23/09/2019"/>
    <m/>
    <s v="CAMACHO GUADARRAMA CARLOS"/>
    <x v="1"/>
  </r>
  <r>
    <s v="05/04/2019"/>
    <s v="DODGE ATTITUDE SE MT"/>
    <s v="ML3AB26J8KH005478"/>
    <s v="KH005478"/>
    <n v="194174.72"/>
    <n v="165048.51199999999"/>
    <s v="FCA Financial Services"/>
    <s v="REFINANCIADA"/>
    <s v="P1"/>
    <x v="5"/>
    <d v="2019-09-04T00:00:00"/>
    <n v="58"/>
    <n v="30"/>
    <n v="9.3299999999999994E-2"/>
    <n v="1283.2521807999999"/>
    <n v="166331.76418079998"/>
    <m/>
    <m/>
    <s v="MAA000031450"/>
    <s v="CAMACHO ESTRELLA HARLEY GABRIEL"/>
    <x v="5"/>
    <d v="2019-09-03T00:00:00"/>
    <m/>
    <m/>
    <n v="189900"/>
    <m/>
    <n v="189900"/>
    <m/>
    <m/>
    <m/>
    <m/>
    <s v="PIEDRA REMIGIO JUAN CARLOS"/>
    <x v="1"/>
  </r>
  <r>
    <s v="08/04/2019"/>
    <s v="JEEP COMPASS LIMITED PREMIUM 4X2 ATX6 2.4L"/>
    <s v="3C4NJCCB4KT762559"/>
    <s v="KT762559"/>
    <n v="527218.84"/>
    <n v="448136.01399999997"/>
    <s v="FCA Financial Services"/>
    <s v="REFINANCIADA"/>
    <s v="P1"/>
    <x v="5"/>
    <d v="2019-09-04T00:00:00"/>
    <n v="58"/>
    <n v="30"/>
    <n v="9.3299999999999994E-2"/>
    <n v="3484.2575088499998"/>
    <n v="451620.27150884998"/>
    <m/>
    <m/>
    <m/>
    <m/>
    <x v="2"/>
    <m/>
    <m/>
    <m/>
    <m/>
    <m/>
    <n v="0"/>
    <m/>
    <m/>
    <m/>
    <m/>
    <m/>
    <x v="1"/>
  </r>
  <r>
    <s v="10/04/2019"/>
    <s v="JEEP COMPASS LIMITED PREMIUM 4X2 ATX6 2.4L"/>
    <s v="3C4NJCCB0KT762719"/>
    <s v="KT762719"/>
    <n v="527218.84"/>
    <n v="448136.01399999997"/>
    <s v="FCA Financial Services"/>
    <s v="REFINANCIADA"/>
    <s v="BODY"/>
    <x v="5"/>
    <d v="2019-09-04T00:00:00"/>
    <n v="58"/>
    <n v="30"/>
    <n v="9.3299999999999994E-2"/>
    <n v="3484.2575088499998"/>
    <n v="451620.27150884998"/>
    <m/>
    <m/>
    <m/>
    <m/>
    <x v="2"/>
    <m/>
    <m/>
    <m/>
    <m/>
    <m/>
    <n v="0"/>
    <m/>
    <m/>
    <m/>
    <m/>
    <m/>
    <x v="1"/>
  </r>
  <r>
    <s v="27/04/2019"/>
    <s v="JEEP RENEGADE LATITUDE 4X2"/>
    <s v="988611564KK240586"/>
    <s v="KK240586"/>
    <n v="400983"/>
    <n v="340835.55"/>
    <s v="FCA Financial Services"/>
    <s v="FINANCIADA"/>
    <s v="TENANCINGO"/>
    <x v="5"/>
    <d v="2019-10-03T00:00:00"/>
    <n v="60"/>
    <n v="1"/>
    <n v="9.7699999999999995E-2"/>
    <n v="92.498981208333319"/>
    <n v="340928.0489812083"/>
    <m/>
    <m/>
    <m/>
    <m/>
    <x v="2"/>
    <m/>
    <m/>
    <m/>
    <m/>
    <m/>
    <n v="0"/>
    <m/>
    <m/>
    <m/>
    <m/>
    <m/>
    <x v="1"/>
  </r>
  <r>
    <s v="27/04/2019"/>
    <s v="JEEP RENEGADE LATITUDE 4X2"/>
    <s v="988611562KK241302"/>
    <s v="KK241302"/>
    <n v="400983"/>
    <n v="340835.55"/>
    <s v="FCA Financial Services"/>
    <s v="FINANCIADA"/>
    <s v="P1"/>
    <x v="5"/>
    <d v="2019-10-03T00:00:00"/>
    <n v="60"/>
    <n v="1"/>
    <n v="9.7699999999999995E-2"/>
    <n v="92.498981208333319"/>
    <n v="340928.0489812083"/>
    <m/>
    <m/>
    <m/>
    <m/>
    <x v="2"/>
    <m/>
    <m/>
    <m/>
    <m/>
    <m/>
    <n v="0"/>
    <m/>
    <m/>
    <m/>
    <m/>
    <m/>
    <x v="1"/>
  </r>
  <r>
    <s v="29/04/2019"/>
    <s v="RAM 700 CC ADVENTURE - RIN 16&quot;"/>
    <s v="9BD578679KY324622"/>
    <s v="KY324622"/>
    <n v="288603.36"/>
    <n v="245312.85599999997"/>
    <s v="FCA Financial Services"/>
    <s v="FINANCIADA"/>
    <s v="P1"/>
    <x v="5"/>
    <d v="2019-10-03T00:00:00"/>
    <n v="60"/>
    <n v="1"/>
    <n v="9.7699999999999995E-2"/>
    <n v="66.575183419999988"/>
    <n v="245379.43118341998"/>
    <m/>
    <m/>
    <m/>
    <m/>
    <x v="2"/>
    <m/>
    <m/>
    <m/>
    <m/>
    <m/>
    <n v="0"/>
    <m/>
    <m/>
    <m/>
    <m/>
    <m/>
    <x v="1"/>
  </r>
  <r>
    <s v="03/05/2019"/>
    <s v="DODGE JOURNEY SPORT PLUS +7 PAS. (2.4L)"/>
    <s v="3C4PDCGB8KT764020"/>
    <s v="KT764020"/>
    <n v="447376.04"/>
    <n v="380269.63399999996"/>
    <s v="FCA Financial Services"/>
    <s v="FINANCIADA"/>
    <s v="TENANCINGO"/>
    <x v="5"/>
    <d v="2019-10-03T00:00:00"/>
    <n v="60"/>
    <n v="1"/>
    <n v="9.7699999999999995E-2"/>
    <n v="103.20095344944443"/>
    <n v="380372.83495344943"/>
    <m/>
    <m/>
    <m/>
    <m/>
    <x v="2"/>
    <m/>
    <m/>
    <m/>
    <m/>
    <m/>
    <n v="0"/>
    <m/>
    <m/>
    <m/>
    <m/>
    <m/>
    <x v="1"/>
  </r>
  <r>
    <s v="03/05/2019"/>
    <s v="DODGE JOURNEY SPORT PLUS +7 PAS. (2.4L)"/>
    <s v="3C4PDCGBXKT764021"/>
    <s v="KT764021"/>
    <n v="447376.04"/>
    <n v="380269.63399999996"/>
    <s v="FCA Financial Services"/>
    <s v="FINANCIADA"/>
    <s v="ATLACOMULCO"/>
    <x v="5"/>
    <d v="2019-10-03T00:00:00"/>
    <n v="60"/>
    <n v="1"/>
    <n v="9.7699999999999995E-2"/>
    <n v="103.20095344944443"/>
    <n v="380372.83495344943"/>
    <m/>
    <m/>
    <m/>
    <m/>
    <x v="2"/>
    <m/>
    <m/>
    <m/>
    <m/>
    <m/>
    <n v="0"/>
    <m/>
    <m/>
    <m/>
    <m/>
    <m/>
    <x v="1"/>
  </r>
  <r>
    <s v="07/05/2019"/>
    <s v="DODGE JOURNEY SPORT+ 7 PAS. (2.4L)"/>
    <s v="3C4PDCGB7KT778779"/>
    <s v="KT778779"/>
    <n v="424309.44"/>
    <n v="360663.02399999998"/>
    <s v="FCA Financial Services"/>
    <s v="FINANCIADA"/>
    <s v="ATLACOMULCO"/>
    <x v="5"/>
    <d v="2019-10-03T00:00:00"/>
    <n v="60"/>
    <n v="1"/>
    <n v="9.7699999999999995E-2"/>
    <n v="97.879937346666665"/>
    <n v="360760.90393734665"/>
    <m/>
    <m/>
    <s v="MAA000031563"/>
    <s v="CANTERO TORRES TERESA"/>
    <x v="7"/>
    <d v="2019-09-30T00:00:00"/>
    <m/>
    <m/>
    <n v="454900"/>
    <n v="10000"/>
    <n v="444900"/>
    <s v="A CUENTA DE UNIDAD"/>
    <s v="FRCM000007669"/>
    <d v="2019-09-30T00:00:00"/>
    <m/>
    <s v="MARTINEZ TORRES MIGUEL ANGEL"/>
    <x v="1"/>
  </r>
  <r>
    <s v="07/05/2019"/>
    <s v="DODGE JOURNEY SPORT+ 7 PAS. (2.4L)"/>
    <s v="3C4PDCGB3KT778780"/>
    <s v="KT778780"/>
    <n v="424309.44"/>
    <n v="360663.02399999998"/>
    <s v="FCA Financial Services"/>
    <s v="FINANCIADA"/>
    <s v="TENANCINGO"/>
    <x v="5"/>
    <d v="2019-10-03T00:00:00"/>
    <n v="60"/>
    <n v="1"/>
    <n v="9.7699999999999995E-2"/>
    <n v="97.879937346666665"/>
    <n v="360760.90393734665"/>
    <m/>
    <m/>
    <m/>
    <m/>
    <x v="2"/>
    <m/>
    <m/>
    <m/>
    <m/>
    <m/>
    <n v="0"/>
    <m/>
    <m/>
    <m/>
    <m/>
    <m/>
    <x v="1"/>
  </r>
  <r>
    <s v="27/04/2019"/>
    <s v="JEEP RENEGADE LATITUDE 4X2"/>
    <s v="988611566KK242159"/>
    <s v="KK242159"/>
    <n v="400983"/>
    <n v="400983"/>
    <s v="FCA Financial Services"/>
    <s v="FINANCIADA"/>
    <s v="TENANCINGO"/>
    <x v="5"/>
    <d v="2019-06-13T00:00:00"/>
    <n v="120"/>
    <n v="113"/>
    <n v="9.7600000000000006E-2"/>
    <n v="12284.336973333335"/>
    <n v="413267.33697333332"/>
    <m/>
    <m/>
    <m/>
    <m/>
    <x v="2"/>
    <m/>
    <m/>
    <m/>
    <m/>
    <m/>
    <n v="0"/>
    <m/>
    <m/>
    <m/>
    <m/>
    <m/>
    <x v="1"/>
  </r>
  <r>
    <s v="27/04/2019"/>
    <s v="JEEP RENEGADE LATITUDE 4X2"/>
    <s v="988611566KK242193"/>
    <s v="KK242193"/>
    <n v="400983"/>
    <n v="400983"/>
    <s v="FCA Financial Services"/>
    <s v="FINANCIADA"/>
    <s v="SALA"/>
    <x v="5"/>
    <d v="2019-06-13T00:00:00"/>
    <n v="120"/>
    <n v="113"/>
    <n v="9.7600000000000006E-2"/>
    <n v="12284.336973333335"/>
    <n v="413267.33697333332"/>
    <m/>
    <m/>
    <m/>
    <m/>
    <x v="2"/>
    <m/>
    <m/>
    <m/>
    <m/>
    <m/>
    <n v="0"/>
    <m/>
    <m/>
    <m/>
    <m/>
    <m/>
    <x v="1"/>
  </r>
  <r>
    <s v="27/04/2019"/>
    <s v="JEEP RENEGADE LATITUDE 4X2"/>
    <s v="988611560KK244604"/>
    <s v="KK244604"/>
    <n v="400983"/>
    <n v="400983"/>
    <s v="FCA Financial Services"/>
    <s v="FINANCIADA"/>
    <s v="P1"/>
    <x v="5"/>
    <d v="2019-06-13T00:00:00"/>
    <n v="120"/>
    <n v="113"/>
    <n v="9.7600000000000006E-2"/>
    <n v="12284.336973333335"/>
    <n v="413267.33697333332"/>
    <m/>
    <m/>
    <s v="MAA000031451"/>
    <s v="MENDOZA NUÑEZ MIGUEL"/>
    <x v="7"/>
    <d v="2019-09-03T00:00:00"/>
    <m/>
    <m/>
    <n v="400900"/>
    <n v="161325.32"/>
    <n v="239574.68"/>
    <s v="A CUENTA DE UNIDAD"/>
    <s v="FRCM000007470, FPCM000005112"/>
    <d v="2019-09-04T00:00:00"/>
    <m/>
    <s v="MARTINEZ TORRES MIGUEL ANGEL"/>
    <x v="1"/>
  </r>
  <r>
    <s v="08/05/2019"/>
    <s v="DODGE JOURNEY SPORT PLUS +7 PAS. (2.4L)"/>
    <s v="3C4PDCGB7KT778782"/>
    <s v="KT778782"/>
    <n v="447376.04"/>
    <n v="447376.04"/>
    <s v="FCA Financial Services"/>
    <s v="FINANCIADA"/>
    <s v="P1"/>
    <x v="5"/>
    <d v="2019-06-13T00:00:00"/>
    <n v="120"/>
    <n v="113"/>
    <n v="9.7600000000000006E-2"/>
    <n v="13705.613527644446"/>
    <n v="461081.6535276444"/>
    <m/>
    <m/>
    <m/>
    <m/>
    <x v="2"/>
    <m/>
    <m/>
    <m/>
    <m/>
    <m/>
    <n v="0"/>
    <m/>
    <m/>
    <m/>
    <m/>
    <m/>
    <x v="1"/>
  </r>
  <r>
    <d v="2019-02-21T00:00:00"/>
    <s v="JEEP GRAND CHEROKEE LIMITED LUJO 3.6L  V6 4X2"/>
    <s v="1C4RJEBG8KC673647"/>
    <s v="KC673647"/>
    <n v="709341.16"/>
    <n v="709341.16"/>
    <s v="FCA Financial Services"/>
    <s v="FINANCIADA"/>
    <s v="P1"/>
    <x v="5"/>
    <d v="2019-06-19T00:00:00"/>
    <n v="120"/>
    <n v="107"/>
    <n v="9.7699999999999995E-2"/>
    <n v="20598.282090344444"/>
    <n v="729939.4420903445"/>
    <m/>
    <m/>
    <m/>
    <m/>
    <x v="2"/>
    <m/>
    <m/>
    <m/>
    <m/>
    <m/>
    <n v="0"/>
    <m/>
    <m/>
    <m/>
    <m/>
    <m/>
    <x v="1"/>
  </r>
  <r>
    <s v="30/03/2019"/>
    <s v="RAM 1500 LIMITED V8 8AT 4X4"/>
    <s v="1C6SRFHT6KN772418"/>
    <s v="KN772418"/>
    <n v="965904.16"/>
    <n v="965904.16"/>
    <s v="FCA Financial Services"/>
    <s v="FINANCIADA"/>
    <s v="SALA"/>
    <x v="5"/>
    <d v="2019-06-19T00:00:00"/>
    <n v="120"/>
    <n v="107"/>
    <n v="9.7699999999999995E-2"/>
    <n v="28048.515272844445"/>
    <n v="993952.6752728445"/>
    <m/>
    <m/>
    <m/>
    <m/>
    <x v="2"/>
    <m/>
    <m/>
    <m/>
    <m/>
    <m/>
    <n v="0"/>
    <m/>
    <m/>
    <m/>
    <m/>
    <m/>
    <x v="1"/>
  </r>
  <r>
    <s v="12/04/2019"/>
    <s v="RAM 1500 LONGHORN V8 8AT 4X4"/>
    <s v="1C6SRFKT4KN820359"/>
    <s v="KN820359"/>
    <n v="897783.16"/>
    <n v="897783.16"/>
    <s v="FCA Financial Services"/>
    <s v="FINANCIADA"/>
    <s v="LERMA"/>
    <x v="5"/>
    <d v="2019-06-19T00:00:00"/>
    <n v="120"/>
    <n v="107"/>
    <n v="9.7699999999999995E-2"/>
    <n v="26070.376045344448"/>
    <n v="923853.53604534443"/>
    <m/>
    <m/>
    <m/>
    <m/>
    <x v="2"/>
    <m/>
    <m/>
    <m/>
    <m/>
    <m/>
    <n v="0"/>
    <m/>
    <m/>
    <m/>
    <m/>
    <m/>
    <x v="1"/>
  </r>
  <r>
    <s v="27/04/2019"/>
    <s v="JEEP WRANGLER UNLIMITED SAHARA"/>
    <s v="1C4HJXEG1KW615042"/>
    <s v="KW615042"/>
    <n v="742964.92"/>
    <n v="742964.92"/>
    <s v="FCA Financial Services"/>
    <s v="FINANCIADA"/>
    <s v="P1"/>
    <x v="5"/>
    <d v="2019-06-19T00:00:00"/>
    <n v="120"/>
    <n v="107"/>
    <n v="9.7699999999999995E-2"/>
    <n v="21574.66938107778"/>
    <n v="764539.58938107779"/>
    <m/>
    <m/>
    <m/>
    <m/>
    <x v="2"/>
    <m/>
    <m/>
    <m/>
    <m/>
    <m/>
    <n v="0"/>
    <m/>
    <m/>
    <m/>
    <m/>
    <m/>
    <x v="1"/>
  </r>
  <r>
    <s v="21/05/2019"/>
    <s v="DODGE ATTITUDE SXT AT"/>
    <s v="ML3AB56J7KH006848"/>
    <s v="KH006848"/>
    <n v="234852.44"/>
    <n v="234852.44"/>
    <s v="FCA Financial Services"/>
    <s v="FINANCIADA"/>
    <s v="TENANCINGO"/>
    <x v="5"/>
    <d v="2019-06-19T00:00:00"/>
    <n v="120"/>
    <n v="107"/>
    <n v="9.7699999999999995E-2"/>
    <n v="6819.7886736555556"/>
    <n v="241672.22867365557"/>
    <m/>
    <m/>
    <m/>
    <m/>
    <x v="2"/>
    <m/>
    <m/>
    <m/>
    <m/>
    <m/>
    <n v="0"/>
    <m/>
    <m/>
    <m/>
    <m/>
    <m/>
    <x v="1"/>
  </r>
  <r>
    <s v="22/05/2019"/>
    <s v="JEEP RENEGADE LIMITED 1.8L 6AT"/>
    <s v="988611564KK248042"/>
    <s v="KK248042"/>
    <n v="416361.12"/>
    <n v="416361.12"/>
    <s v="FCA Financial Services"/>
    <s v="FINANCIADA"/>
    <s v="SALA"/>
    <x v="5"/>
    <d v="2019-06-19T00:00:00"/>
    <n v="120"/>
    <n v="107"/>
    <n v="9.7699999999999995E-2"/>
    <n v="12090.548645466666"/>
    <n v="428451.66864546668"/>
    <m/>
    <m/>
    <m/>
    <m/>
    <x v="2"/>
    <m/>
    <m/>
    <m/>
    <m/>
    <m/>
    <n v="0"/>
    <m/>
    <m/>
    <m/>
    <m/>
    <m/>
    <x v="1"/>
  </r>
  <r>
    <s v="22/05/2019"/>
    <s v="JEEP RENEGADE LATITUDE 4X2"/>
    <s v="988611569KK249171"/>
    <s v="KK249171"/>
    <n v="400983"/>
    <n v="400983"/>
    <s v="FCA Financial Services"/>
    <s v="FINANCIADA"/>
    <s v="ATLACOMULCO"/>
    <x v="5"/>
    <d v="2019-06-19T00:00:00"/>
    <n v="120"/>
    <n v="107"/>
    <n v="9.7699999999999995E-2"/>
    <n v="11643.989399166665"/>
    <n v="412626.98939916666"/>
    <m/>
    <m/>
    <m/>
    <m/>
    <x v="2"/>
    <m/>
    <m/>
    <m/>
    <m/>
    <m/>
    <n v="0"/>
    <m/>
    <m/>
    <m/>
    <m/>
    <m/>
    <x v="1"/>
  </r>
  <r>
    <s v="22/05/2019"/>
    <s v="JEEP RENEGADE LATITUDE 4X2"/>
    <s v="988611560KK249172"/>
    <s v="KK249172"/>
    <n v="400983"/>
    <n v="400983"/>
    <s v="FCA Financial Services"/>
    <s v="FINANCIADA"/>
    <s v="LERMA"/>
    <x v="5"/>
    <d v="2019-06-19T00:00:00"/>
    <n v="120"/>
    <n v="107"/>
    <n v="9.7699999999999995E-2"/>
    <n v="11643.989399166665"/>
    <n v="412626.98939916666"/>
    <m/>
    <m/>
    <m/>
    <m/>
    <x v="2"/>
    <m/>
    <m/>
    <m/>
    <m/>
    <m/>
    <n v="0"/>
    <m/>
    <m/>
    <m/>
    <m/>
    <m/>
    <x v="1"/>
  </r>
  <r>
    <s v="22/05/2019"/>
    <s v="JEEP RENEGADE LATITUDE 4X2"/>
    <s v="988611564KK249367"/>
    <s v="KK249367"/>
    <n v="400983"/>
    <n v="400983"/>
    <s v="FCA Financial Services"/>
    <s v="FINANCIADA"/>
    <s v="LERMA"/>
    <x v="5"/>
    <d v="2019-06-19T00:00:00"/>
    <n v="120"/>
    <n v="107"/>
    <n v="9.7699999999999995E-2"/>
    <n v="11643.989399166665"/>
    <n v="412626.98939916666"/>
    <m/>
    <m/>
    <m/>
    <m/>
    <x v="2"/>
    <m/>
    <m/>
    <m/>
    <m/>
    <m/>
    <n v="0"/>
    <m/>
    <m/>
    <m/>
    <m/>
    <m/>
    <x v="1"/>
  </r>
  <r>
    <s v="22/05/2019"/>
    <s v="RAM 1500 LIMITED V8 8AT 4X4"/>
    <s v="1C6SRFHT4KN772417"/>
    <s v="KN772417"/>
    <n v="965904.16"/>
    <n v="965904.16"/>
    <s v="FCA Financial Services"/>
    <s v="FINANCIADA"/>
    <s v="LERMA"/>
    <x v="5"/>
    <d v="2019-06-19T00:00:00"/>
    <n v="120"/>
    <n v="107"/>
    <n v="9.7699999999999995E-2"/>
    <n v="28048.515272844445"/>
    <n v="993952.6752728445"/>
    <m/>
    <m/>
    <m/>
    <m/>
    <x v="2"/>
    <m/>
    <m/>
    <m/>
    <m/>
    <m/>
    <n v="0"/>
    <m/>
    <m/>
    <m/>
    <m/>
    <m/>
    <x v="1"/>
  </r>
  <r>
    <s v="24/05/2019"/>
    <s v="JEEP WRANGLER UNLIMITED SPORT"/>
    <s v="1C4HJXDG1KW648074"/>
    <s v="KW648074"/>
    <n v="649734.56000000006"/>
    <n v="649734.56000000006"/>
    <s v="FCA Financial Services"/>
    <s v="FINANCIADA"/>
    <s v="AUTOPOLANCO"/>
    <x v="5"/>
    <d v="2019-06-19T00:00:00"/>
    <n v="120"/>
    <n v="107"/>
    <n v="9.7699999999999995E-2"/>
    <n v="18867.38921328889"/>
    <n v="668601.94921328896"/>
    <m/>
    <m/>
    <m/>
    <m/>
    <x v="2"/>
    <m/>
    <m/>
    <m/>
    <m/>
    <m/>
    <n v="0"/>
    <m/>
    <m/>
    <m/>
    <m/>
    <m/>
    <x v="1"/>
  </r>
  <r>
    <s v="30/05/2019"/>
    <s v="CHRYSLER PACIFICA LIMITED PLATINUM"/>
    <s v="2C4RC1GG1KR704918"/>
    <s v="KR704918"/>
    <n v="807605.92"/>
    <n v="807605.92"/>
    <s v="FCA Financial Services"/>
    <s v="FINANCIADA"/>
    <s v="SALA"/>
    <x v="5"/>
    <d v="2019-07-18T00:00:00"/>
    <n v="120"/>
    <n v="78"/>
    <n v="9.7000000000000003E-2"/>
    <n v="16973.184418666671"/>
    <n v="824579.10441866668"/>
    <m/>
    <m/>
    <m/>
    <m/>
    <x v="2"/>
    <m/>
    <m/>
    <m/>
    <m/>
    <m/>
    <n v="0"/>
    <m/>
    <m/>
    <m/>
    <m/>
    <m/>
    <x v="1"/>
  </r>
  <r>
    <s v="05/06/2019"/>
    <s v="DODGE JOURNEY SPORT PLUS +7 PAS. (2.4L)"/>
    <s v="3C4PDCGBXKT804758"/>
    <s v="KT804758"/>
    <n v="447376.04"/>
    <n v="447376.04"/>
    <s v="FCA Financial Services"/>
    <s v="FINANCIADA"/>
    <s v="TENANCINGO"/>
    <x v="5"/>
    <d v="2019-07-18T00:00:00"/>
    <n v="120"/>
    <n v="78"/>
    <n v="9.7000000000000003E-2"/>
    <n v="9402.3531073333324"/>
    <n v="456778.39310733334"/>
    <m/>
    <m/>
    <m/>
    <m/>
    <x v="2"/>
    <m/>
    <m/>
    <m/>
    <m/>
    <m/>
    <n v="0"/>
    <m/>
    <m/>
    <m/>
    <m/>
    <m/>
    <x v="1"/>
  </r>
  <r>
    <s v="06/06/2019"/>
    <s v="DODGE JOURNEY SPORT PLUS +7 PAS. (2.4L)"/>
    <s v="3C4PDCGB8KT804760"/>
    <s v="KT804760"/>
    <n v="447376.04"/>
    <n v="447376.04"/>
    <s v="FCA Financial Services"/>
    <s v="FINANCIADA"/>
    <s v="SALA"/>
    <x v="5"/>
    <d v="2019-07-18T00:00:00"/>
    <n v="120"/>
    <n v="78"/>
    <n v="9.7000000000000003E-2"/>
    <n v="9402.3531073333324"/>
    <n v="456778.39310733334"/>
    <m/>
    <m/>
    <m/>
    <m/>
    <x v="2"/>
    <m/>
    <m/>
    <m/>
    <m/>
    <m/>
    <n v="0"/>
    <m/>
    <m/>
    <m/>
    <m/>
    <m/>
    <x v="1"/>
  </r>
  <r>
    <s v="08/06/2019"/>
    <s v="DODGE JOURNEY SPORT PLUS +7 PAS. (2.4L)"/>
    <s v="3C4PDCGB1KT804759"/>
    <s v="KT804759"/>
    <n v="447376.04"/>
    <n v="447376.04"/>
    <s v="FCA Financial Services"/>
    <s v="FINANCIADA"/>
    <s v="ATLACOMULCO"/>
    <x v="5"/>
    <d v="2019-07-18T00:00:00"/>
    <n v="120"/>
    <n v="78"/>
    <n v="9.7000000000000003E-2"/>
    <n v="9402.3531073333324"/>
    <n v="456778.39310733334"/>
    <m/>
    <m/>
    <m/>
    <m/>
    <x v="2"/>
    <m/>
    <m/>
    <m/>
    <m/>
    <m/>
    <n v="0"/>
    <m/>
    <m/>
    <m/>
    <m/>
    <m/>
    <x v="1"/>
  </r>
  <r>
    <s v="25/06/2019"/>
    <s v="DODGE ATTITUDE SXT MT"/>
    <s v="ML3AB56J7KH008017"/>
    <s v="KH008017"/>
    <n v="223101.64"/>
    <n v="223101.64"/>
    <s v="FCA Financial Services"/>
    <s v="FINANCIADA"/>
    <s v="ATLACOMULCO"/>
    <x v="5"/>
    <d v="2019-07-31T00:00:00"/>
    <n v="120"/>
    <n v="65"/>
    <n v="9.6799999999999997E-2"/>
    <n v="3899.3208857777781"/>
    <n v="227000.96088577778"/>
    <m/>
    <m/>
    <m/>
    <m/>
    <x v="2"/>
    <m/>
    <m/>
    <m/>
    <m/>
    <m/>
    <n v="0"/>
    <m/>
    <m/>
    <m/>
    <m/>
    <m/>
    <x v="1"/>
  </r>
  <r>
    <s v="25/06/2019"/>
    <s v="DODGE ATTITUDE SXT AT"/>
    <s v="ML3AB56J0KH009039"/>
    <s v="KH009039"/>
    <n v="234852.44"/>
    <n v="234852.44"/>
    <s v="FCA Financial Services"/>
    <s v="FINANCIADA"/>
    <s v="LERMA"/>
    <x v="5"/>
    <d v="2019-07-31T00:00:00"/>
    <n v="120"/>
    <n v="65"/>
    <n v="9.6799999999999997E-2"/>
    <n v="4104.698756888889"/>
    <n v="238957.13875688889"/>
    <m/>
    <m/>
    <s v="LA000003090"/>
    <s v="LOPEZ GRANADOS MARIA DEL CARMEN"/>
    <x v="5"/>
    <d v="2019-09-23T00:00:00"/>
    <m/>
    <m/>
    <n v="254900"/>
    <m/>
    <n v="254900"/>
    <m/>
    <m/>
    <m/>
    <m/>
    <s v="MIRELES MORALES SANDRA"/>
    <x v="1"/>
  </r>
  <r>
    <s v="27/06/2019"/>
    <s v="RAM 4000 CHASIS CABINA &quot;PL&quot; 4X2 MTX 8 CIL"/>
    <s v="3C7WRAKT2KG580186"/>
    <s v="KG580186"/>
    <n v="505018.76"/>
    <n v="505018.76"/>
    <s v="FCA Financial Services"/>
    <s v="FINANCIADA"/>
    <s v="ATLACOMULCO"/>
    <x v="5"/>
    <d v="2019-07-31T00:00:00"/>
    <n v="120"/>
    <n v="65"/>
    <n v="9.6799999999999997E-2"/>
    <n v="8826.6056608888885"/>
    <n v="513845.3656608889"/>
    <m/>
    <m/>
    <m/>
    <m/>
    <x v="2"/>
    <m/>
    <m/>
    <m/>
    <m/>
    <m/>
    <n v="0"/>
    <m/>
    <m/>
    <m/>
    <m/>
    <m/>
    <x v="1"/>
  </r>
  <r>
    <s v="28/06/2019"/>
    <s v="JEEP RENEGADE SPORT 4X2"/>
    <s v="98861155XKK251907"/>
    <s v="KK251907"/>
    <n v="363678.56"/>
    <n v="363678.56"/>
    <s v="FCA Financial Services"/>
    <s v="FINANCIADA"/>
    <s v="P1"/>
    <x v="5"/>
    <d v="2019-07-31T00:00:00"/>
    <n v="120"/>
    <n v="65"/>
    <n v="9.6799999999999997E-2"/>
    <n v="6356.2930542222221"/>
    <n v="370034.85305422224"/>
    <m/>
    <m/>
    <m/>
    <m/>
    <x v="2"/>
    <m/>
    <m/>
    <m/>
    <m/>
    <m/>
    <n v="0"/>
    <m/>
    <m/>
    <m/>
    <m/>
    <m/>
    <x v="1"/>
  </r>
  <r>
    <s v="28/06/2019"/>
    <s v="JEEP RENEGADE SPORT 4X2"/>
    <s v="988611551KK253576"/>
    <s v="KK253576"/>
    <n v="363678.56"/>
    <n v="363678.56"/>
    <s v="FCA Financial Services"/>
    <s v="FINANCIADA"/>
    <s v="LERMA"/>
    <x v="5"/>
    <d v="2019-07-31T00:00:00"/>
    <n v="120"/>
    <n v="65"/>
    <n v="9.6799999999999997E-2"/>
    <n v="6356.2930542222221"/>
    <n v="370034.85305422224"/>
    <m/>
    <m/>
    <m/>
    <m/>
    <x v="2"/>
    <m/>
    <m/>
    <m/>
    <m/>
    <m/>
    <n v="0"/>
    <m/>
    <m/>
    <m/>
    <m/>
    <m/>
    <x v="1"/>
  </r>
  <r>
    <s v="28/06/2019"/>
    <s v="JEEP RENEGADE LATITUDE 4X2"/>
    <s v="988611569KK251552"/>
    <s v="KK251552"/>
    <n v="400983"/>
    <n v="400983"/>
    <s v="FCA Financial Services"/>
    <s v="FINANCIADA"/>
    <s v="P1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5KK251628"/>
    <s v="KK251628"/>
    <n v="400983"/>
    <n v="400983"/>
    <s v="FCA Financial Services"/>
    <s v="FINANCIADA"/>
    <s v="ATLACOMULCO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6KK251637"/>
    <s v="KK251637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6KK251654"/>
    <s v="KK251654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3KK251739"/>
    <s v="KK251739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9KK251812"/>
    <s v="KK251812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0KK251939"/>
    <s v="KK251939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9KK251955"/>
    <s v="KK251955"/>
    <n v="400983"/>
    <n v="400983"/>
    <s v="FCA Financial Services"/>
    <s v="FINANCIADA"/>
    <s v="P1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8KK251994"/>
    <s v="KK251994"/>
    <n v="400983"/>
    <n v="400983"/>
    <s v="FCA Financial Services"/>
    <s v="FINANCIADA"/>
    <s v="SAL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5KK251998"/>
    <s v="KK251998"/>
    <n v="400983"/>
    <n v="400983"/>
    <s v="FCA Financial Services"/>
    <s v="FINANCIADA"/>
    <s v="P1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0KK252007"/>
    <s v="KK252007"/>
    <n v="400983"/>
    <n v="400983"/>
    <s v="FCA Financial Services"/>
    <s v="FINANCIADA"/>
    <s v="SAL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5KK252018"/>
    <s v="KK252018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5KK252178"/>
    <s v="KK252178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ATITUDE 4X2"/>
    <s v="988611561KK252226"/>
    <s v="KK252226"/>
    <n v="400983"/>
    <n v="400983"/>
    <s v="FCA Financial Services"/>
    <s v="FINANCIADA"/>
    <s v="LERMA"/>
    <x v="5"/>
    <d v="2019-07-31T00:00:00"/>
    <n v="120"/>
    <n v="65"/>
    <n v="9.6799999999999997E-2"/>
    <n v="7008.2917666666663"/>
    <n v="407991.29176666669"/>
    <m/>
    <m/>
    <m/>
    <m/>
    <x v="2"/>
    <m/>
    <m/>
    <m/>
    <m/>
    <m/>
    <n v="0"/>
    <m/>
    <m/>
    <m/>
    <m/>
    <m/>
    <x v="1"/>
  </r>
  <r>
    <s v="28/06/2019"/>
    <s v="JEEP RENEGADE LIMITED 1.8L 6AT"/>
    <s v="988611564KK255735"/>
    <s v="KK255735"/>
    <n v="416361.12"/>
    <n v="416361.12"/>
    <s v="FCA Financial Services"/>
    <s v="FINANCIADA"/>
    <s v="P1"/>
    <x v="5"/>
    <d v="2019-07-31T00:00:00"/>
    <n v="120"/>
    <n v="65"/>
    <n v="9.6799999999999997E-2"/>
    <n v="7277.0671306666654"/>
    <n v="423638.18713066669"/>
    <m/>
    <m/>
    <m/>
    <m/>
    <x v="2"/>
    <m/>
    <m/>
    <m/>
    <m/>
    <m/>
    <n v="0"/>
    <m/>
    <m/>
    <m/>
    <m/>
    <m/>
    <x v="1"/>
  </r>
  <r>
    <s v="28/06/2019"/>
    <s v="RAM PROMASTER RAPID"/>
    <s v="9BD265557K9132937"/>
    <s v="K9132937"/>
    <n v="220010.23999999999"/>
    <n v="220010.23999999999"/>
    <s v="FCA Financial Services"/>
    <s v="FINANCIADA"/>
    <s v="P1"/>
    <x v="5"/>
    <d v="2019-07-31T00:00:00"/>
    <n v="120"/>
    <n v="65"/>
    <n v="9.6799999999999997E-2"/>
    <n v="3845.2900835555552"/>
    <n v="223855.53008355555"/>
    <m/>
    <m/>
    <m/>
    <m/>
    <x v="2"/>
    <m/>
    <m/>
    <m/>
    <m/>
    <m/>
    <n v="0"/>
    <m/>
    <m/>
    <m/>
    <m/>
    <m/>
    <x v="1"/>
  </r>
  <r>
    <s v="08/07/2019"/>
    <s v="RAM 4000 CHASIS CABINA &quot;PL&quot; 4X2 MTX 8 CIL"/>
    <s v="3C7WRAKT3KG575790"/>
    <s v="KG575790"/>
    <n v="505018.76"/>
    <n v="505018.76"/>
    <s v="FCA Financial Services"/>
    <s v="FINANCIADA"/>
    <s v="LERMA"/>
    <x v="5"/>
    <d v="2019-08-07T00:00:00"/>
    <n v="120"/>
    <n v="58"/>
    <n v="9.64E-2"/>
    <n v="7843.5024747555553"/>
    <n v="512862.26247475558"/>
    <m/>
    <m/>
    <m/>
    <m/>
    <x v="2"/>
    <m/>
    <m/>
    <m/>
    <m/>
    <m/>
    <n v="0"/>
    <m/>
    <m/>
    <m/>
    <m/>
    <m/>
    <x v="1"/>
  </r>
  <r>
    <s v="12/07/2019"/>
    <s v="RAM 2500 CREW CAB HEMI SPORT V8 6AT 4X4"/>
    <s v="3C6RRBDT3KG600305"/>
    <s v="KG600305"/>
    <n v="571293.04"/>
    <n v="571293.04"/>
    <s v="FCA Financial Services"/>
    <s v="FINANCIADA"/>
    <s v="P1"/>
    <x v="5"/>
    <d v="2019-08-07T00:00:00"/>
    <n v="120"/>
    <n v="58"/>
    <n v="9.64E-2"/>
    <n v="8872.8156812444449"/>
    <n v="580165.85568124452"/>
    <m/>
    <m/>
    <m/>
    <m/>
    <x v="2"/>
    <m/>
    <m/>
    <m/>
    <m/>
    <m/>
    <n v="0"/>
    <m/>
    <m/>
    <m/>
    <m/>
    <m/>
    <x v="1"/>
  </r>
  <r>
    <s v="15/07/2019"/>
    <s v="DODGE ATTITUDE SXT MT"/>
    <s v="ML3AB56J6KH009854"/>
    <s v="KH009854"/>
    <n v="223101.64"/>
    <n v="223101.64"/>
    <s v="FCA Financial Services"/>
    <s v="FINANCIADA"/>
    <s v="P1"/>
    <x v="5"/>
    <d v="2019-08-12T00:00:00"/>
    <n v="120"/>
    <n v="53"/>
    <n v="9.6500000000000002E-2"/>
    <n v="3169.5926049444447"/>
    <n v="226271.23260494447"/>
    <m/>
    <m/>
    <m/>
    <m/>
    <x v="2"/>
    <m/>
    <m/>
    <m/>
    <m/>
    <m/>
    <n v="0"/>
    <m/>
    <m/>
    <m/>
    <m/>
    <m/>
    <x v="1"/>
  </r>
  <r>
    <s v="15/07/2019"/>
    <s v="DODGE ATTITUDE SXT MT"/>
    <s v="ML3AB56J1KH009972"/>
    <s v="KH009972"/>
    <n v="223101.64"/>
    <n v="223101.64"/>
    <s v="FCA Financial Services"/>
    <s v="FINANCIADA"/>
    <s v="ATLACOMULCO"/>
    <x v="5"/>
    <d v="2019-08-12T00:00:00"/>
    <n v="120"/>
    <n v="53"/>
    <n v="9.6500000000000002E-2"/>
    <n v="3169.5926049444447"/>
    <n v="226271.23260494447"/>
    <m/>
    <m/>
    <m/>
    <m/>
    <x v="2"/>
    <m/>
    <m/>
    <m/>
    <m/>
    <m/>
    <n v="0"/>
    <m/>
    <m/>
    <m/>
    <m/>
    <m/>
    <x v="1"/>
  </r>
  <r>
    <s v="16/07/2019"/>
    <s v="DODGE ATTITUDE SXT MT"/>
    <s v="ML3AB56J6KH009885"/>
    <s v="KH009885"/>
    <n v="223101.64"/>
    <n v="223101.64"/>
    <s v="FCA Financial Services"/>
    <s v="FINANCIADA"/>
    <s v="P1"/>
    <x v="5"/>
    <d v="2019-08-12T00:00:00"/>
    <n v="120"/>
    <n v="53"/>
    <n v="9.6500000000000002E-2"/>
    <n v="3169.5926049444447"/>
    <n v="226271.23260494447"/>
    <m/>
    <m/>
    <m/>
    <m/>
    <x v="2"/>
    <m/>
    <m/>
    <m/>
    <m/>
    <m/>
    <n v="0"/>
    <m/>
    <m/>
    <m/>
    <m/>
    <m/>
    <x v="1"/>
  </r>
  <r>
    <s v="26/07/2019"/>
    <s v="DODGE NEON SE AT"/>
    <s v="ZFAADAAP6L6N85539"/>
    <s v="L6N85539"/>
    <n v="269521.36"/>
    <n v="269521.36"/>
    <s v="FCA Financial Services"/>
    <s v="FINANCIADA"/>
    <s v="SALA"/>
    <x v="5"/>
    <d v="2019-09-06T00:00:00"/>
    <n v="119"/>
    <n v="28"/>
    <n v="9.3399999999999997E-2"/>
    <n v="1957.9229463111112"/>
    <n v="271479.28294631111"/>
    <m/>
    <m/>
    <m/>
    <m/>
    <x v="2"/>
    <m/>
    <m/>
    <m/>
    <m/>
    <m/>
    <n v="0"/>
    <m/>
    <m/>
    <m/>
    <m/>
    <m/>
    <x v="1"/>
  </r>
  <r>
    <s v="26/07/2019"/>
    <s v="DODGE NEON SE AT"/>
    <s v="ZFAADAAP8L6N85722"/>
    <s v="L6N85722"/>
    <n v="269521.36"/>
    <n v="269521.36"/>
    <s v="FCA Financial Services"/>
    <s v="FINANCIADA"/>
    <m/>
    <x v="5"/>
    <d v="2019-09-06T00:00:00"/>
    <n v="119"/>
    <n v="28"/>
    <n v="9.3399999999999997E-2"/>
    <n v="1957.9229463111112"/>
    <n v="271479.28294631111"/>
    <m/>
    <m/>
    <m/>
    <m/>
    <x v="2"/>
    <m/>
    <m/>
    <m/>
    <m/>
    <m/>
    <n v="0"/>
    <m/>
    <m/>
    <m/>
    <m/>
    <m/>
    <x v="1"/>
  </r>
  <r>
    <s v="31/07/2019"/>
    <s v="DODGE JOURNEY SE BLACKTOP"/>
    <s v="3C4BDCAB4KT856390"/>
    <s v="KT856390"/>
    <n v="388876.08"/>
    <n v="388876.08"/>
    <s v="FCA Financial Services"/>
    <s v="FINANCIADA"/>
    <s v="ATLACOMULCO"/>
    <x v="5"/>
    <d v="2019-09-06T00:00:00"/>
    <n v="119"/>
    <n v="28"/>
    <n v="9.3399999999999997E-2"/>
    <n v="2824.9686789333332"/>
    <n v="391701.04867893335"/>
    <m/>
    <m/>
    <m/>
    <m/>
    <x v="2"/>
    <m/>
    <m/>
    <m/>
    <m/>
    <m/>
    <n v="0"/>
    <m/>
    <m/>
    <m/>
    <m/>
    <m/>
    <x v="1"/>
  </r>
  <r>
    <s v="31/07/2019"/>
    <s v="JEEP WRANGLER UNLIMITED RUBICON"/>
    <s v="1C4HJXFG9KW626997"/>
    <s v="KW626997"/>
    <n v="784996.36"/>
    <n v="784996.36"/>
    <s v="FCA Financial Services"/>
    <s v="FINANCIADA"/>
    <s v="P1"/>
    <x v="5"/>
    <d v="2019-09-06T00:00:00"/>
    <n v="119"/>
    <n v="28"/>
    <n v="9.3399999999999997E-2"/>
    <n v="5702.5624463111108"/>
    <n v="790698.9224463111"/>
    <m/>
    <m/>
    <m/>
    <m/>
    <x v="2"/>
    <m/>
    <m/>
    <m/>
    <m/>
    <m/>
    <n v="0"/>
    <m/>
    <m/>
    <m/>
    <m/>
    <m/>
    <x v="1"/>
  </r>
  <r>
    <s v="31/07/2019"/>
    <s v="JEEP WRANGLER UNLIMITED RUBICON"/>
    <s v="1C4HJXFG3KW674026"/>
    <s v="KW674026"/>
    <n v="784996.36"/>
    <n v="784996.36"/>
    <s v="FCA Financial Services"/>
    <s v="FINANCIADA"/>
    <s v="LERMA"/>
    <x v="5"/>
    <d v="2019-09-06T00:00:00"/>
    <n v="119"/>
    <n v="28"/>
    <n v="9.3399999999999997E-2"/>
    <n v="5702.5624463111108"/>
    <n v="790698.9224463111"/>
    <m/>
    <m/>
    <m/>
    <m/>
    <x v="2"/>
    <m/>
    <m/>
    <m/>
    <m/>
    <m/>
    <n v="0"/>
    <m/>
    <m/>
    <m/>
    <m/>
    <m/>
    <x v="1"/>
  </r>
  <r>
    <s v="02/08/2019"/>
    <s v="DODGE JOURNEY SE BLACKTOP"/>
    <s v="3C4BDCAB6KT856391"/>
    <s v="KT856391"/>
    <n v="388876.08"/>
    <n v="388876.08"/>
    <s v="FCA Financial Services"/>
    <s v="FINANCIADA"/>
    <s v="P1"/>
    <x v="5"/>
    <d v="2019-09-06T00:00:00"/>
    <n v="119"/>
    <n v="28"/>
    <n v="9.3399999999999997E-2"/>
    <n v="2824.9686789333332"/>
    <n v="391701.04867893335"/>
    <m/>
    <m/>
    <s v="MAA000031584"/>
    <s v="GUILLERMO PRIETO Y COMPAÑÍA., S.A. DE C.V."/>
    <x v="9"/>
    <s v="03/10/2019"/>
    <m/>
    <m/>
    <n v="393324"/>
    <n v="393324"/>
    <n v="0"/>
    <s v="PAGO DE UNIDAD"/>
    <s v="FRCM000007891"/>
    <d v="2019-10-03T00:00:00"/>
    <m/>
    <s v=". . CASA"/>
    <x v="2"/>
  </r>
  <r>
    <s v="03/08/2019"/>
    <s v="DODGE JOURNEY SE BLACKTOP"/>
    <s v="3C4BDCAB6KT856388"/>
    <s v="KT856388"/>
    <n v="388876.08"/>
    <n v="388876.08"/>
    <s v="FCA Financial Services"/>
    <s v="FINANCIADA"/>
    <s v="LERMA"/>
    <x v="5"/>
    <d v="2019-09-06T00:00:00"/>
    <n v="119"/>
    <n v="28"/>
    <n v="9.3399999999999997E-2"/>
    <n v="2824.9686789333332"/>
    <n v="391701.04867893335"/>
    <m/>
    <m/>
    <m/>
    <m/>
    <x v="2"/>
    <m/>
    <m/>
    <m/>
    <m/>
    <m/>
    <n v="0"/>
    <m/>
    <m/>
    <m/>
    <m/>
    <m/>
    <x v="1"/>
  </r>
  <r>
    <s v="07/08/2019"/>
    <s v="RAM 700 REGULAR CAB"/>
    <s v="9BD578456KY332825"/>
    <s v="KY332825"/>
    <n v="224478.56"/>
    <n v="224478.56"/>
    <s v="FCA Financial Services"/>
    <s v="FINANCIADA"/>
    <s v="P1"/>
    <x v="5"/>
    <d v="2019-09-06T00:00:00"/>
    <n v="119"/>
    <n v="28"/>
    <n v="9.3399999999999997E-2"/>
    <n v="1630.7120280888887"/>
    <n v="226109.27202808889"/>
    <m/>
    <m/>
    <m/>
    <m/>
    <x v="2"/>
    <m/>
    <m/>
    <m/>
    <m/>
    <m/>
    <n v="0"/>
    <m/>
    <m/>
    <m/>
    <m/>
    <m/>
    <x v="1"/>
  </r>
  <r>
    <s v="07/08/2019"/>
    <s v="RAM 700 REGULAR CAB"/>
    <s v="9BD578453KY333141"/>
    <s v="KY333141"/>
    <n v="224478.56"/>
    <n v="224478.56"/>
    <s v="FCA Financial Services"/>
    <s v="FINANCIADA"/>
    <s v="ATLACOMULCO"/>
    <x v="5"/>
    <d v="2019-09-06T00:00:00"/>
    <n v="119"/>
    <n v="28"/>
    <n v="9.3399999999999997E-2"/>
    <n v="1630.7120280888887"/>
    <n v="226109.27202808889"/>
    <m/>
    <m/>
    <m/>
    <m/>
    <x v="2"/>
    <m/>
    <m/>
    <m/>
    <m/>
    <m/>
    <n v="0"/>
    <m/>
    <m/>
    <m/>
    <m/>
    <m/>
    <x v="1"/>
  </r>
  <r>
    <s v="12/08/2019"/>
    <s v="DODGE ATTITUDE SE AT"/>
    <s v="ML3AB26J4KH008507"/>
    <s v="KH008507"/>
    <n v="212253.32"/>
    <n v="212253.32"/>
    <s v="FCA Financial Services"/>
    <s v="FINANCIADA"/>
    <s v="BODY"/>
    <x v="5"/>
    <d v="2019-09-06T00:00:00"/>
    <n v="119"/>
    <n v="28"/>
    <n v="9.3399999999999997E-2"/>
    <n v="1541.9024512888889"/>
    <n v="213795.22245128889"/>
    <m/>
    <m/>
    <m/>
    <m/>
    <x v="2"/>
    <m/>
    <m/>
    <m/>
    <m/>
    <m/>
    <n v="0"/>
    <m/>
    <m/>
    <m/>
    <m/>
    <m/>
    <x v="1"/>
  </r>
  <r>
    <s v="12/08/2019"/>
    <s v="DODGE ATTITUDE SE AT"/>
    <s v="ML3AB26J3KH009969"/>
    <s v="KH009969"/>
    <n v="212253.32"/>
    <n v="212253.32"/>
    <s v="FCA Financial Services"/>
    <s v="FINANCIADA"/>
    <m/>
    <x v="5"/>
    <d v="2019-09-06T00:00:00"/>
    <n v="119"/>
    <n v="28"/>
    <n v="9.3399999999999997E-2"/>
    <n v="1541.9024512888889"/>
    <n v="213795.22245128889"/>
    <m/>
    <m/>
    <m/>
    <m/>
    <x v="2"/>
    <m/>
    <m/>
    <m/>
    <m/>
    <m/>
    <n v="0"/>
    <m/>
    <m/>
    <m/>
    <m/>
    <m/>
    <x v="1"/>
  </r>
  <r>
    <s v="12/08/2019"/>
    <s v="DODGE ATTITUDE SXT MT"/>
    <s v="ML3AB56JXKH009646"/>
    <s v="KH009646"/>
    <n v="223101.64"/>
    <n v="223101.64"/>
    <s v="FCA Financial Services"/>
    <s v="FINANCIADA"/>
    <m/>
    <x v="5"/>
    <d v="2019-09-06T00:00:00"/>
    <n v="119"/>
    <n v="28"/>
    <n v="9.3399999999999997E-2"/>
    <n v="1620.7094692444446"/>
    <n v="224722.34946924445"/>
    <m/>
    <m/>
    <m/>
    <m/>
    <x v="2"/>
    <m/>
    <m/>
    <m/>
    <m/>
    <m/>
    <n v="0"/>
    <m/>
    <m/>
    <m/>
    <m/>
    <m/>
    <x v="1"/>
  </r>
  <r>
    <s v="14/08/2019"/>
    <s v="DODGE NEON SE AT"/>
    <s v="ZFAADAAP6L6N85542"/>
    <s v="L6N85542"/>
    <n v="269521.36"/>
    <n v="269521.36"/>
    <s v="FCA Financial Services"/>
    <s v="FINANCIADA"/>
    <m/>
    <x v="5"/>
    <d v="2019-09-13T00:00:00"/>
    <n v="119"/>
    <n v="21"/>
    <n v="9.2799999999999994E-2"/>
    <n v="1459.0089621333332"/>
    <n v="270980.3689621333"/>
    <m/>
    <m/>
    <m/>
    <m/>
    <x v="2"/>
    <m/>
    <m/>
    <m/>
    <m/>
    <m/>
    <n v="0"/>
    <m/>
    <m/>
    <m/>
    <m/>
    <m/>
    <x v="1"/>
  </r>
  <r>
    <s v="14/08/2019"/>
    <s v="DODGE NEON MANUAL"/>
    <s v="ZFAADAARXL6N88445"/>
    <s v="L6N88445"/>
    <n v="237380.08"/>
    <n v="237380.08"/>
    <s v="FCA Financial Services"/>
    <s v="FINANCIADA"/>
    <m/>
    <x v="5"/>
    <d v="2019-09-13T00:00:00"/>
    <n v="119"/>
    <n v="21"/>
    <n v="9.2799999999999994E-2"/>
    <n v="1285.0174997333331"/>
    <n v="238665.09749973333"/>
    <m/>
    <m/>
    <m/>
    <m/>
    <x v="2"/>
    <m/>
    <m/>
    <m/>
    <m/>
    <m/>
    <n v="0"/>
    <m/>
    <m/>
    <m/>
    <m/>
    <m/>
    <x v="1"/>
  </r>
  <r>
    <s v="14/08/2019"/>
    <s v="DODGE NEON MANUAL"/>
    <s v="ZFAADAAR9L6N89358"/>
    <s v="L6N89358"/>
    <n v="237380.08"/>
    <n v="237380.08"/>
    <s v="FCA Financial Services"/>
    <s v="FINANCIADA"/>
    <s v="LERMA"/>
    <x v="5"/>
    <d v="2019-09-13T00:00:00"/>
    <n v="119"/>
    <n v="21"/>
    <n v="9.2799999999999994E-2"/>
    <n v="1285.0174997333331"/>
    <n v="238665.09749973333"/>
    <m/>
    <m/>
    <m/>
    <m/>
    <x v="2"/>
    <m/>
    <m/>
    <m/>
    <m/>
    <m/>
    <n v="0"/>
    <m/>
    <m/>
    <m/>
    <m/>
    <m/>
    <x v="1"/>
  </r>
  <r>
    <s v="20/08/2019"/>
    <s v="RAM 700 CC ADVENTURE - RIN 16&quot;"/>
    <s v="9BD57867XLY346145"/>
    <s v="LY346145"/>
    <n v="295580.76"/>
    <n v="295580.76"/>
    <s v="FCA Financial Services"/>
    <s v="FINANCIADA"/>
    <m/>
    <x v="5"/>
    <d v="2019-09-13T00:00:00"/>
    <n v="119"/>
    <n v="21"/>
    <n v="9.2799999999999994E-2"/>
    <n v="1600.0771808"/>
    <n v="297180.83718080004"/>
    <m/>
    <m/>
    <m/>
    <m/>
    <x v="2"/>
    <m/>
    <m/>
    <m/>
    <m/>
    <m/>
    <n v="0"/>
    <m/>
    <m/>
    <m/>
    <m/>
    <m/>
    <x v="1"/>
  </r>
  <r>
    <s v="20/08/2019"/>
    <s v="RAM 700 CC ADVENTURE - RIN 16&quot;"/>
    <s v="9BD578678LY346242"/>
    <s v="LY346242"/>
    <n v="295580.76"/>
    <n v="295580.76"/>
    <s v="FCA Financial Services"/>
    <s v="FINANCIADA"/>
    <m/>
    <x v="5"/>
    <d v="2019-09-13T00:00:00"/>
    <n v="119"/>
    <n v="21"/>
    <n v="9.2799999999999994E-2"/>
    <n v="1600.0771808"/>
    <n v="297180.83718080004"/>
    <m/>
    <m/>
    <m/>
    <m/>
    <x v="2"/>
    <m/>
    <m/>
    <m/>
    <m/>
    <m/>
    <n v="0"/>
    <m/>
    <m/>
    <m/>
    <m/>
    <m/>
    <x v="1"/>
  </r>
  <r>
    <s v="20/08/2019"/>
    <s v="RAM 700 CC ADVENTURE - RIN 16&quot;"/>
    <s v="9BD578673LY346245"/>
    <s v="LY346245"/>
    <n v="295580.76"/>
    <n v="295580.76"/>
    <s v="FCA Financial Services"/>
    <s v="FINANCIADA"/>
    <m/>
    <x v="5"/>
    <d v="2019-09-13T00:00:00"/>
    <n v="119"/>
    <n v="21"/>
    <n v="9.2799999999999994E-2"/>
    <n v="1600.0771808"/>
    <n v="297180.83718080004"/>
    <m/>
    <m/>
    <m/>
    <m/>
    <x v="2"/>
    <m/>
    <m/>
    <m/>
    <m/>
    <m/>
    <n v="0"/>
    <m/>
    <m/>
    <m/>
    <m/>
    <m/>
    <x v="1"/>
  </r>
  <r>
    <s v="21/08/2019"/>
    <s v="RAM 4000 CREW CAB CHASSIS CABINA / V8 6.4L 8AT 4X4"/>
    <s v="3C7WRBLJ2KG644343"/>
    <s v="KG644343"/>
    <n v="665985"/>
    <n v="665985"/>
    <s v="FCA Financial Services"/>
    <s v="FINANCIADA"/>
    <s v="P1"/>
    <x v="5"/>
    <d v="2019-09-13T00:00:00"/>
    <n v="119"/>
    <n v="21"/>
    <n v="9.2799999999999994E-2"/>
    <n v="3605.1987999999997"/>
    <n v="669590.19880000001"/>
    <m/>
    <m/>
    <m/>
    <m/>
    <x v="2"/>
    <m/>
    <m/>
    <m/>
    <m/>
    <m/>
    <n v="0"/>
    <m/>
    <m/>
    <m/>
    <m/>
    <m/>
    <x v="1"/>
  </r>
  <r>
    <s v="12/09/2019"/>
    <s v="RAM PROMASTER RAPID"/>
    <s v="9BD265555K9119071"/>
    <s v="K9119071"/>
    <n v="219100"/>
    <n v="219100"/>
    <s v="DISTRIBUIDORA DE ACAPULCO, S.A. DE C.V."/>
    <s v="FINANCIADA"/>
    <s v="P1"/>
    <x v="5"/>
    <d v="2019-09-17T00:00:00"/>
    <n v="120"/>
    <n v="17"/>
    <n v="9.2600000000000002E-2"/>
    <n v="958.07561111111113"/>
    <n v="220058.0756111111"/>
    <m/>
    <m/>
    <s v="MAA000031478"/>
    <s v="JCDECAUX OUT OF HOME MEXICO"/>
    <x v="1"/>
    <d v="2019-09-12T00:00:00"/>
    <m/>
    <m/>
    <n v="208040"/>
    <m/>
    <n v="208040"/>
    <m/>
    <m/>
    <m/>
    <m/>
    <s v="TORTI BECERRIL RENE OMAR"/>
    <x v="1"/>
  </r>
  <r>
    <s v="12/09/2019"/>
    <s v="RAM PROMASTER RAPID"/>
    <s v="9BD265558K9121378"/>
    <s v="K9121378"/>
    <n v="219100"/>
    <n v="219100"/>
    <s v="DISTRIBUIDORA DE ACAPULCO, S.A. DE C.V."/>
    <s v="FINANCIADA"/>
    <s v="BODY"/>
    <x v="5"/>
    <d v="2019-09-17T00:00:00"/>
    <n v="120"/>
    <n v="17"/>
    <n v="9.2600000000000002E-2"/>
    <n v="958.07561111111113"/>
    <n v="220058.0756111111"/>
    <m/>
    <m/>
    <s v="MAA000031479"/>
    <s v="JCDECAUX OUT OF HOME MEXICO"/>
    <x v="1"/>
    <d v="2019-09-12T00:00:00"/>
    <m/>
    <m/>
    <n v="208040"/>
    <m/>
    <n v="208040"/>
    <m/>
    <m/>
    <m/>
    <m/>
    <s v="TORTI BECERRIL RENE OMAR"/>
    <x v="1"/>
  </r>
  <r>
    <s v="12/09/2019"/>
    <s v="RAM PROMASTER RAPID"/>
    <s v="9BD265557K9121131"/>
    <s v="K9121131"/>
    <n v="219100"/>
    <n v="219100"/>
    <s v="DISTRIBUIDORA DE ACAPULCO, S.A. DE C.V."/>
    <s v="FINANCIADA"/>
    <s v="BODY"/>
    <x v="5"/>
    <d v="2019-09-17T00:00:00"/>
    <n v="120"/>
    <n v="17"/>
    <n v="9.2600000000000002E-2"/>
    <n v="958.07561111111113"/>
    <n v="220058.0756111111"/>
    <m/>
    <m/>
    <s v="MAA000031480"/>
    <s v="JCDECAUX OUT OF HOME MEXICO"/>
    <x v="1"/>
    <d v="2019-09-12T00:00:00"/>
    <m/>
    <m/>
    <n v="208040"/>
    <m/>
    <n v="208040"/>
    <m/>
    <m/>
    <m/>
    <m/>
    <s v="TORTI BECERRIL RENE OMAR"/>
    <x v="1"/>
  </r>
  <r>
    <s v="12/09/2019"/>
    <s v="RAM PROMASTER RAPID"/>
    <s v="9BD265550K9121245"/>
    <s v="K9121245"/>
    <n v="219100"/>
    <n v="219100"/>
    <s v="DISTRIBUIDORA DE ACAPULCO, S.A. DE C.V."/>
    <s v="FINANCIADA"/>
    <s v="BODY"/>
    <x v="5"/>
    <d v="2019-09-17T00:00:00"/>
    <n v="120"/>
    <n v="17"/>
    <n v="9.2600000000000002E-2"/>
    <n v="958.07561111111113"/>
    <n v="220058.0756111111"/>
    <m/>
    <m/>
    <s v="MAA000031481"/>
    <s v="JCDECAUX OUT OF HOME MEXICO"/>
    <x v="1"/>
    <d v="2019-09-12T00:00:00"/>
    <m/>
    <m/>
    <n v="208040"/>
    <m/>
    <n v="208040"/>
    <m/>
    <m/>
    <m/>
    <m/>
    <s v="TORTI BECERRIL RENE OMAR"/>
    <x v="1"/>
  </r>
  <r>
    <s v="31/03/2019"/>
    <s v="DODGE ATTITUDE SXT AT"/>
    <s v="ML3AB56J4KH003549"/>
    <s v="KH003549"/>
    <n v="234975.92"/>
    <n v="234975.92"/>
    <s v="AUTOPOLANCO, S.A. DE C.V."/>
    <s v="FINANCIADA"/>
    <s v="P1"/>
    <x v="5"/>
    <d v="2019-09-17T00:00:00"/>
    <n v="120"/>
    <n v="17"/>
    <n v="9.2600000000000002E-2"/>
    <n v="1027.4974812888888"/>
    <n v="236003.4174812889"/>
    <m/>
    <m/>
    <m/>
    <m/>
    <x v="2"/>
    <m/>
    <m/>
    <m/>
    <m/>
    <m/>
    <n v="0"/>
    <m/>
    <m/>
    <m/>
    <m/>
    <m/>
    <x v="1"/>
  </r>
  <r>
    <s v="28/08/2019"/>
    <s v="RAM 700 CC ADVENTURE - RIN 16&quot;"/>
    <s v="9BD578675LY358302"/>
    <s v="LY358302"/>
    <n v="295580.76"/>
    <n v="295580.76"/>
    <s v="FCA Financial Services"/>
    <s v="FINANCIADA"/>
    <s v="P1"/>
    <x v="5"/>
    <d v="2019-09-23T00:00:00"/>
    <n v="120"/>
    <n v="11"/>
    <n v="9.1899999999999996E-2"/>
    <n v="830.00719523333328"/>
    <n v="296410.76719523332"/>
    <m/>
    <m/>
    <m/>
    <m/>
    <x v="2"/>
    <m/>
    <m/>
    <m/>
    <m/>
    <m/>
    <n v="0"/>
    <m/>
    <m/>
    <m/>
    <m/>
    <m/>
    <x v="1"/>
  </r>
  <r>
    <s v="29/08/2019"/>
    <s v="DODGE ATTITUDE SE MT"/>
    <s v="ML3AB26J6KH008721"/>
    <s v="KH008721"/>
    <n v="194174.72"/>
    <n v="194174.72"/>
    <s v="FCA Financial Services"/>
    <s v="FINANCIADA"/>
    <s v="ATLACOMULCO"/>
    <x v="5"/>
    <d v="2019-09-23T00:00:00"/>
    <n v="120"/>
    <n v="11"/>
    <n v="9.1899999999999996E-2"/>
    <n v="545.25340124444449"/>
    <n v="194719.97340124444"/>
    <m/>
    <m/>
    <m/>
    <m/>
    <x v="2"/>
    <m/>
    <m/>
    <m/>
    <m/>
    <m/>
    <n v="0"/>
    <m/>
    <m/>
    <m/>
    <m/>
    <m/>
    <x v="1"/>
  </r>
  <r>
    <s v="29/08/2019"/>
    <s v="DODGE ATTITUDE SE MT"/>
    <s v="ML3AB26J1KH008724"/>
    <s v="KH008724"/>
    <n v="194174.72"/>
    <n v="194174.72"/>
    <s v="FCA Financial Services"/>
    <s v="FINANCIADA"/>
    <s v="P1"/>
    <x v="5"/>
    <d v="2019-09-23T00:00:00"/>
    <n v="120"/>
    <n v="11"/>
    <n v="9.1899999999999996E-2"/>
    <n v="545.25340124444449"/>
    <n v="194719.97340124444"/>
    <m/>
    <m/>
    <m/>
    <m/>
    <x v="2"/>
    <m/>
    <m/>
    <m/>
    <m/>
    <m/>
    <n v="0"/>
    <m/>
    <m/>
    <m/>
    <m/>
    <m/>
    <x v="1"/>
  </r>
  <r>
    <s v="29/08/2019"/>
    <s v="DODGE ATTITUDE SE MT"/>
    <s v="ML3AB26J2KH009462"/>
    <s v="KH009462"/>
    <n v="194174.72"/>
    <n v="194174.72"/>
    <s v="FCA Financial Services"/>
    <s v="FINANCIADA"/>
    <s v="P1"/>
    <x v="5"/>
    <d v="2019-09-23T00:00:00"/>
    <n v="120"/>
    <n v="11"/>
    <n v="9.1899999999999996E-2"/>
    <n v="545.25340124444449"/>
    <n v="194719.97340124444"/>
    <m/>
    <m/>
    <m/>
    <m/>
    <x v="2"/>
    <m/>
    <m/>
    <m/>
    <m/>
    <m/>
    <n v="0"/>
    <m/>
    <m/>
    <m/>
    <m/>
    <m/>
    <x v="1"/>
  </r>
  <r>
    <s v="29/08/2019"/>
    <s v="JEEP RENEGADE LIMITED 1.8L 6AT"/>
    <s v="988611535LK268176"/>
    <s v="LK268176"/>
    <n v="433637"/>
    <n v="433637"/>
    <s v="FCA Financial Services"/>
    <s v="FINANCIADA"/>
    <m/>
    <x v="5"/>
    <d v="2019-09-23T00:00:00"/>
    <n v="120"/>
    <n v="11"/>
    <n v="9.1899999999999996E-2"/>
    <n v="1217.6767869444443"/>
    <n v="434854.67678694444"/>
    <m/>
    <m/>
    <m/>
    <m/>
    <x v="2"/>
    <m/>
    <m/>
    <m/>
    <m/>
    <m/>
    <n v="0"/>
    <m/>
    <m/>
    <m/>
    <m/>
    <m/>
    <x v="1"/>
  </r>
  <r>
    <s v="29/08/2019"/>
    <s v="JEEP RENEGADE LIMITED 1.8L 6AT"/>
    <s v="988611538LK268222"/>
    <s v="LK268222"/>
    <n v="433637"/>
    <n v="433637"/>
    <s v="FCA Financial Services"/>
    <s v="FINANCIADA"/>
    <m/>
    <x v="5"/>
    <d v="2019-09-23T00:00:00"/>
    <n v="120"/>
    <n v="11"/>
    <n v="9.1899999999999996E-2"/>
    <n v="1217.6767869444443"/>
    <n v="434854.67678694444"/>
    <m/>
    <m/>
    <m/>
    <m/>
    <x v="2"/>
    <m/>
    <m/>
    <m/>
    <m/>
    <m/>
    <n v="0"/>
    <m/>
    <m/>
    <m/>
    <m/>
    <m/>
    <x v="1"/>
  </r>
  <r>
    <s v="29/08/2019"/>
    <s v="JEEP RENEGADE LIMITED 1.8L 6AT"/>
    <s v="988611538LK268236"/>
    <s v="LK268236"/>
    <n v="433637"/>
    <n v="433637"/>
    <s v="FCA Financial Services"/>
    <s v="FINANCIADA"/>
    <s v="LERMA"/>
    <x v="5"/>
    <d v="2019-09-23T00:00:00"/>
    <n v="120"/>
    <n v="11"/>
    <n v="9.1899999999999996E-2"/>
    <n v="1217.6767869444443"/>
    <n v="434854.67678694444"/>
    <m/>
    <m/>
    <s v="MAA000031585"/>
    <s v="AUTOMOTORES DE MÉXICO, S.A. DE C.V."/>
    <x v="9"/>
    <s v="03/10/2019"/>
    <m/>
    <m/>
    <n v="438412.26"/>
    <n v="438412.26"/>
    <n v="0"/>
    <s v="PAGO DE UNIDAD"/>
    <s v="FRCM000007893"/>
    <d v="2019-10-03T00:00:00"/>
    <m/>
    <s v=". . CASA"/>
    <x v="2"/>
  </r>
  <r>
    <s v="29/08/2019"/>
    <s v="JEEP COMPASS LIMITED PREMIUM 4X2 ATX6 2.4L"/>
    <s v="3C4NJCCB1LT110449"/>
    <s v="LT110449"/>
    <n v="542470.52"/>
    <n v="542470.52"/>
    <s v="FCA Financial Services"/>
    <s v="FINANCIADA"/>
    <s v="P1"/>
    <x v="5"/>
    <d v="2019-09-23T00:00:00"/>
    <n v="120"/>
    <n v="11"/>
    <n v="9.1899999999999996E-2"/>
    <n v="1523.2873574111113"/>
    <n v="543993.80735741113"/>
    <m/>
    <m/>
    <m/>
    <m/>
    <x v="2"/>
    <m/>
    <m/>
    <m/>
    <m/>
    <m/>
    <n v="0"/>
    <m/>
    <m/>
    <m/>
    <m/>
    <m/>
    <x v="1"/>
  </r>
  <r>
    <s v="29/08/2019"/>
    <s v="DODGE ATTITUDE SXT MT"/>
    <s v="ML3AB56J3LH000451"/>
    <s v="LH000451"/>
    <n v="227621"/>
    <n v="227621"/>
    <s v="FCA Financial Services"/>
    <s v="FINANCIADA"/>
    <s v="P1"/>
    <x v="5"/>
    <d v="2019-09-23T00:00:00"/>
    <n v="120"/>
    <n v="11"/>
    <n v="9.1899999999999996E-2"/>
    <n v="639.17241361111098"/>
    <n v="228260.17241361112"/>
    <m/>
    <m/>
    <m/>
    <m/>
    <x v="2"/>
    <m/>
    <m/>
    <m/>
    <m/>
    <m/>
    <n v="0"/>
    <m/>
    <m/>
    <m/>
    <m/>
    <m/>
    <x v="1"/>
  </r>
  <r>
    <s v="29/08/2019"/>
    <s v="DODGE ATTITUDE SXT MT"/>
    <s v="ML3AB56J8LH000476"/>
    <s v="LH000476"/>
    <n v="227621"/>
    <n v="227621"/>
    <s v="FCA Financial Services"/>
    <s v="FINANCIADA"/>
    <s v="ATLACOMULCO"/>
    <x v="5"/>
    <d v="2019-09-23T00:00:00"/>
    <n v="120"/>
    <n v="11"/>
    <n v="9.1899999999999996E-2"/>
    <n v="639.17241361111098"/>
    <n v="228260.17241361112"/>
    <m/>
    <m/>
    <m/>
    <m/>
    <x v="2"/>
    <m/>
    <m/>
    <m/>
    <m/>
    <m/>
    <n v="0"/>
    <m/>
    <m/>
    <m/>
    <m/>
    <m/>
    <x v="1"/>
  </r>
  <r>
    <s v="29/08/2019"/>
    <s v="DODGE ATTITUDE SXT MT"/>
    <s v="ML3AB56J2LH000568"/>
    <s v="LH000568"/>
    <n v="227621"/>
    <n v="227621"/>
    <s v="FCA Financial Services"/>
    <s v="FINANCIADA"/>
    <s v="LERMA"/>
    <x v="5"/>
    <d v="2019-09-23T00:00:00"/>
    <n v="120"/>
    <n v="11"/>
    <n v="9.1899999999999996E-2"/>
    <n v="639.17241361111098"/>
    <n v="228260.17241361112"/>
    <m/>
    <m/>
    <m/>
    <m/>
    <x v="2"/>
    <m/>
    <m/>
    <m/>
    <m/>
    <m/>
    <n v="0"/>
    <m/>
    <m/>
    <m/>
    <m/>
    <m/>
    <x v="1"/>
  </r>
  <r>
    <s v="29/08/2019"/>
    <s v="DODGE ATTITUDE SXT MT"/>
    <s v="ML3AB56J1LH000853"/>
    <s v="LH000853"/>
    <n v="227621"/>
    <n v="227621"/>
    <s v="FCA Financial Services"/>
    <s v="FINANCIADA"/>
    <s v="ATLACOMULCO"/>
    <x v="5"/>
    <d v="2019-09-23T00:00:00"/>
    <n v="120"/>
    <n v="11"/>
    <n v="9.1899999999999996E-2"/>
    <n v="639.17241361111098"/>
    <n v="228260.17241361112"/>
    <m/>
    <m/>
    <m/>
    <m/>
    <x v="2"/>
    <m/>
    <m/>
    <m/>
    <m/>
    <m/>
    <n v="0"/>
    <m/>
    <m/>
    <m/>
    <m/>
    <m/>
    <x v="1"/>
  </r>
  <r>
    <s v="29/08/2019"/>
    <s v="RAM PROMASTER RAPID"/>
    <s v="9BD265556L9136723"/>
    <s v="L9136723"/>
    <n v="224478.56"/>
    <n v="224478.56"/>
    <s v="FCA Financial Services"/>
    <s v="FINANCIADA"/>
    <s v="SALA"/>
    <x v="5"/>
    <d v="2019-09-25T00:00:00"/>
    <n v="120"/>
    <n v="9"/>
    <n v="9.1899999999999996E-2"/>
    <n v="515.73949159999995"/>
    <n v="224994.29949159999"/>
    <m/>
    <m/>
    <m/>
    <m/>
    <x v="2"/>
    <m/>
    <m/>
    <m/>
    <m/>
    <m/>
    <n v="0"/>
    <m/>
    <m/>
    <m/>
    <m/>
    <m/>
    <x v="1"/>
  </r>
  <r>
    <s v="29/08/2019"/>
    <s v="RAM 700 CC ADVENTURE - RIN 16&quot;"/>
    <s v="9BD578672LY348410"/>
    <s v="LY348410"/>
    <n v="295580.76"/>
    <n v="295580.76"/>
    <s v="FCA Financial Services"/>
    <s v="FINANCIADA"/>
    <s v="LERMA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2LY348505"/>
    <s v="LY348505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2LY354210"/>
    <s v="LY354210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s v="MAA000031561"/>
    <s v="ROMERO NAVA FRANCISCO JAVIER"/>
    <x v="10"/>
    <d v="2019-09-30T00:00:00"/>
    <m/>
    <m/>
    <n v="295315"/>
    <n v="62713.36"/>
    <n v="232601.64"/>
    <s v="PAGO DE ENGANCHE"/>
    <s v="FRCM000007797, FPCM000005422, FPCM000005424"/>
    <s v="30/09/2019, 03/10/2019"/>
    <m/>
    <s v="GUTIERREZ NAVA RAFAEL OMAR"/>
    <x v="2"/>
  </r>
  <r>
    <s v="29/08/2019"/>
    <s v="RAM 700 CC ADVENTURE - RIN 16&quot;"/>
    <s v="9BD578673LY354331"/>
    <s v="LY354331"/>
    <n v="295580.76"/>
    <n v="295580.76"/>
    <s v="FCA Financial Services"/>
    <s v="FINANCIADA"/>
    <s v="ATLACOMULCO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4LY354998"/>
    <s v="LY354998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s v="MAA000031556"/>
    <s v="BECERRIL VALDES LINO ISMAEL"/>
    <x v="5"/>
    <d v="2019-09-30T00:00:00"/>
    <m/>
    <m/>
    <n v="333900"/>
    <n v="5000"/>
    <n v="328900"/>
    <s v="A CUENTA DE ENGANCHE"/>
    <s v="FRCM000007745"/>
    <d v="2019-09-30T00:00:00"/>
    <m/>
    <s v="MONTOYA JAIMES RAUL"/>
    <x v="1"/>
  </r>
  <r>
    <s v="29/08/2019"/>
    <s v="RAM 700 CC ADVENTURE - RIN 16&quot;"/>
    <s v="9BD578671LY355042"/>
    <s v="LY355042"/>
    <n v="295580.76"/>
    <n v="295580.76"/>
    <s v="FCA Financial Services"/>
    <s v="FINANCIADA"/>
    <s v="SALA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8LY355099"/>
    <s v="LY355099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8LY355331"/>
    <s v="LY355331"/>
    <n v="295580.76"/>
    <n v="295580.76"/>
    <s v="FCA Financial Services"/>
    <s v="FINANCIADA"/>
    <s v="LERMA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4LY355357"/>
    <s v="LY355357"/>
    <n v="295580.76"/>
    <n v="295580.76"/>
    <s v="FCA Financial Services"/>
    <s v="FINANCIADA"/>
    <s v="SALA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4LY357495"/>
    <s v="LY357495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29/08/2019"/>
    <s v="RAM 700 CC ADVENTURE - RIN 16&quot;"/>
    <s v="9BD578679LY358402"/>
    <s v="LY358402"/>
    <n v="295580.76"/>
    <n v="295580.76"/>
    <s v="FCA Financial Services"/>
    <s v="FINANCIADA"/>
    <s v="P1"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30/08/2019"/>
    <s v="JEEP RENEGADE LIMITED 1.8L 6AT"/>
    <s v="988611533LK268189"/>
    <s v="LK268189"/>
    <n v="433637"/>
    <n v="433637"/>
    <s v="FCA Financial Services"/>
    <s v="FINANCIADA"/>
    <m/>
    <x v="5"/>
    <d v="2019-09-25T00:00:00"/>
    <n v="120"/>
    <n v="9"/>
    <n v="9.1899999999999996E-2"/>
    <n v="996.28100749999999"/>
    <n v="434633.28100750002"/>
    <m/>
    <m/>
    <m/>
    <m/>
    <x v="2"/>
    <m/>
    <m/>
    <m/>
    <m/>
    <m/>
    <n v="0"/>
    <m/>
    <m/>
    <m/>
    <m/>
    <m/>
    <x v="1"/>
  </r>
  <r>
    <s v="30/08/2019"/>
    <s v="JEEP RENEGADE LIMITED 1.8L 6AT"/>
    <s v="988611533LK268337"/>
    <s v="LK268337"/>
    <n v="433637"/>
    <n v="433637"/>
    <s v="FCA Financial Services"/>
    <s v="FINANCIADA"/>
    <m/>
    <x v="5"/>
    <d v="2019-09-25T00:00:00"/>
    <n v="120"/>
    <n v="9"/>
    <n v="9.1899999999999996E-2"/>
    <n v="996.28100749999999"/>
    <n v="434633.28100750002"/>
    <m/>
    <m/>
    <m/>
    <m/>
    <x v="2"/>
    <m/>
    <m/>
    <m/>
    <m/>
    <m/>
    <n v="0"/>
    <m/>
    <m/>
    <m/>
    <m/>
    <m/>
    <x v="1"/>
  </r>
  <r>
    <s v="30/08/2019"/>
    <s v="JEEP COMPASS LIMITED PREMIUM 4X2 ATX6 2.4L"/>
    <s v="3C4NJCCBXLT110448"/>
    <s v="LT110448"/>
    <n v="542470.52"/>
    <n v="542470.52"/>
    <s v="FCA Financial Services"/>
    <s v="FINANCIADA"/>
    <s v="LERMA"/>
    <x v="5"/>
    <d v="2019-09-25T00:00:00"/>
    <n v="120"/>
    <n v="9"/>
    <n v="9.1899999999999996E-2"/>
    <n v="1246.3260197"/>
    <n v="543716.84601970005"/>
    <m/>
    <m/>
    <m/>
    <m/>
    <x v="2"/>
    <m/>
    <m/>
    <m/>
    <m/>
    <m/>
    <n v="0"/>
    <m/>
    <m/>
    <m/>
    <m/>
    <m/>
    <x v="1"/>
  </r>
  <r>
    <s v="30/08/2019"/>
    <s v="RAM 700 CC ADVENTURE - RIN 16&quot;"/>
    <s v="9BD57867XLY358277"/>
    <s v="LY358277"/>
    <n v="295580.76"/>
    <n v="295580.76"/>
    <s v="FCA Financial Services"/>
    <s v="FINANCIADA"/>
    <m/>
    <x v="5"/>
    <d v="2019-09-25T00:00:00"/>
    <n v="120"/>
    <n v="9"/>
    <n v="9.1899999999999996E-2"/>
    <n v="679.09679610000001"/>
    <n v="296259.85679610004"/>
    <m/>
    <m/>
    <m/>
    <m/>
    <x v="2"/>
    <m/>
    <m/>
    <m/>
    <m/>
    <m/>
    <n v="0"/>
    <m/>
    <m/>
    <m/>
    <m/>
    <m/>
    <x v="1"/>
  </r>
  <r>
    <s v="FIVE FIAT"/>
    <m/>
    <s v="FIVE FIAT"/>
    <s v="FIVE FIAT"/>
    <m/>
    <s v="FIVE FIAT"/>
    <m/>
    <m/>
    <m/>
    <x v="0"/>
    <m/>
    <m/>
    <m/>
    <s v="FIVE FIAT"/>
    <m/>
    <m/>
    <m/>
    <m/>
    <m/>
    <s v="FIVE FIAT"/>
    <x v="1"/>
    <m/>
    <s v="FIVE FIAT"/>
    <m/>
    <s v="FIVE FIAT"/>
    <m/>
    <m/>
    <m/>
    <s v="FIVE FIAT"/>
    <m/>
    <s v="FIVE FIAT"/>
    <m/>
    <x v="0"/>
  </r>
  <r>
    <s v="30/05/2019"/>
    <s v="FIAT UNO SPORTING MANUAL"/>
    <s v="9BD195A83K0863193"/>
    <s v="K0863193"/>
    <n v="215889.92000000001"/>
    <n v="215889.92000000001"/>
    <s v="FCA Financial Services"/>
    <s v="FINANCIADA"/>
    <s v="LERMA"/>
    <x v="6"/>
    <d v="2019-07-18T00:00:00"/>
    <n v="120"/>
    <n v="78"/>
    <n v="9.7000000000000003E-2"/>
    <n v="4537.2864853333331"/>
    <n v="220427.20648533336"/>
    <m/>
    <m/>
    <m/>
    <m/>
    <x v="2"/>
    <m/>
    <m/>
    <m/>
    <m/>
    <m/>
    <n v="0"/>
    <m/>
    <m/>
    <m/>
    <m/>
    <m/>
    <x v="1"/>
  </r>
  <r>
    <s v="27/06/2019"/>
    <s v="FIAT UNO SPORTING MANUAL"/>
    <s v="9BD195A86K0862605"/>
    <s v="K0862605"/>
    <n v="215889.92000000001"/>
    <n v="215889.92000000001"/>
    <s v="FCA Financial Services"/>
    <s v="FINANCIADA"/>
    <s v="BODY"/>
    <x v="6"/>
    <d v="2019-07-31T00:00:00"/>
    <n v="120"/>
    <n v="65"/>
    <n v="9.6799999999999997E-2"/>
    <n v="3773.2760462222222"/>
    <n v="219663.19604622223"/>
    <m/>
    <m/>
    <m/>
    <m/>
    <x v="2"/>
    <m/>
    <m/>
    <m/>
    <m/>
    <m/>
    <n v="0"/>
    <m/>
    <m/>
    <m/>
    <m/>
    <m/>
    <x v="1"/>
  </r>
  <r>
    <s v="15/07/2019"/>
    <s v="FIAT MOBI HATCHBACK MANUAL"/>
    <s v="9BD341A51LY628798"/>
    <s v="LY628798"/>
    <n v="185073.36"/>
    <n v="185073.36"/>
    <s v="FCA Financial Services"/>
    <s v="FINANCIADA"/>
    <s v="SALA"/>
    <x v="6"/>
    <d v="2019-08-12T00:00:00"/>
    <n v="120"/>
    <n v="53"/>
    <n v="9.6500000000000002E-2"/>
    <n v="2629.3269436666665"/>
    <n v="187702.68694366666"/>
    <m/>
    <m/>
    <m/>
    <m/>
    <x v="2"/>
    <m/>
    <m/>
    <m/>
    <m/>
    <m/>
    <n v="0"/>
    <m/>
    <m/>
    <m/>
    <m/>
    <m/>
    <x v="1"/>
  </r>
  <r>
    <s v="16/07/2019"/>
    <s v="FIAT MOBI LIKE MANUAL"/>
    <s v="9BD341A58LY629611"/>
    <s v="LY629611"/>
    <n v="185073.36"/>
    <n v="185073.36"/>
    <s v="FCA Financial Services"/>
    <s v="FINANCIADA"/>
    <s v="SALA"/>
    <x v="6"/>
    <d v="2019-08-12T00:00:00"/>
    <n v="120"/>
    <n v="53"/>
    <n v="9.6500000000000002E-2"/>
    <n v="2629.3269436666665"/>
    <n v="187702.68694366666"/>
    <m/>
    <m/>
    <m/>
    <m/>
    <x v="2"/>
    <m/>
    <m/>
    <m/>
    <m/>
    <m/>
    <n v="0"/>
    <m/>
    <m/>
    <m/>
    <m/>
    <m/>
    <x v="1"/>
  </r>
  <r>
    <s v="17/07/2019"/>
    <s v="FIAT MOBI WAY MANUAL"/>
    <s v="9BD341A6XKY624644"/>
    <s v="KY624644"/>
    <n v="196904.2"/>
    <n v="196904.2"/>
    <s v="FCA Financial Services"/>
    <s v="FINANCIADA"/>
    <s v="LERMA"/>
    <x v="6"/>
    <d v="2019-08-12T00:00:00"/>
    <n v="120"/>
    <n v="53"/>
    <n v="9.6500000000000002E-2"/>
    <n v="2797.4070302777777"/>
    <n v="199701.60703027778"/>
    <m/>
    <m/>
    <m/>
    <m/>
    <x v="2"/>
    <m/>
    <m/>
    <m/>
    <m/>
    <m/>
    <n v="0"/>
    <m/>
    <m/>
    <m/>
    <m/>
    <m/>
    <x v="1"/>
  </r>
  <r>
    <s v="30/07/2019"/>
    <s v="FIAT UNO SPORTING MANUAL"/>
    <s v="9BD195A85K0865513"/>
    <s v="K0865513"/>
    <n v="215889.92000000001"/>
    <n v="215889.92000000001"/>
    <s v="FCA Financial Services"/>
    <s v="FINANCIADA"/>
    <s v="SALA"/>
    <x v="6"/>
    <d v="2019-09-26T00:00:00"/>
    <n v="120"/>
    <n v="8"/>
    <n v="9.1800000000000007E-2"/>
    <n v="440.41543680000007"/>
    <n v="216330.3354368"/>
    <m/>
    <m/>
    <m/>
    <m/>
    <x v="2"/>
    <m/>
    <m/>
    <m/>
    <m/>
    <m/>
    <n v="0"/>
    <m/>
    <m/>
    <m/>
    <m/>
    <m/>
    <x v="1"/>
  </r>
  <r>
    <s v="31/07/2019"/>
    <s v="FIAT MOBI LIKE MANUAL"/>
    <s v="9BD341A53LY628009"/>
    <s v="LY628009"/>
    <n v="185073.36"/>
    <n v="185073.36"/>
    <s v="FCA Financial Services"/>
    <s v="FINANCIADA"/>
    <m/>
    <x v="6"/>
    <d v="2019-09-26T00:00:00"/>
    <n v="120"/>
    <n v="8"/>
    <n v="9.1800000000000007E-2"/>
    <n v="377.54965440000001"/>
    <n v="185450.90965439999"/>
    <m/>
    <m/>
    <m/>
    <m/>
    <x v="2"/>
    <m/>
    <m/>
    <m/>
    <m/>
    <m/>
    <n v="0"/>
    <m/>
    <m/>
    <m/>
    <m/>
    <m/>
    <x v="1"/>
  </r>
  <r>
    <s v="31/07/2019"/>
    <s v="FIAT MOBI LIKE MANUAL"/>
    <s v="9BD341A5XLY629755"/>
    <s v="LY629755"/>
    <n v="185073.36"/>
    <n v="185073.36"/>
    <s v="FCA Financial Services"/>
    <s v="FINANCIADA"/>
    <s v="BODY"/>
    <x v="6"/>
    <d v="2019-09-26T00:00:00"/>
    <n v="120"/>
    <n v="8"/>
    <n v="9.1800000000000007E-2"/>
    <n v="377.54965440000001"/>
    <n v="185450.90965439999"/>
    <m/>
    <m/>
    <m/>
    <m/>
    <x v="2"/>
    <m/>
    <m/>
    <m/>
    <m/>
    <m/>
    <n v="0"/>
    <m/>
    <m/>
    <m/>
    <m/>
    <m/>
    <x v="1"/>
  </r>
  <r>
    <s v="31/07/2019"/>
    <s v="FIAT MOBI LIKE MANUAL"/>
    <s v="9BD341A53LY629807"/>
    <s v="LY629807"/>
    <n v="185073.36"/>
    <n v="185073.36"/>
    <s v="FCA Financial Services"/>
    <s v="FINANCIADA"/>
    <m/>
    <x v="6"/>
    <d v="2019-09-26T00:00:00"/>
    <n v="120"/>
    <n v="8"/>
    <n v="9.1800000000000007E-2"/>
    <n v="377.54965440000001"/>
    <n v="185450.90965439999"/>
    <m/>
    <m/>
    <m/>
    <m/>
    <x v="2"/>
    <m/>
    <m/>
    <m/>
    <m/>
    <m/>
    <n v="0"/>
    <m/>
    <m/>
    <m/>
    <m/>
    <m/>
    <x v="1"/>
  </r>
  <r>
    <s v="15/08/2019"/>
    <s v="FIAT MOBI WAY MANUAL"/>
    <s v="9BD341A64LY628349"/>
    <s v="LY628349"/>
    <n v="201453.72"/>
    <n v="201453.72"/>
    <s v="FCA Financial Services"/>
    <s v="FINANCIADA"/>
    <m/>
    <x v="6"/>
    <d v="2019-09-26T00:00:00"/>
    <n v="120"/>
    <n v="8"/>
    <n v="9.1800000000000007E-2"/>
    <n v="410.96558880000003"/>
    <n v="201864.6855888"/>
    <m/>
    <m/>
    <m/>
    <m/>
    <x v="2"/>
    <m/>
    <m/>
    <m/>
    <m/>
    <m/>
    <n v="0"/>
    <m/>
    <m/>
    <m/>
    <m/>
    <m/>
    <x v="1"/>
  </r>
  <r>
    <s v="15/08/2019"/>
    <s v="FIAT MOBI WAY MANUAL"/>
    <s v="9BD341A65LY630630"/>
    <s v="LY630630"/>
    <n v="201453.72"/>
    <n v="201453.72"/>
    <s v="FCA Financial Services"/>
    <s v="FINANCIADA"/>
    <s v="P1"/>
    <x v="6"/>
    <d v="2019-09-26T00:00:00"/>
    <n v="120"/>
    <n v="8"/>
    <n v="9.1800000000000007E-2"/>
    <n v="410.96558880000003"/>
    <n v="201864.6855888"/>
    <m/>
    <m/>
    <m/>
    <m/>
    <x v="2"/>
    <m/>
    <m/>
    <m/>
    <m/>
    <m/>
    <n v="0"/>
    <m/>
    <m/>
    <m/>
    <m/>
    <m/>
    <x v="1"/>
  </r>
  <r>
    <s v="26/08/2019"/>
    <s v="FIAT UNO SPORTING MANUAL"/>
    <s v="9BD195A81K0865329"/>
    <s v="K0865329"/>
    <n v="215889.92000000001"/>
    <n v="215889.92000000001"/>
    <s v="FCA Financial Services"/>
    <s v="FINANCIADA"/>
    <s v="ATLACOMULCO"/>
    <x v="6"/>
    <d v="2019-09-26T00:00:00"/>
    <n v="120"/>
    <n v="8"/>
    <n v="9.1800000000000007E-2"/>
    <n v="440.41543680000007"/>
    <n v="216330.3354368"/>
    <m/>
    <m/>
    <m/>
    <m/>
    <x v="2"/>
    <m/>
    <m/>
    <m/>
    <m/>
    <m/>
    <n v="0"/>
    <m/>
    <m/>
    <m/>
    <m/>
    <m/>
    <x v="1"/>
  </r>
  <r>
    <s v="26/08/2019"/>
    <s v="FIAT UNO SPORTING MANUAL"/>
    <s v="9BD195A81K0865749"/>
    <s v="K0865749"/>
    <n v="215889.92000000001"/>
    <n v="215889.92000000001"/>
    <s v="FCA Financial Services"/>
    <s v="FINANCIADA"/>
    <s v="SALA"/>
    <x v="6"/>
    <d v="2019-09-26T00:00:00"/>
    <n v="120"/>
    <n v="8"/>
    <n v="9.1800000000000007E-2"/>
    <n v="440.41543680000007"/>
    <n v="216330.3354368"/>
    <m/>
    <m/>
    <s v="MAA000031565"/>
    <s v="SOSA BUSTAMANTE RAUL GERARDO"/>
    <x v="4"/>
    <d v="2019-09-30T00:00:00"/>
    <m/>
    <m/>
    <n v="226400"/>
    <n v="24000"/>
    <n v="202400"/>
    <s v="A CUENTA DE UNIDAD"/>
    <s v="FRCM000007687, FRCM000007732"/>
    <d v="2019-09-30T00:00:00"/>
    <m/>
    <s v="RODRIGUEZ VILLANUEVA ERICK GERARDO"/>
    <x v="1"/>
  </r>
  <r>
    <s v="29/08/2019"/>
    <s v="FIAT UNO WAY MANUAL"/>
    <s v="9BD195567L0868214"/>
    <s v="L0868214"/>
    <n v="212740.52"/>
    <n v="212740.52"/>
    <s v="FCA Financial Services"/>
    <s v="FINANCIADA"/>
    <s v="SALA"/>
    <x v="6"/>
    <d v="2019-09-26T00:00:00"/>
    <n v="120"/>
    <n v="8"/>
    <n v="9.1800000000000007E-2"/>
    <n v="433.9906608"/>
    <n v="213174.51066079998"/>
    <m/>
    <m/>
    <m/>
    <m/>
    <x v="2"/>
    <m/>
    <m/>
    <m/>
    <m/>
    <m/>
    <n v="0"/>
    <m/>
    <m/>
    <m/>
    <m/>
    <m/>
    <x v="1"/>
  </r>
  <r>
    <s v="29/08/2019"/>
    <s v="FIAT MOBI WAY MANUAL"/>
    <s v="9BD341A6XLY629702"/>
    <s v="LY629702"/>
    <n v="201453.72"/>
    <n v="201453.72"/>
    <s v="FCA Financial Services"/>
    <s v="FINANCIADA"/>
    <s v="LERMA"/>
    <x v="6"/>
    <d v="2019-09-26T00:00:00"/>
    <n v="120"/>
    <n v="8"/>
    <n v="9.1800000000000007E-2"/>
    <n v="410.96558880000003"/>
    <n v="201864.6855888"/>
    <m/>
    <m/>
    <m/>
    <m/>
    <x v="2"/>
    <m/>
    <m/>
    <m/>
    <m/>
    <m/>
    <n v="0"/>
    <m/>
    <m/>
    <m/>
    <m/>
    <m/>
    <x v="1"/>
  </r>
  <r>
    <s v="BBVA CONTINENTAL"/>
    <m/>
    <m/>
    <s v="BBVA CONTINENTAL"/>
    <m/>
    <m/>
    <m/>
    <m/>
    <m/>
    <x v="0"/>
    <s v="BBVA CONTINENTAL"/>
    <m/>
    <m/>
    <m/>
    <m/>
    <m/>
    <m/>
    <m/>
    <m/>
    <s v="BBVA CONTINENTAL"/>
    <x v="1"/>
    <s v="BBVA CONTINENTAL"/>
    <m/>
    <m/>
    <m/>
    <s v="BBVA CONTINENTAL"/>
    <m/>
    <m/>
    <s v="BBVA CONTINENTAL"/>
    <m/>
    <m/>
    <s v="BBVA CONTINENTAL"/>
    <x v="0"/>
  </r>
  <r>
    <s v="06/12/2018"/>
    <s v="JEEP CHEROKEE OVERLAND"/>
    <s v="1C4PJLJX3KD348072"/>
    <s v="KD348072"/>
    <n v="608007.55000000005"/>
    <n v="608007.55000000005"/>
    <s v="FCA Financial Services"/>
    <s v="RECALENDARIZADA"/>
    <s v="TALLER"/>
    <x v="7"/>
    <d v="2019-09-30T00:00:00"/>
    <d v="2019-10-15T00:00:00"/>
    <n v="4"/>
    <n v="9.2899999999999996E-2"/>
    <n v="627.59890438888885"/>
    <n v="608635.14890438889"/>
    <m/>
    <m/>
    <m/>
    <m/>
    <x v="2"/>
    <m/>
    <m/>
    <m/>
    <m/>
    <m/>
    <n v="0"/>
    <m/>
    <m/>
    <m/>
    <m/>
    <m/>
    <x v="1"/>
  </r>
  <r>
    <s v="12/12/2018"/>
    <s v="DODGE CHALLENGER SCAT PACK 6.4L V8 / 8AT"/>
    <s v="2C3CDZFJ0KH549352"/>
    <s v="KH549352"/>
    <n v="759041.21"/>
    <n v="759041.21"/>
    <s v="FCA Financial Services"/>
    <s v="RECALENDARIZADA"/>
    <s v="ATLACOMULCO"/>
    <x v="7"/>
    <d v="2019-09-30T00:00:00"/>
    <d v="2019-10-15T00:00:00"/>
    <n v="4"/>
    <n v="9.2899999999999996E-2"/>
    <n v="783.49920454444441"/>
    <n v="759824.70920454443"/>
    <m/>
    <m/>
    <s v="AA000002094"/>
    <s v="GONZALEZ RAMIREZ MA CONCEPCION"/>
    <x v="5"/>
    <d v="2019-09-03T00:00:00"/>
    <m/>
    <m/>
    <n v="925900"/>
    <m/>
    <n v="925900"/>
    <m/>
    <m/>
    <m/>
    <m/>
    <s v="CRUZ COLIN GERARDO"/>
    <x v="1"/>
  </r>
  <r>
    <s v="05/09/2018"/>
    <s v="DODGE ATTITUDE SXT MT"/>
    <s v="ML3AB56J0JH017737"/>
    <s v="JH017737"/>
    <n v="215575.2"/>
    <n v="215575.2"/>
    <s v="FCA Financial Services"/>
    <s v="RECALENDARIZADA"/>
    <s v="P1"/>
    <x v="7"/>
    <d v="2019-09-30T00:00:00"/>
    <d v="2019-10-21T00:00:00"/>
    <n v="4"/>
    <n v="9.2899999999999996E-2"/>
    <n v="222.521512"/>
    <n v="215797.72151200002"/>
    <m/>
    <m/>
    <m/>
    <m/>
    <x v="2"/>
    <m/>
    <m/>
    <m/>
    <m/>
    <m/>
    <n v="0"/>
    <m/>
    <m/>
    <m/>
    <m/>
    <m/>
    <x v="1"/>
  </r>
  <r>
    <s v="21/11/2018"/>
    <s v="RAM PROMASTER RAPID"/>
    <s v="9BD265556K9118947"/>
    <s v="K9118947"/>
    <n v="217505.14"/>
    <n v="217505.14"/>
    <s v="FCA Financial Services"/>
    <s v="RECALENDARIZADA"/>
    <s v="ENTREGADA"/>
    <x v="7"/>
    <d v="2019-09-30T00:00:00"/>
    <d v="2019-11-07T00:00:00"/>
    <n v="4"/>
    <n v="9.2899999999999996E-2"/>
    <n v="224.51363895555554"/>
    <n v="217729.65363895558"/>
    <m/>
    <m/>
    <s v="MAA000031477"/>
    <s v="JCDECAUX OUT OF HOME MEXICO"/>
    <x v="1"/>
    <d v="2019-09-12T00:00:00"/>
    <s v="30 DN ENTREGA"/>
    <d v="2019-10-18T00:00:00"/>
    <n v="208040"/>
    <m/>
    <n v="208040"/>
    <m/>
    <m/>
    <m/>
    <d v="2019-09-18T00:00:00"/>
    <s v="TORTI BECERRIL RENE OMAR"/>
    <x v="1"/>
  </r>
  <r>
    <s v="29/11/2018"/>
    <s v="RAM 2500 PROMASTER - 11.5 M3 - AMBULANCIA"/>
    <s v="3C6TRVCG4JE150461"/>
    <s v="JE150461"/>
    <n v="521073.5"/>
    <n v="521073.5"/>
    <s v="FCA Financial Services"/>
    <s v="RECALENDARIZADA"/>
    <s v="ATLACOMULCO"/>
    <x v="7"/>
    <d v="2019-09-30T00:00:00"/>
    <d v="2019-11-07T00:00:00"/>
    <n v="4"/>
    <n v="9.2899999999999996E-2"/>
    <n v="537.86364611111105"/>
    <n v="521611.3636461111"/>
    <m/>
    <m/>
    <m/>
    <m/>
    <x v="2"/>
    <m/>
    <m/>
    <m/>
    <m/>
    <m/>
    <n v="0"/>
    <m/>
    <m/>
    <m/>
    <m/>
    <m/>
    <x v="1"/>
  </r>
  <r>
    <s v="22/11/2018"/>
    <s v="JEEP GRAND CHEROKEE LIMITED LUJO ADVANCED 5.7L V8 4X4"/>
    <s v="1C4RJFBT9KC602122"/>
    <s v="KC602122"/>
    <n v="777151.2"/>
    <n v="777151.2"/>
    <s v="FCA Financial Services"/>
    <s v="FINANCIADA"/>
    <s v="SALA"/>
    <x v="7"/>
    <d v="2019-09-30T00:00:00"/>
    <d v="2019-12-10T00:00:00"/>
    <n v="4"/>
    <n v="9.2899999999999996E-2"/>
    <n v="802.19273866666663"/>
    <n v="777953.39273866662"/>
    <m/>
    <m/>
    <m/>
    <m/>
    <x v="2"/>
    <m/>
    <m/>
    <m/>
    <m/>
    <m/>
    <n v="0"/>
    <m/>
    <m/>
    <m/>
    <m/>
    <m/>
    <x v="1"/>
  </r>
  <r>
    <s v="28/11/2018"/>
    <s v="RAM 700 REGULAR CAB"/>
    <s v="9BD578459KY292644"/>
    <s v="KY292644"/>
    <n v="219114.72"/>
    <n v="219114.72"/>
    <s v="FCA Financial Services"/>
    <s v="FINANCIADA"/>
    <s v="P1"/>
    <x v="7"/>
    <d v="2019-09-30T00:00:00"/>
    <d v="2020-01-08T00:00:00"/>
    <n v="4"/>
    <n v="9.2899999999999996E-2"/>
    <n v="226.17508319999999"/>
    <n v="219340.89508320001"/>
    <m/>
    <m/>
    <m/>
    <m/>
    <x v="2"/>
    <m/>
    <m/>
    <m/>
    <m/>
    <m/>
    <n v="0"/>
    <m/>
    <m/>
    <m/>
    <m/>
    <m/>
    <x v="1"/>
  </r>
  <r>
    <s v="28/02/2019"/>
    <s v="RAM 1500 LARAMIE SPORT V8 8AT 4X4"/>
    <s v="1C6SRFJT9KN761780"/>
    <s v="KN761780"/>
    <n v="806753.06"/>
    <n v="806753.06"/>
    <s v="FCA Financial Services"/>
    <s v="FINANCIADA"/>
    <s v="LERMA"/>
    <x v="7"/>
    <d v="2019-09-30T00:00:00"/>
    <d v="2020-02-08T00:00:00"/>
    <n v="4"/>
    <n v="9.2899999999999996E-2"/>
    <n v="832.74843637777781"/>
    <n v="807585.80843637779"/>
    <m/>
    <m/>
    <m/>
    <m/>
    <x v="2"/>
    <m/>
    <m/>
    <m/>
    <m/>
    <m/>
    <n v="0"/>
    <m/>
    <m/>
    <m/>
    <m/>
    <m/>
    <x v="1"/>
  </r>
  <r>
    <s v="28/12/2018"/>
    <s v="JEEP GRAND CHEROKEE LIMITED LUJO 3.6L V6 4X2"/>
    <s v="1C4RJEBG4KC602901"/>
    <s v="KC602901"/>
    <n v="702355.64"/>
    <n v="702355.64"/>
    <s v="FCA Financial Services"/>
    <s v="FINANCIADA"/>
    <s v="ATLACOMULCO"/>
    <x v="7"/>
    <d v="2019-09-30T00:00:00"/>
    <d v="2020-02-08T00:00:00"/>
    <n v="4"/>
    <n v="9.2899999999999996E-2"/>
    <n v="724.98709951111107"/>
    <n v="703080.6270995111"/>
    <m/>
    <m/>
    <m/>
    <m/>
    <x v="2"/>
    <m/>
    <m/>
    <m/>
    <m/>
    <m/>
    <n v="0"/>
    <m/>
    <m/>
    <m/>
    <m/>
    <m/>
    <x v="1"/>
  </r>
  <r>
    <s v="27/01/2019"/>
    <s v="JEEP RENEGADE LATITUDE 4X2"/>
    <s v="988611561KK222255"/>
    <s v="KK222255"/>
    <n v="397005.36"/>
    <n v="397005.36"/>
    <s v="FCA Financial Services"/>
    <s v="FINANCIADA"/>
    <s v="ATLACOMULCO"/>
    <x v="7"/>
    <d v="2019-09-30T00:00:00"/>
    <d v="2020-02-24T00:00:00"/>
    <n v="4"/>
    <n v="9.2899999999999996E-2"/>
    <n v="409.79775493333329"/>
    <n v="397415.15775493335"/>
    <m/>
    <m/>
    <m/>
    <m/>
    <x v="2"/>
    <m/>
    <m/>
    <m/>
    <m/>
    <m/>
    <n v="0"/>
    <m/>
    <m/>
    <m/>
    <m/>
    <m/>
    <x v="1"/>
  </r>
  <r>
    <s v="27/01/2019"/>
    <s v="JEEP RENEGADE LATITUDE 4X2"/>
    <s v="988611560KK224871"/>
    <s v="KK224871"/>
    <n v="397005.36"/>
    <n v="397005.36"/>
    <s v="FCA Financial Services"/>
    <s v="FINANCIADA"/>
    <s v="TENANCINGO"/>
    <x v="7"/>
    <d v="2019-09-30T00:00:00"/>
    <d v="2020-02-24T00:00:00"/>
    <n v="4"/>
    <n v="9.2899999999999996E-2"/>
    <n v="409.79775493333329"/>
    <n v="397415.15775493335"/>
    <m/>
    <m/>
    <m/>
    <m/>
    <x v="2"/>
    <m/>
    <m/>
    <m/>
    <m/>
    <m/>
    <n v="0"/>
    <m/>
    <m/>
    <m/>
    <m/>
    <m/>
    <x v="1"/>
  </r>
  <r>
    <s v="30/01/2019"/>
    <s v="CHRYSLER PACIFICA LIMITED PLATINUM"/>
    <s v="2C4RC1GG0KR627300"/>
    <s v="KR627300"/>
    <n v="807605.92"/>
    <n v="807605.92"/>
    <s v="FCA Financial Services"/>
    <s v="FINANCIADA"/>
    <s v="P1"/>
    <x v="7"/>
    <d v="2019-09-30T00:00:00"/>
    <d v="2020-02-24T00:00:00"/>
    <n v="4"/>
    <n v="9.2899999999999996E-2"/>
    <n v="833.62877742222224"/>
    <n v="808439.54877742229"/>
    <m/>
    <m/>
    <s v="LA000003100"/>
    <s v="SANDOVAL MARTINEZ PAOLA"/>
    <x v="7"/>
    <d v="2019-09-30T00:00:00"/>
    <m/>
    <m/>
    <n v="902900"/>
    <n v="275950"/>
    <n v="626950"/>
    <s v="A CUENTA DE UNIDAD"/>
    <s v="FRCL000001096, FRCL000001100, FRCL000001101"/>
    <s v="26,27/09/2019"/>
    <m/>
    <s v="SANCHEZ PEREZ GABRIELA"/>
    <x v="1"/>
  </r>
  <r>
    <s v="30/01/2019"/>
    <s v="JEEP GRAND CHEROKEE LIMITED LUJO 3.6L V6 4X2"/>
    <s v="1C4RJEBG0KC657605"/>
    <s v="KC657605"/>
    <n v="709341.16"/>
    <n v="709341.16"/>
    <s v="FCA Financial Services"/>
    <s v="FINANCIADA"/>
    <s v="P1"/>
    <x v="7"/>
    <d v="2019-09-30T00:00:00"/>
    <d v="2020-02-24T00:00:00"/>
    <n v="4"/>
    <n v="9.2899999999999996E-2"/>
    <n v="732.19770848888891"/>
    <n v="710073.35770848894"/>
    <m/>
    <m/>
    <m/>
    <m/>
    <x v="2"/>
    <m/>
    <m/>
    <m/>
    <m/>
    <m/>
    <n v="0"/>
    <m/>
    <m/>
    <m/>
    <m/>
    <m/>
    <x v="1"/>
  </r>
  <r>
    <s v="31/01/2019"/>
    <s v="DODGE GRAND CARAVAN SE"/>
    <s v="2C4RDGBG3KR623345"/>
    <s v="KR623345"/>
    <n v="437774.72"/>
    <n v="437774.72"/>
    <s v="FCA Financial Services"/>
    <s v="FINANCIADA"/>
    <s v="ATLACOMULCO"/>
    <x v="7"/>
    <d v="2019-09-30T00:00:00"/>
    <d v="2020-02-24T00:00:00"/>
    <n v="4"/>
    <n v="9.2899999999999996E-2"/>
    <n v="451.88079431111112"/>
    <n v="438226.60079431109"/>
    <m/>
    <m/>
    <m/>
    <m/>
    <x v="2"/>
    <m/>
    <m/>
    <m/>
    <m/>
    <m/>
    <n v="0"/>
    <m/>
    <m/>
    <m/>
    <m/>
    <m/>
    <x v="1"/>
  </r>
  <r>
    <s v="05/02/2019"/>
    <s v="RAM 1500 CREW CAB SLT V6 8ATX 4X2"/>
    <s v="3C6SRADG9KG528752"/>
    <s v="KG528752"/>
    <n v="508395.1"/>
    <n v="508395.1"/>
    <s v="FCA Financial Services"/>
    <s v="FINANCIADA"/>
    <m/>
    <x v="7"/>
    <d v="2019-09-30T00:00:00"/>
    <d v="2020-03-10T00:00:00"/>
    <n v="4"/>
    <n v="9.2899999999999996E-2"/>
    <n v="524.77671988888881"/>
    <n v="508919.87671988888"/>
    <m/>
    <m/>
    <m/>
    <m/>
    <x v="2"/>
    <m/>
    <m/>
    <m/>
    <m/>
    <m/>
    <n v="0"/>
    <m/>
    <m/>
    <m/>
    <m/>
    <m/>
    <x v="1"/>
  </r>
  <r>
    <s v="05/02/2019"/>
    <s v="RAM 1500 CREW CAB SLT V6 8ATX 4X2"/>
    <s v="3C6SRADG0KG532592"/>
    <s v="KG532592"/>
    <n v="508395.1"/>
    <n v="508395.1"/>
    <s v="FCA Financial Services"/>
    <s v="FINANCIADA"/>
    <m/>
    <x v="7"/>
    <d v="2019-09-30T00:00:00"/>
    <d v="2020-03-10T00:00:00"/>
    <n v="4"/>
    <n v="9.2899999999999996E-2"/>
    <n v="524.77671988888881"/>
    <n v="508919.87671988888"/>
    <m/>
    <m/>
    <m/>
    <m/>
    <x v="2"/>
    <m/>
    <m/>
    <m/>
    <m/>
    <m/>
    <n v="0"/>
    <m/>
    <m/>
    <m/>
    <m/>
    <m/>
    <x v="1"/>
  </r>
  <r>
    <s v="06/02/2019"/>
    <s v="JEEP GRAND CHEROKEE LIMITED LUJO 3.6L V6 4X2"/>
    <s v="1C4RJEBG1KC643910"/>
    <s v="KC643910"/>
    <n v="709341.16"/>
    <n v="709341.16"/>
    <s v="FCA Financial Services"/>
    <s v="FINANCIADA"/>
    <s v="P1"/>
    <x v="7"/>
    <d v="2019-09-30T00:00:00"/>
    <d v="2020-03-18T00:00:00"/>
    <n v="4"/>
    <n v="9.2899999999999996E-2"/>
    <n v="732.19770848888891"/>
    <n v="710073.35770848894"/>
    <m/>
    <m/>
    <m/>
    <m/>
    <x v="2"/>
    <m/>
    <m/>
    <m/>
    <m/>
    <m/>
    <n v="0"/>
    <m/>
    <m/>
    <m/>
    <m/>
    <m/>
    <x v="1"/>
  </r>
  <r>
    <s v="12/02/2019"/>
    <s v="JEEP COMPASS LIMITED 4X2 ATX6 2.4L"/>
    <s v="3C4NJCCB7KT667087"/>
    <s v="KT667087"/>
    <n v="487437.8"/>
    <n v="487437.8"/>
    <s v="FCA Financial Services"/>
    <s v="FINANCIADA"/>
    <s v="BODY"/>
    <x v="7"/>
    <d v="2019-09-30T00:00:00"/>
    <d v="2020-03-18T00:00:00"/>
    <n v="4"/>
    <n v="9.2899999999999996E-2"/>
    <n v="503.14412911111106"/>
    <n v="487940.94412911107"/>
    <m/>
    <m/>
    <m/>
    <m/>
    <x v="2"/>
    <m/>
    <m/>
    <m/>
    <m/>
    <m/>
    <n v="0"/>
    <m/>
    <m/>
    <m/>
    <m/>
    <m/>
    <x v="1"/>
  </r>
  <r>
    <s v="13/02/2019"/>
    <s v="JEEP GRAND CHEROKEE LIMITED LUJO 3.6L V6 4X2"/>
    <s v="1C4RJEBG9KC673642"/>
    <s v="KC673642"/>
    <n v="709341.16"/>
    <n v="709341.16"/>
    <s v="FCA Financial Services"/>
    <s v="FINANCIADA"/>
    <s v="P1"/>
    <x v="7"/>
    <d v="2019-09-30T00:00:00"/>
    <d v="2020-03-18T00:00:00"/>
    <n v="4"/>
    <n v="9.2899999999999996E-2"/>
    <n v="732.19770848888891"/>
    <n v="710073.35770848894"/>
    <m/>
    <m/>
    <m/>
    <m/>
    <x v="2"/>
    <m/>
    <m/>
    <m/>
    <m/>
    <m/>
    <n v="0"/>
    <m/>
    <m/>
    <m/>
    <m/>
    <m/>
    <x v="1"/>
  </r>
  <r>
    <s v="21/09/2018"/>
    <s v="JEEP CHEROKEE OVERLAND"/>
    <s v="1C4PJLJX9KD206020"/>
    <s v="KD206020"/>
    <n v="609747.55000000005"/>
    <n v="609747.55000000005"/>
    <s v="CAMARENA AUTOMOTRIZ DE OCCIDENTE, S.A. DE C.V."/>
    <s v="FINANCIADA"/>
    <s v="CARSO"/>
    <x v="7"/>
    <d v="2019-09-30T00:00:00"/>
    <d v="2020-03-24T00:00:00"/>
    <n v="4"/>
    <n v="9.2899999999999996E-2"/>
    <n v="629.39497105555552"/>
    <n v="610376.94497105561"/>
    <m/>
    <m/>
    <m/>
    <m/>
    <x v="2"/>
    <m/>
    <m/>
    <m/>
    <m/>
    <m/>
    <n v="0"/>
    <m/>
    <m/>
    <m/>
    <m/>
    <m/>
    <x v="1"/>
  </r>
  <r>
    <s v="21/09/2018"/>
    <s v="JEEP GRAND CHEROKEE LIMITED 4X4 8 CIL"/>
    <s v="1C4RJFBT2JC378013"/>
    <s v="JC378013"/>
    <n v="771294.22"/>
    <n v="771294.22"/>
    <s v="INTERLOMAS MUNDO AUTOMOTRIZ SA DE CV"/>
    <s v="FINANCIADA"/>
    <s v="P1"/>
    <x v="7"/>
    <d v="2019-09-30T00:00:00"/>
    <d v="2020-03-24T00:00:00"/>
    <n v="4"/>
    <n v="9.2899999999999996E-2"/>
    <n v="796.14703375555541"/>
    <n v="772090.36703375552"/>
    <m/>
    <m/>
    <m/>
    <m/>
    <x v="2"/>
    <m/>
    <m/>
    <m/>
    <m/>
    <m/>
    <n v="0"/>
    <m/>
    <m/>
    <m/>
    <m/>
    <m/>
    <x v="1"/>
  </r>
  <r>
    <s v="17/09/2019"/>
    <s v="DODGE NEON GT AT"/>
    <s v="ZFACDACP8L6P09915"/>
    <s v="L6P09915"/>
    <n v="309563.43"/>
    <n v="309563.43"/>
    <s v="INTERLOMAS MUNDO AUTOMOTRIZ SA DE CV"/>
    <s v="FINANCIADA"/>
    <s v="P1"/>
    <x v="7"/>
    <d v="2019-09-30T00:00:00"/>
    <d v="2020-03-25T00:00:00"/>
    <n v="4"/>
    <n v="9.2899999999999996E-2"/>
    <n v="319.53825163333335"/>
    <n v="309882.96825163334"/>
    <m/>
    <m/>
    <m/>
    <m/>
    <x v="2"/>
    <m/>
    <m/>
    <m/>
    <m/>
    <m/>
    <n v="0"/>
    <m/>
    <m/>
    <m/>
    <m/>
    <m/>
    <x v="1"/>
  </r>
  <r>
    <s v="24/09/2019"/>
    <s v="RAM 2500 CREW CAB SLT TRABAJO V8 6ATX 4X2"/>
    <s v="3C6SRADT2KG523132"/>
    <s v="KG523132"/>
    <n v="529132"/>
    <n v="529132"/>
    <s v="AUTOMOTRIZ LAGUNERA, S.A. DE C.V."/>
    <s v="FINANCIADA"/>
    <m/>
    <x v="7"/>
    <d v="2019-09-30T00:00:00"/>
    <d v="2020-03-25T00:00:00"/>
    <n v="4"/>
    <n v="9.2899999999999996E-2"/>
    <n v="546.18180888888878"/>
    <n v="529678.18180888891"/>
    <m/>
    <m/>
    <s v="MAA000031549"/>
    <s v="MUNICIPIO DE TEMOAYA"/>
    <x v="6"/>
    <d v="2019-09-30T00:00:00"/>
    <m/>
    <m/>
    <n v="849489.99"/>
    <m/>
    <n v="849489.99"/>
    <m/>
    <m/>
    <m/>
    <m/>
    <s v="MENA VILCHIS ESTEBAN"/>
    <x v="1"/>
  </r>
  <r>
    <s v="28/02/2019"/>
    <s v="JEEP COMPASS LIMITED PREMIUM 4X2 ATX6 2.4L"/>
    <s v="3C4NJCCB4KT730534"/>
    <s v="KT730534"/>
    <n v="521885.16"/>
    <n v="521885.16"/>
    <s v="FCA Financial Services"/>
    <s v="PROPIA"/>
    <s v="SALA"/>
    <x v="7"/>
    <d v="2019-10-02T00:00:00"/>
    <d v="2020-03-30T00:00:00"/>
    <n v="2"/>
    <n v="9.2774999999999996E-2"/>
    <n v="268.98830954999994"/>
    <n v="522154.14830954996"/>
    <m/>
    <m/>
    <m/>
    <m/>
    <x v="2"/>
    <m/>
    <m/>
    <m/>
    <m/>
    <m/>
    <n v="0"/>
    <m/>
    <m/>
    <m/>
    <m/>
    <m/>
    <x v="1"/>
  </r>
  <r>
    <s v="02/03/2019"/>
    <s v="JEEP COMPASS LIMITED PREMIUM 4X2 ATX6 2.4L"/>
    <s v="3C4NJCCB6KT730535"/>
    <s v="KT730535"/>
    <n v="521885.16"/>
    <n v="521885.16"/>
    <s v="FCA Financial Services"/>
    <s v="PROPIA"/>
    <s v="ATLACOMULCO"/>
    <x v="7"/>
    <d v="2019-10-02T00:00:00"/>
    <d v="2020-03-30T00:00:00"/>
    <n v="2"/>
    <n v="9.2774999999999996E-2"/>
    <n v="268.98830954999994"/>
    <n v="522154.14830954996"/>
    <m/>
    <m/>
    <m/>
    <m/>
    <x v="2"/>
    <m/>
    <m/>
    <m/>
    <m/>
    <m/>
    <n v="0"/>
    <m/>
    <m/>
    <m/>
    <m/>
    <m/>
    <x v="1"/>
  </r>
  <r>
    <s v="11/03/2019"/>
    <s v="DODGE DURANGO R/T"/>
    <s v="1C4SDHCT5KC691397"/>
    <s v="KC691397"/>
    <n v="771239.92"/>
    <n v="771239.92"/>
    <s v="FCA Financial Services"/>
    <s v="PROPIA"/>
    <s v="P1"/>
    <x v="7"/>
    <d v="2019-10-02T00:00:00"/>
    <d v="2020-03-30T00:00:00"/>
    <n v="2"/>
    <n v="9.2774999999999996E-2"/>
    <n v="397.50990876666668"/>
    <n v="771637.42990876676"/>
    <m/>
    <m/>
    <m/>
    <m/>
    <x v="2"/>
    <m/>
    <m/>
    <m/>
    <m/>
    <m/>
    <n v="0"/>
    <m/>
    <m/>
    <m/>
    <m/>
    <m/>
    <x v="1"/>
  </r>
  <r>
    <m/>
    <s v="PROPIAS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m/>
    <s v="SEMINUEVA NO FINANCIADA CONTINENTAL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s v="05/05/2016"/>
    <s v="LIBERTY"/>
    <s v="1J4GK48K92W310566"/>
    <s v="2W310566"/>
    <n v="65000"/>
    <n v="65000"/>
    <s v="SEMINUEVA"/>
    <s v="PROPIA"/>
    <m/>
    <x v="8"/>
    <s v="2002"/>
    <m/>
    <m/>
    <m/>
    <m/>
    <n v="65000"/>
    <m/>
    <m/>
    <m/>
    <m/>
    <x v="2"/>
    <m/>
    <m/>
    <m/>
    <m/>
    <m/>
    <n v="0"/>
    <m/>
    <m/>
    <m/>
    <m/>
    <m/>
    <x v="4"/>
  </r>
  <r>
    <s v="08/11/2018"/>
    <s v="COMPASS LIMITED FWD AUT"/>
    <s v="1C4NJCCB2ED799605"/>
    <s v="ED799605"/>
    <n v="180000"/>
    <n v="180000"/>
    <s v="SEMINUEVA"/>
    <s v="PROPIA"/>
    <s v="ATLACOMULCO"/>
    <x v="8"/>
    <s v="2014"/>
    <m/>
    <m/>
    <m/>
    <m/>
    <n v="180000"/>
    <m/>
    <m/>
    <m/>
    <m/>
    <x v="2"/>
    <m/>
    <m/>
    <m/>
    <m/>
    <m/>
    <n v="0"/>
    <m/>
    <m/>
    <m/>
    <m/>
    <m/>
    <x v="4"/>
  </r>
  <r>
    <s v="19/06/2019"/>
    <s v="TOWN &amp; COUNTRY LX"/>
    <s v="2C4JC1AG8DR623777"/>
    <s v="DR623777"/>
    <n v="100000"/>
    <n v="100000"/>
    <s v="SEMINUEVA"/>
    <s v="PROPIA"/>
    <s v="LERMA"/>
    <x v="8"/>
    <s v="2013"/>
    <m/>
    <m/>
    <m/>
    <m/>
    <n v="100000"/>
    <m/>
    <m/>
    <m/>
    <m/>
    <x v="2"/>
    <m/>
    <m/>
    <m/>
    <m/>
    <m/>
    <n v="0"/>
    <m/>
    <m/>
    <m/>
    <m/>
    <m/>
    <x v="4"/>
  </r>
  <r>
    <s v="27/08/2019"/>
    <s v="TOWN &amp; COUNTRY LX"/>
    <s v="2C4JC1AG9DR737190"/>
    <s v="DR737190"/>
    <n v="160000"/>
    <n v="160000"/>
    <s v="SEMINUEVA"/>
    <s v="PROPIA"/>
    <s v="LERMA"/>
    <x v="8"/>
    <s v="2013"/>
    <m/>
    <m/>
    <m/>
    <m/>
    <n v="160000"/>
    <m/>
    <m/>
    <m/>
    <m/>
    <x v="2"/>
    <m/>
    <m/>
    <m/>
    <m/>
    <m/>
    <n v="0"/>
    <m/>
    <m/>
    <m/>
    <m/>
    <m/>
    <x v="4"/>
  </r>
  <r>
    <s v="03/09/2019"/>
    <s v="GRAND CHEROKEE LIMITED 4X4 8 CIL BLINDADA"/>
    <s v="1C4RJFBT0HC618217"/>
    <s v="HC618217"/>
    <n v="900000"/>
    <n v="900000"/>
    <s v="SEMINUEVA"/>
    <s v="PROPIA"/>
    <s v="P1"/>
    <x v="8"/>
    <s v="2017"/>
    <m/>
    <m/>
    <m/>
    <m/>
    <n v="900000"/>
    <m/>
    <m/>
    <m/>
    <m/>
    <x v="2"/>
    <m/>
    <m/>
    <m/>
    <m/>
    <m/>
    <n v="0"/>
    <m/>
    <m/>
    <m/>
    <m/>
    <m/>
    <x v="4"/>
  </r>
  <r>
    <s v="11/09/2019"/>
    <s v="200C ADVANCE"/>
    <s v="1C3CCCCG6FN550270"/>
    <s v="FN550270"/>
    <n v="183000"/>
    <n v="183000"/>
    <s v="SEMINUEVA"/>
    <s v="PROPIA"/>
    <m/>
    <x v="8"/>
    <s v="2015"/>
    <m/>
    <m/>
    <m/>
    <m/>
    <n v="183000"/>
    <m/>
    <m/>
    <m/>
    <m/>
    <x v="2"/>
    <m/>
    <m/>
    <m/>
    <m/>
    <m/>
    <n v="0"/>
    <m/>
    <m/>
    <m/>
    <m/>
    <m/>
    <x v="4"/>
  </r>
  <r>
    <s v="31/08/2019"/>
    <s v="HIGHLANDER LE"/>
    <s v="5TDZKRFH8GS176692"/>
    <s v="GS176692"/>
    <n v="270000"/>
    <n v="270000"/>
    <s v="SEMINUEVA"/>
    <s v="PROPIA"/>
    <s v="P1"/>
    <x v="8"/>
    <s v="2016"/>
    <m/>
    <m/>
    <m/>
    <m/>
    <n v="270000"/>
    <m/>
    <m/>
    <m/>
    <m/>
    <x v="2"/>
    <m/>
    <m/>
    <m/>
    <m/>
    <m/>
    <n v="0"/>
    <m/>
    <m/>
    <m/>
    <m/>
    <m/>
    <x v="4"/>
  </r>
  <r>
    <s v="31/08/2019"/>
    <s v="GIULIETTA 1.8L TURBO"/>
    <s v="ZARCABC47H7451648"/>
    <s v="H7451648"/>
    <n v="265000"/>
    <n v="265000"/>
    <s v="SEMINUEVA"/>
    <s v="PROPIA"/>
    <s v="LERMA"/>
    <x v="8"/>
    <s v="2017"/>
    <m/>
    <m/>
    <m/>
    <m/>
    <n v="265000"/>
    <m/>
    <m/>
    <m/>
    <m/>
    <x v="2"/>
    <m/>
    <m/>
    <m/>
    <m/>
    <m/>
    <n v="0"/>
    <m/>
    <m/>
    <m/>
    <m/>
    <m/>
    <x v="4"/>
  </r>
  <r>
    <s v="31/08/2019"/>
    <s v="CHALLENGER SEDAN AUTOMATICO"/>
    <s v="2C3CDZAG6HH650366"/>
    <s v="HH650366"/>
    <n v="397000"/>
    <n v="397000"/>
    <s v="SEMINUEVA"/>
    <s v="PROPIA"/>
    <s v="P1"/>
    <x v="8"/>
    <s v="2017"/>
    <m/>
    <m/>
    <m/>
    <m/>
    <n v="397000"/>
    <m/>
    <m/>
    <m/>
    <m/>
    <x v="2"/>
    <m/>
    <m/>
    <m/>
    <m/>
    <m/>
    <n v="0"/>
    <m/>
    <m/>
    <m/>
    <m/>
    <m/>
    <x v="4"/>
  </r>
  <r>
    <s v="18/09/2019"/>
    <s v="CIVIC LX L4 MT"/>
    <s v="19XFB2552FE602127"/>
    <s v="FE602127"/>
    <n v="145000"/>
    <n v="145000"/>
    <s v="SEMINUEVA"/>
    <s v="PROPIA"/>
    <s v="P1"/>
    <x v="8"/>
    <s v="2015"/>
    <m/>
    <m/>
    <m/>
    <m/>
    <n v="145000"/>
    <m/>
    <m/>
    <m/>
    <m/>
    <x v="2"/>
    <m/>
    <m/>
    <m/>
    <m/>
    <m/>
    <n v="0"/>
    <m/>
    <m/>
    <m/>
    <m/>
    <m/>
    <x v="4"/>
  </r>
  <r>
    <s v="18/09/2019"/>
    <s v="X-TRAIL 5 PUERTAS EXCLUSIVE 2 ROW"/>
    <s v="JN8BT27T0FW010596"/>
    <s v="FW010596"/>
    <n v="195000"/>
    <n v="195000"/>
    <s v="SEMINUEVA"/>
    <s v="PROPIA"/>
    <m/>
    <x v="8"/>
    <s v="2015"/>
    <m/>
    <m/>
    <m/>
    <m/>
    <n v="195000"/>
    <m/>
    <m/>
    <m/>
    <m/>
    <x v="2"/>
    <m/>
    <m/>
    <m/>
    <m/>
    <m/>
    <n v="0"/>
    <m/>
    <m/>
    <m/>
    <m/>
    <m/>
    <x v="4"/>
  </r>
  <r>
    <s v="19/09/2019"/>
    <s v="500 TRENDY AUTOMATICO"/>
    <s v="3C3AFFARXFT528695"/>
    <s v="FT528695"/>
    <n v="83000"/>
    <n v="83000"/>
    <s v="SEMINUEVA"/>
    <s v="PROPIA"/>
    <s v="P1"/>
    <x v="8"/>
    <s v="2015"/>
    <m/>
    <m/>
    <m/>
    <m/>
    <n v="83000"/>
    <m/>
    <m/>
    <m/>
    <m/>
    <x v="2"/>
    <m/>
    <m/>
    <m/>
    <m/>
    <m/>
    <n v="0"/>
    <m/>
    <m/>
    <m/>
    <m/>
    <m/>
    <x v="4"/>
  </r>
  <r>
    <s v="20/09/2019"/>
    <s v="A6 3.0 TFSI 310 HP S TRONIC QUATTRO"/>
    <s v="WAUBGC4G7DN015386"/>
    <s v="DN015386"/>
    <n v="260000"/>
    <n v="260000"/>
    <s v="SEMINUEVA"/>
    <s v="PROPIA"/>
    <s v="P1"/>
    <x v="8"/>
    <s v="2013"/>
    <m/>
    <m/>
    <m/>
    <m/>
    <n v="260000"/>
    <m/>
    <m/>
    <m/>
    <m/>
    <x v="2"/>
    <m/>
    <m/>
    <m/>
    <m/>
    <m/>
    <n v="0"/>
    <m/>
    <m/>
    <m/>
    <m/>
    <m/>
    <x v="4"/>
  </r>
  <r>
    <s v="23/09/2019"/>
    <s v="NEON SXT PLUS"/>
    <s v="ZFACDACP8H6F09594"/>
    <s v="H6F09594"/>
    <n v="166000"/>
    <n v="166000"/>
    <s v="SEMINUEVA"/>
    <s v="PROPIA"/>
    <m/>
    <x v="8"/>
    <s v="2013"/>
    <m/>
    <m/>
    <m/>
    <m/>
    <n v="166000"/>
    <m/>
    <m/>
    <m/>
    <m/>
    <x v="2"/>
    <m/>
    <m/>
    <m/>
    <m/>
    <m/>
    <n v="0"/>
    <m/>
    <m/>
    <m/>
    <m/>
    <m/>
    <x v="4"/>
  </r>
  <r>
    <s v="23/09/2019"/>
    <s v="MAZDA6 G I4 GRAND TOURING PLUS SKYACTIV 6AT"/>
    <s v="JM1GJ1W32G1437439"/>
    <s v="G1437439"/>
    <n v="220000"/>
    <n v="220000"/>
    <s v="SEMINUEVA"/>
    <s v="PROPIA"/>
    <s v="P1"/>
    <x v="8"/>
    <s v="2013"/>
    <m/>
    <m/>
    <m/>
    <m/>
    <n v="220000"/>
    <m/>
    <m/>
    <m/>
    <m/>
    <x v="2"/>
    <m/>
    <m/>
    <m/>
    <m/>
    <m/>
    <n v="0"/>
    <m/>
    <m/>
    <m/>
    <m/>
    <m/>
    <x v="4"/>
  </r>
  <r>
    <s v="24/09/2019"/>
    <s v="PROMASTER RAPID"/>
    <s v="9BD265558J9099574"/>
    <s v="J9099574"/>
    <n v="137931.04"/>
    <n v="137931.04"/>
    <s v="SEMINUEVA"/>
    <s v="PROPIA"/>
    <m/>
    <x v="8"/>
    <s v="2013"/>
    <m/>
    <m/>
    <m/>
    <m/>
    <n v="137931.04"/>
    <m/>
    <m/>
    <m/>
    <m/>
    <x v="2"/>
    <m/>
    <m/>
    <m/>
    <m/>
    <m/>
    <n v="0"/>
    <m/>
    <m/>
    <m/>
    <m/>
    <m/>
    <x v="4"/>
  </r>
  <r>
    <s v="28/09/2019"/>
    <s v="MAZDA 5 SPORT 5 PUERTAS T/A"/>
    <s v="JM1CW2BL7C0121871"/>
    <s v="C0121871"/>
    <n v="94827.59"/>
    <n v="94827.59"/>
    <s v="SEMINUEVA"/>
    <s v="PROPIA"/>
    <s v="P1"/>
    <x v="8"/>
    <s v="2013"/>
    <m/>
    <m/>
    <m/>
    <m/>
    <n v="94827.59"/>
    <m/>
    <m/>
    <m/>
    <m/>
    <x v="2"/>
    <m/>
    <m/>
    <m/>
    <m/>
    <m/>
    <n v="0"/>
    <m/>
    <m/>
    <m/>
    <m/>
    <m/>
    <x v="4"/>
  </r>
  <r>
    <s v="30/09/2019"/>
    <s v="IBIZA STYLE FULL LINK"/>
    <s v="VSSBB26J9GR106501"/>
    <s v="GR106501"/>
    <n v="147000"/>
    <n v="147000"/>
    <s v="SEMINUEVA"/>
    <s v="PROPIA"/>
    <m/>
    <x v="8"/>
    <s v="2013"/>
    <m/>
    <m/>
    <m/>
    <m/>
    <n v="147000"/>
    <m/>
    <m/>
    <m/>
    <m/>
    <x v="2"/>
    <m/>
    <m/>
    <m/>
    <m/>
    <m/>
    <n v="0"/>
    <m/>
    <m/>
    <m/>
    <m/>
    <m/>
    <x v="4"/>
  </r>
  <r>
    <s v="30/09/2019"/>
    <s v="NEON SXT AT"/>
    <s v="ZFAADABP7H6C90054"/>
    <s v="H6C90054"/>
    <n v="165000"/>
    <n v="165000"/>
    <s v="SEMINUEVA"/>
    <s v="PROPIA"/>
    <m/>
    <x v="8"/>
    <s v="2013"/>
    <m/>
    <m/>
    <m/>
    <m/>
    <n v="165000"/>
    <m/>
    <m/>
    <m/>
    <m/>
    <x v="2"/>
    <m/>
    <m/>
    <m/>
    <m/>
    <m/>
    <n v="0"/>
    <m/>
    <m/>
    <m/>
    <m/>
    <m/>
    <x v="4"/>
  </r>
  <r>
    <m/>
    <s v="OTROS DISTRIBUIDORES INTERCAMBIOS CONTINENTAL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m/>
    <m/>
    <s v="3C4PDCGB1KT718061"/>
    <s v="KT718061"/>
    <m/>
    <m/>
    <m/>
    <s v="PROPIA"/>
    <m/>
    <x v="9"/>
    <m/>
    <m/>
    <m/>
    <m/>
    <m/>
    <n v="0"/>
    <m/>
    <m/>
    <m/>
    <m/>
    <x v="2"/>
    <m/>
    <m/>
    <m/>
    <m/>
    <m/>
    <n v="0"/>
    <m/>
    <m/>
    <m/>
    <m/>
    <m/>
    <x v="5"/>
  </r>
  <r>
    <m/>
    <s v="OTROS DISTRIBUIDORES INTERCAMBIOS ALFA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d v="2017-07-20T00:00:00"/>
    <s v="ALFA ROMEO GIULIETTA"/>
    <s v="ZARCABC43H7464025"/>
    <s v="H7464025"/>
    <n v="510771.20000000001"/>
    <n v="510771.20000000001"/>
    <s v="AUTOPOLANCO SA DE CV"/>
    <s v="PROPIA"/>
    <s v="P1"/>
    <x v="9"/>
    <m/>
    <m/>
    <m/>
    <m/>
    <m/>
    <n v="510771.20000000001"/>
    <m/>
    <m/>
    <m/>
    <m/>
    <x v="2"/>
    <m/>
    <m/>
    <m/>
    <m/>
    <m/>
    <n v="0"/>
    <m/>
    <m/>
    <m/>
    <m/>
    <m/>
    <x v="6"/>
  </r>
  <r>
    <m/>
    <s v="ACTIVOS FIJOS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s v="31/08/2016"/>
    <s v="JEEP GRAND CHEROKEE LIMITED 4X2 6 CIL"/>
    <s v="1C4RJEBG0HC626329"/>
    <s v="HC626329"/>
    <n v="608211.68000000005"/>
    <n v="608211.68000000005"/>
    <s v="CF CREDIT SERVICES, S.A. DE C.V. SOFOM, E.R. GRUPO FINANCIERO INBURSA"/>
    <s v="PROPIA"/>
    <s v="ACTIVO FIJO PILAR MENA"/>
    <x v="10"/>
    <m/>
    <m/>
    <m/>
    <m/>
    <m/>
    <n v="608211.68000000005"/>
    <m/>
    <m/>
    <m/>
    <m/>
    <x v="2"/>
    <m/>
    <m/>
    <m/>
    <m/>
    <m/>
    <n v="0"/>
    <m/>
    <m/>
    <m/>
    <m/>
    <m/>
    <x v="7"/>
  </r>
  <r>
    <s v="05/07/2017"/>
    <s v="DODGE ATTITUDE SXT MT"/>
    <s v="ML3AB56JXHH023331"/>
    <s v="HH023331"/>
    <n v="199598.88"/>
    <n v="199598.88"/>
    <s v="FCA Financial Services"/>
    <s v="PROPIA"/>
    <s v="ACTIVO FIJO IVONNE LOPEZ"/>
    <x v="10"/>
    <m/>
    <m/>
    <m/>
    <m/>
    <m/>
    <n v="199598.88"/>
    <m/>
    <m/>
    <m/>
    <m/>
    <x v="2"/>
    <m/>
    <m/>
    <m/>
    <m/>
    <m/>
    <n v="0"/>
    <m/>
    <m/>
    <m/>
    <m/>
    <m/>
    <x v="7"/>
  </r>
  <r>
    <s v="09/05/2016"/>
    <s v="RAM 2500 PROMASTER 11.5 M3"/>
    <s v="3C6TRVCG7GE128950"/>
    <s v="GE128950"/>
    <n v="244800"/>
    <n v="244800"/>
    <s v="CF CREDIT SERVICES, S.A. DE C.V. SOFOM, E.R. GRUPO FINANCIERO INBURSA"/>
    <s v="PROPIA"/>
    <s v="ACTIVO FIJO UNIDAD MOBIL"/>
    <x v="10"/>
    <m/>
    <m/>
    <m/>
    <m/>
    <m/>
    <n v="244800"/>
    <m/>
    <d v="2017-12-19T00:00:00"/>
    <m/>
    <m/>
    <x v="2"/>
    <m/>
    <m/>
    <m/>
    <m/>
    <m/>
    <n v="0"/>
    <m/>
    <m/>
    <m/>
    <m/>
    <m/>
    <x v="7"/>
  </r>
  <r>
    <s v="15/12/2017"/>
    <s v="RAM 700 REGULAR CAB"/>
    <s v="9BD578454JY202718"/>
    <s v="JY202718"/>
    <n v="212617.72"/>
    <n v="212617.72"/>
    <s v="FCA Financial Services"/>
    <s v="PROPIA"/>
    <s v="ACTIVO FIJO REFACCIONES(REPORTE DE ROBO)"/>
    <x v="10"/>
    <m/>
    <m/>
    <m/>
    <m/>
    <m/>
    <n v="212617.72"/>
    <m/>
    <m/>
    <m/>
    <m/>
    <x v="2"/>
    <m/>
    <m/>
    <m/>
    <m/>
    <m/>
    <n v="0"/>
    <m/>
    <m/>
    <m/>
    <m/>
    <m/>
    <x v="7"/>
  </r>
  <r>
    <s v="20/06/2017"/>
    <s v="GRAND CHEROKEE SRT8 4X4 8 CIL"/>
    <s v="1C4RJFDJ6GC452523"/>
    <s v="GC452523"/>
    <n v="780000"/>
    <n v="780000"/>
    <s v="SEMINUEVA"/>
    <s v="PROPIA"/>
    <s v="ACTIVO FIJO ASTROCAMIONES"/>
    <x v="10"/>
    <m/>
    <m/>
    <m/>
    <m/>
    <m/>
    <n v="780000"/>
    <m/>
    <m/>
    <m/>
    <m/>
    <x v="2"/>
    <m/>
    <m/>
    <m/>
    <m/>
    <m/>
    <n v="0"/>
    <m/>
    <m/>
    <m/>
    <m/>
    <m/>
    <x v="7"/>
  </r>
  <r>
    <s v="08/05/2019"/>
    <s v="JEEP COMPASS LIMITED 4X2"/>
    <s v="3C4NJCCB5JT151938"/>
    <s v="JT151938"/>
    <n v="345000"/>
    <n v="345000"/>
    <s v="SEMINUEVA"/>
    <s v="PROPIA"/>
    <s v="ACTIVO FIJO ESTEBAN MENA"/>
    <x v="10"/>
    <m/>
    <m/>
    <m/>
    <m/>
    <m/>
    <n v="345000"/>
    <m/>
    <m/>
    <m/>
    <m/>
    <x v="2"/>
    <m/>
    <m/>
    <m/>
    <m/>
    <m/>
    <n v="0"/>
    <m/>
    <m/>
    <m/>
    <m/>
    <m/>
    <x v="7"/>
  </r>
  <r>
    <s v="21/11/2018"/>
    <s v="RAM PROMASTER RAPID"/>
    <s v="9BD265556K9121864"/>
    <s v="K9121864"/>
    <n v="217505.14"/>
    <n v="217505.14"/>
    <s v="FCA Financial Services"/>
    <s v="PROPIA"/>
    <s v="ACTIVO FIJO REFACCIONES"/>
    <x v="10"/>
    <m/>
    <m/>
    <m/>
    <m/>
    <m/>
    <n v="217505.14"/>
    <m/>
    <m/>
    <m/>
    <m/>
    <x v="2"/>
    <m/>
    <m/>
    <m/>
    <m/>
    <m/>
    <n v="0"/>
    <m/>
    <m/>
    <m/>
    <m/>
    <m/>
    <x v="7"/>
  </r>
  <r>
    <m/>
    <s v="UNIDADES PROPIAS EN PISO PARA NO REFINANCIAR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d v="2017-06-28T00:00:00"/>
    <s v="RAM 2500 REG CAB HEMI SPORT V8 6ATX 4X2"/>
    <s v="3C6JRAAT7GG121775"/>
    <s v="GG121775"/>
    <n v="336455.38"/>
    <n v="336455.38"/>
    <s v="AUTOMOTRIZ CONTRY COMERCIAL, S.A. DE C.V."/>
    <s v="PROPIA"/>
    <s v="CACALOMACAN 09/09/2017"/>
    <x v="10"/>
    <m/>
    <m/>
    <m/>
    <m/>
    <m/>
    <n v="336455.38"/>
    <m/>
    <m/>
    <m/>
    <m/>
    <x v="2"/>
    <m/>
    <m/>
    <m/>
    <m/>
    <m/>
    <n v="0"/>
    <m/>
    <m/>
    <m/>
    <m/>
    <m/>
    <x v="8"/>
  </r>
  <r>
    <m/>
    <s v="UNIDADES PROPIAS EN PISO PARA REFINANCIAR"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m/>
    <m/>
    <m/>
    <m/>
    <m/>
    <m/>
    <m/>
    <s v="PROPIA"/>
    <m/>
    <x v="10"/>
    <m/>
    <m/>
    <m/>
    <m/>
    <m/>
    <n v="0"/>
    <m/>
    <m/>
    <m/>
    <m/>
    <x v="2"/>
    <m/>
    <m/>
    <m/>
    <m/>
    <m/>
    <n v="0"/>
    <m/>
    <m/>
    <m/>
    <m/>
    <m/>
    <x v="8"/>
  </r>
  <r>
    <m/>
    <m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  <r>
    <m/>
    <m/>
    <m/>
    <m/>
    <m/>
    <m/>
    <m/>
    <m/>
    <m/>
    <x v="0"/>
    <m/>
    <m/>
    <m/>
    <m/>
    <m/>
    <m/>
    <m/>
    <m/>
    <m/>
    <m/>
    <x v="11"/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0" applyNumberFormats="0" applyBorderFormats="0" applyFontFormats="0" applyPatternFormats="0" applyAlignmentFormats="0" applyWidthHeightFormats="1" dataCaption="Valores" updatedVersion="5" minRefreshableVersion="3" showDrill="0" useAutoFormatting="1" itemPrintTitles="1" createdVersion="5" indent="0" outline="1" outlineData="1" chartFormat="1" rowHeaderCaption="FINANCIAMIENTO CON">
  <location ref="B7:H70" firstHeaderRow="0" firstDataRow="1" firstDataCol="3"/>
  <pivotFields count="33"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axis="axisRow" compact="0" outline="0" subtotalTop="0" showAll="0">
      <items count="12">
        <item x="1"/>
        <item x="2"/>
        <item x="4"/>
        <item x="3"/>
        <item x="7"/>
        <item x="5"/>
        <item x="6"/>
        <item x="9"/>
        <item x="10"/>
        <item x="8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/>
    <pivotField showAll="0"/>
    <pivotField showAll="0"/>
    <pivotField axis="axisRow" subtotalTop="0" showAll="0">
      <items count="16">
        <item n="CONTADO" x="7"/>
        <item x="4"/>
        <item x="6"/>
        <item x="2"/>
        <item x="5"/>
        <item x="11"/>
        <item x="0"/>
        <item x="9"/>
        <item x="1"/>
        <item x="3"/>
        <item m="1" x="14"/>
        <item m="1" x="13"/>
        <item x="8"/>
        <item x="10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ubtotalCaption="TOTAL" compact="0" outline="0" subtotalTop="0" showAll="0" includeNewItemsInFilter="1">
      <items count="13">
        <item x="2"/>
        <item x="1"/>
        <item x="7"/>
        <item m="1" x="11"/>
        <item x="3"/>
        <item x="5"/>
        <item x="6"/>
        <item x="8"/>
        <item x="4"/>
        <item h="1" sd="0" x="0"/>
        <item m="1" x="10"/>
        <item m="1" x="9"/>
        <item t="default"/>
      </items>
    </pivotField>
  </pivotFields>
  <rowFields count="3">
    <field x="9"/>
    <field x="32"/>
    <field x="20"/>
  </rowFields>
  <rowItems count="63">
    <i>
      <x/>
      <x/>
      <x/>
    </i>
    <i r="2">
      <x v="1"/>
    </i>
    <i t="default" r="1">
      <x/>
    </i>
    <i r="1">
      <x v="1"/>
      <x/>
    </i>
    <i r="2">
      <x v="2"/>
    </i>
    <i r="2">
      <x v="3"/>
    </i>
    <i r="2">
      <x v="4"/>
    </i>
    <i r="2">
      <x v="8"/>
    </i>
    <i r="2">
      <x v="9"/>
    </i>
    <i t="default" r="1">
      <x v="1"/>
    </i>
    <i r="1">
      <x v="4"/>
      <x v="3"/>
    </i>
    <i t="default" r="1">
      <x v="4"/>
    </i>
    <i t="default">
      <x/>
    </i>
    <i>
      <x v="1"/>
      <x v="1"/>
      <x v="3"/>
    </i>
    <i r="2">
      <x v="12"/>
    </i>
    <i t="default" r="1">
      <x v="1"/>
    </i>
    <i t="default">
      <x v="1"/>
    </i>
    <i>
      <x v="2"/>
      <x/>
      <x/>
    </i>
    <i r="2">
      <x v="1"/>
    </i>
    <i t="default" r="1">
      <x/>
    </i>
    <i r="1">
      <x v="1"/>
      <x/>
    </i>
    <i r="2">
      <x v="3"/>
    </i>
    <i t="default" r="1">
      <x v="1"/>
    </i>
    <i t="default">
      <x v="2"/>
    </i>
    <i>
      <x v="3"/>
      <x/>
      <x v="7"/>
    </i>
    <i t="default" r="1">
      <x/>
    </i>
    <i r="1">
      <x v="1"/>
      <x v="3"/>
    </i>
    <i t="default" r="1">
      <x v="1"/>
    </i>
    <i t="default">
      <x v="3"/>
    </i>
    <i>
      <x v="4"/>
      <x v="1"/>
      <x/>
    </i>
    <i r="2">
      <x v="2"/>
    </i>
    <i r="2">
      <x v="3"/>
    </i>
    <i r="2">
      <x v="4"/>
    </i>
    <i r="2">
      <x v="8"/>
    </i>
    <i t="default" r="1">
      <x v="1"/>
    </i>
    <i t="default">
      <x v="4"/>
    </i>
    <i>
      <x v="5"/>
      <x/>
      <x v="7"/>
    </i>
    <i r="2">
      <x v="13"/>
    </i>
    <i t="default" r="1">
      <x/>
    </i>
    <i r="1">
      <x v="1"/>
      <x/>
    </i>
    <i r="2">
      <x v="3"/>
    </i>
    <i r="2">
      <x v="4"/>
    </i>
    <i r="2">
      <x v="8"/>
    </i>
    <i t="default" r="1">
      <x v="1"/>
    </i>
    <i t="default">
      <x v="5"/>
    </i>
    <i>
      <x v="6"/>
      <x v="1"/>
      <x v="1"/>
    </i>
    <i r="2">
      <x v="3"/>
    </i>
    <i t="default" r="1">
      <x v="1"/>
    </i>
    <i t="default">
      <x v="6"/>
    </i>
    <i>
      <x v="7"/>
      <x v="5"/>
      <x v="3"/>
    </i>
    <i t="default" r="1">
      <x v="5"/>
    </i>
    <i r="1">
      <x v="6"/>
      <x v="3"/>
    </i>
    <i t="default" r="1">
      <x v="6"/>
    </i>
    <i t="default">
      <x v="7"/>
    </i>
    <i>
      <x v="8"/>
      <x v="2"/>
      <x v="3"/>
    </i>
    <i t="default" r="1">
      <x v="2"/>
    </i>
    <i r="1">
      <x v="7"/>
      <x v="3"/>
    </i>
    <i t="default" r="1">
      <x v="7"/>
    </i>
    <i t="default">
      <x v="8"/>
    </i>
    <i>
      <x v="9"/>
      <x v="8"/>
      <x v="3"/>
    </i>
    <i t="default" r="1">
      <x v="8"/>
    </i>
    <i t="default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NO. UNIDADES" fld="3" subtotal="count" baseField="23" baseItem="1"/>
    <dataField name="IMPORTE A PAGAR NETO." fld="5" baseField="9" baseItem="0" numFmtId="165"/>
    <dataField name="INTERESES." fld="14" baseField="9" baseItem="0" numFmtId="165"/>
    <dataField name="IMPORTE A PAGAR." fld="15" baseField="9" baseItem="0" numFmtId="165"/>
  </dataFields>
  <formats count="275">
    <format dxfId="8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9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7">
      <pivotArea dataOnly="0" labelOnly="1" outline="0" fieldPosition="0">
        <references count="1">
          <reference field="9" count="1">
            <x v="8"/>
          </reference>
        </references>
      </pivotArea>
    </format>
    <format dxfId="876">
      <pivotArea dataOnly="0" labelOnly="1" outline="0" fieldPosition="0">
        <references count="1">
          <reference field="9" count="1">
            <x v="10"/>
          </reference>
        </references>
      </pivotArea>
    </format>
    <format dxfId="875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874">
      <pivotArea field="32" type="button" dataOnly="0" labelOnly="1" outline="0" axis="axisRow" fieldPosition="1"/>
    </format>
    <format dxfId="873">
      <pivotArea field="9" type="button" dataOnly="0" labelOnly="1" outline="0" axis="axisRow" fieldPosition="0"/>
    </format>
    <format dxfId="872">
      <pivotArea dataOnly="0" labelOnly="1" outline="0" fieldPosition="0">
        <references count="1">
          <reference field="9" count="1">
            <x v="8"/>
          </reference>
        </references>
      </pivotArea>
    </format>
    <format dxfId="871">
      <pivotArea dataOnly="0" labelOnly="1" grandRow="1" outline="0" fieldPosition="0"/>
    </format>
    <format dxfId="8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68">
      <pivotArea field="9" type="button" dataOnly="0" labelOnly="1" outline="0" axis="axisRow" fieldPosition="0"/>
    </format>
    <format dxfId="867">
      <pivotArea dataOnly="0" labelOnly="1" outline="0" fieldPosition="0">
        <references count="1">
          <reference field="9" count="1">
            <x v="8"/>
          </reference>
        </references>
      </pivotArea>
    </format>
    <format dxfId="8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4">
      <pivotArea field="20" type="button" dataOnly="0" labelOnly="1" outline="0" axis="axisRow" fieldPosition="2"/>
    </format>
    <format dxfId="863">
      <pivotArea dataOnly="0" labelOnly="1" outline="0" offset="IV256" fieldPosition="0">
        <references count="1">
          <reference field="9" count="1">
            <x v="8"/>
          </reference>
        </references>
      </pivotArea>
    </format>
    <format dxfId="862">
      <pivotArea dataOnly="0" labelOnly="1" outline="0" offset="IV256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8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55">
      <pivotArea collapsedLevelsAreSubtotals="1" fieldPosition="0">
        <references count="1">
          <reference field="9" count="1">
            <x v="8"/>
          </reference>
        </references>
      </pivotArea>
    </format>
    <format dxfId="8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53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8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51">
      <pivotArea collapsedLevelsAreSubtotals="1" fieldPosition="0">
        <references count="1">
          <reference field="9" count="1">
            <x v="8"/>
          </reference>
        </references>
      </pivotArea>
    </format>
    <format dxfId="850">
      <pivotArea dataOnly="0" labelOnly="1" outline="0" fieldPosition="0">
        <references count="1">
          <reference field="9" count="1">
            <x v="8"/>
          </reference>
        </references>
      </pivotArea>
    </format>
    <format dxfId="849">
      <pivotArea collapsedLevelsAreSubtotals="1" fieldPosition="0">
        <references count="1">
          <reference field="9" count="1">
            <x v="8"/>
          </reference>
        </references>
      </pivotArea>
    </format>
    <format dxfId="848">
      <pivotArea dataOnly="0" labelOnly="1" outline="0" fieldPosition="0">
        <references count="1">
          <reference field="9" count="1">
            <x v="8"/>
          </reference>
        </references>
      </pivotArea>
    </format>
    <format dxfId="847">
      <pivotArea collapsedLevelsAreSubtotals="1" fieldPosition="0">
        <references count="1">
          <reference field="9" count="1">
            <x v="8"/>
          </reference>
        </references>
      </pivotArea>
    </format>
    <format dxfId="846">
      <pivotArea dataOnly="0" labelOnly="1" outline="0" fieldPosition="0">
        <references count="1">
          <reference field="9" count="1">
            <x v="8"/>
          </reference>
        </references>
      </pivotArea>
    </format>
    <format dxfId="845">
      <pivotArea dataOnly="0" labelOnly="1" outline="0" fieldPosition="0">
        <references count="1">
          <reference field="9" count="1" defaultSubtotal="1">
            <x v="8"/>
          </reference>
        </references>
      </pivotArea>
    </format>
    <format dxfId="844">
      <pivotArea field="32" type="button" dataOnly="0" labelOnly="1" outline="0" axis="axisRow" fieldPosition="1"/>
    </format>
    <format dxfId="843">
      <pivotArea dataOnly="0" labelOnly="1" outline="0" offset="B256" fieldPosition="0">
        <references count="1">
          <reference field="9" count="1">
            <x v="8"/>
          </reference>
        </references>
      </pivotArea>
    </format>
    <format dxfId="842">
      <pivotArea dataOnly="0" labelOnly="1" outline="0" offset="B256" fieldPosition="0">
        <references count="1">
          <reference field="9" count="1" defaultSubtotal="1">
            <x v="8"/>
          </reference>
        </references>
      </pivotArea>
    </format>
    <format dxfId="841">
      <pivotArea dataOnly="0" labelOnly="1" outline="0" fieldPosition="0">
        <references count="2">
          <reference field="9" count="1" selected="0">
            <x v="8"/>
          </reference>
          <reference field="32" count="1">
            <x v="2"/>
          </reference>
        </references>
      </pivotArea>
    </format>
    <format dxfId="840">
      <pivotArea dataOnly="0" labelOnly="1" outline="0" offset="A256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839">
      <pivotArea field="32" type="button" dataOnly="0" labelOnly="1" outline="0" axis="axisRow" fieldPosition="1"/>
    </format>
    <format dxfId="838">
      <pivotArea field="20" type="button" dataOnly="0" labelOnly="1" outline="0" axis="axisRow" fieldPosition="2"/>
    </format>
    <format dxfId="837">
      <pivotArea field="9" type="button" dataOnly="0" labelOnly="1" outline="0" axis="axisRow" fieldPosition="0"/>
    </format>
    <format dxfId="8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33">
      <pivotArea dataOnly="0" labelOnly="1" outline="0" offset="A256" fieldPosition="0">
        <references count="1">
          <reference field="9" count="1" defaultSubtotal="1">
            <x v="8"/>
          </reference>
        </references>
      </pivotArea>
    </format>
    <format dxfId="8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0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29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28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827">
      <pivotArea grandRow="1" outline="0" collapsedLevelsAreSubtotals="1" fieldPosition="0"/>
    </format>
    <format dxfId="826">
      <pivotArea dataOnly="0" labelOnly="1" outline="0" fieldPosition="0">
        <references count="1">
          <reference field="9" count="1">
            <x v="5"/>
          </reference>
        </references>
      </pivotArea>
    </format>
    <format dxfId="825">
      <pivotArea collapsedLevelsAreSubtotals="1" fieldPosition="0">
        <references count="1">
          <reference field="9" count="1" defaultSubtotal="1">
            <x v="5"/>
          </reference>
        </references>
      </pivotArea>
    </format>
    <format dxfId="824">
      <pivotArea dataOnly="0" labelOnly="1" outline="0" fieldPosition="0">
        <references count="1">
          <reference field="9" count="1" defaultSubtotal="1">
            <x v="5"/>
          </reference>
        </references>
      </pivotArea>
    </format>
    <format dxfId="823">
      <pivotArea collapsedLevelsAreSubtotals="1" fieldPosition="0">
        <references count="2">
          <reference field="9" count="1" selected="0">
            <x v="5"/>
          </reference>
          <reference field="32" count="1" defaultSubtotal="1">
            <x v="1"/>
          </reference>
        </references>
      </pivotArea>
    </format>
    <format dxfId="822">
      <pivotArea dataOnly="0" labelOnly="1" outline="0" fieldPosition="0">
        <references count="2">
          <reference field="9" count="1" selected="0">
            <x v="5"/>
          </reference>
          <reference field="32" count="1" defaultSubtotal="1">
            <x v="1"/>
          </reference>
        </references>
      </pivotArea>
    </format>
    <format dxfId="821">
      <pivotArea collapsedLevelsAreSubtotals="1" fieldPosition="0">
        <references count="2">
          <reference field="9" count="1" selected="0">
            <x v="6"/>
          </reference>
          <reference field="32" count="1" defaultSubtotal="1">
            <x v="1"/>
          </reference>
        </references>
      </pivotArea>
    </format>
    <format dxfId="820">
      <pivotArea dataOnly="0" labelOnly="1" outline="0" fieldPosition="0">
        <references count="2">
          <reference field="9" count="1" selected="0">
            <x v="6"/>
          </reference>
          <reference field="32" count="1" defaultSubtotal="1">
            <x v="1"/>
          </reference>
        </references>
      </pivotArea>
    </format>
    <format dxfId="819">
      <pivotArea dataOnly="0" labelOnly="1" outline="0" fieldPosition="0">
        <references count="1">
          <reference field="9" count="1">
            <x v="6"/>
          </reference>
        </references>
      </pivotArea>
    </format>
    <format dxfId="818">
      <pivotArea collapsedLevelsAreSubtotals="1" fieldPosition="0">
        <references count="1">
          <reference field="9" count="1" defaultSubtotal="1">
            <x v="6"/>
          </reference>
        </references>
      </pivotArea>
    </format>
    <format dxfId="817">
      <pivotArea dataOnly="0" labelOnly="1" outline="0" fieldPosition="0">
        <references count="1">
          <reference field="9" count="1" defaultSubtotal="1">
            <x v="6"/>
          </reference>
        </references>
      </pivotArea>
    </format>
    <format dxfId="816">
      <pivotArea collapsedLevelsAreSubtotals="1" fieldPosition="0">
        <references count="2">
          <reference field="9" count="1" selected="0">
            <x v="6"/>
          </reference>
          <reference field="32" count="1" defaultSubtotal="1">
            <x v="1"/>
          </reference>
        </references>
      </pivotArea>
    </format>
    <format dxfId="815">
      <pivotArea dataOnly="0" labelOnly="1" outline="0" fieldPosition="0">
        <references count="2">
          <reference field="9" count="1" selected="0">
            <x v="6"/>
          </reference>
          <reference field="32" count="1" defaultSubtotal="1">
            <x v="1"/>
          </reference>
        </references>
      </pivotArea>
    </format>
    <format dxfId="814">
      <pivotArea collapsedLevelsAreSubtotals="1" fieldPosition="0">
        <references count="2">
          <reference field="9" count="1" selected="0">
            <x v="7"/>
          </reference>
          <reference field="32" count="1" defaultSubtotal="1">
            <x v="1"/>
          </reference>
        </references>
      </pivotArea>
    </format>
    <format dxfId="813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1"/>
          </reference>
        </references>
      </pivotArea>
    </format>
    <format dxfId="812">
      <pivotArea collapsedLevelsAreSubtotals="1" fieldPosition="0">
        <references count="2">
          <reference field="9" count="1" selected="0">
            <x v="9"/>
          </reference>
          <reference field="32" count="1" defaultSubtotal="1">
            <x v="8"/>
          </reference>
        </references>
      </pivotArea>
    </format>
    <format dxfId="811">
      <pivotArea dataOnly="0" labelOnly="1" outline="0" fieldPosition="0">
        <references count="2">
          <reference field="9" count="1" selected="0">
            <x v="9"/>
          </reference>
          <reference field="32" count="1" defaultSubtotal="1">
            <x v="8"/>
          </reference>
        </references>
      </pivotArea>
    </format>
    <format dxfId="810">
      <pivotArea collapsedLevelsAreSubtotals="1" fieldPosition="0">
        <references count="2">
          <reference field="9" count="1" selected="0">
            <x v="4"/>
          </reference>
          <reference field="32" count="1" defaultSubtotal="1">
            <x v="1"/>
          </reference>
        </references>
      </pivotArea>
    </format>
    <format dxfId="809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1"/>
          </reference>
        </references>
      </pivotArea>
    </format>
    <format dxfId="808">
      <pivotArea dataOnly="0" labelOnly="1" outline="0" fieldPosition="0">
        <references count="1">
          <reference field="9" count="1">
            <x v="4"/>
          </reference>
        </references>
      </pivotArea>
    </format>
    <format dxfId="807">
      <pivotArea collapsedLevelsAreSubtotals="1" fieldPosition="0">
        <references count="1">
          <reference field="9" count="1" defaultSubtotal="1">
            <x v="4"/>
          </reference>
        </references>
      </pivotArea>
    </format>
    <format dxfId="806">
      <pivotArea dataOnly="0" labelOnly="1" outline="0" fieldPosition="0">
        <references count="1">
          <reference field="9" count="1" defaultSubtotal="1">
            <x v="4"/>
          </reference>
        </references>
      </pivotArea>
    </format>
    <format dxfId="805">
      <pivotArea collapsedLevelsAreSubtotals="1" fieldPosition="0">
        <references count="3"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804">
      <pivotArea collapsedLevelsAreSubtotals="1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803">
      <pivotArea collapsedLevelsAreSubtotals="1" fieldPosition="0">
        <references count="1">
          <reference field="9" count="1" defaultSubtotal="1">
            <x v="7"/>
          </reference>
        </references>
      </pivotArea>
    </format>
    <format dxfId="802">
      <pivotArea collapsedLevelsAreSubtotals="1" fieldPosition="0">
        <references count="3"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801">
      <pivotArea collapsedLevelsAreSubtotals="1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800">
      <pivotArea collapsedLevelsAreSubtotals="1" fieldPosition="0">
        <references count="1">
          <reference field="9" count="1" defaultSubtotal="1">
            <x v="8"/>
          </reference>
        </references>
      </pivotArea>
    </format>
    <format dxfId="799">
      <pivotArea dataOnly="0" labelOnly="1" outline="0" fieldPosition="0">
        <references count="1">
          <reference field="9" count="3">
            <x v="7"/>
            <x v="8"/>
            <x v="9"/>
          </reference>
        </references>
      </pivotArea>
    </format>
    <format dxfId="798">
      <pivotArea dataOnly="0" labelOnly="1" outline="0" fieldPosition="0">
        <references count="1">
          <reference field="9" count="3" defaultSubtotal="1">
            <x v="7"/>
            <x v="8"/>
            <x v="9"/>
          </reference>
        </references>
      </pivotArea>
    </format>
    <format dxfId="797">
      <pivotArea dataOnly="0" labelOnly="1" outline="0" fieldPosition="0">
        <references count="2">
          <reference field="9" count="1" selected="0">
            <x v="7"/>
          </reference>
          <reference field="32" count="1">
            <x v="6"/>
          </reference>
        </references>
      </pivotArea>
    </format>
    <format dxfId="796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795">
      <pivotArea collapsedLevelsAreSubtotals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94">
      <pivotArea collapsedLevelsAreSubtotals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93">
      <pivotArea collapsedLevelsAreSubtotals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92">
      <pivotArea collapsedLevelsAreSubtotals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91">
      <pivotArea dataOnly="0" labelOnly="1" outline="0" fieldPosition="0">
        <references count="2">
          <reference field="9" count="1" selected="0">
            <x v="4"/>
          </reference>
          <reference field="32" count="1">
            <x v="1"/>
          </reference>
        </references>
      </pivotArea>
    </format>
    <format dxfId="790">
      <pivotArea dataOnly="0" labelOnly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89">
      <pivotArea collapsedLevelsAreSubtotals="1" fieldPosition="0">
        <references count="3"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788">
      <pivotArea dataOnly="0" labelOnly="1" outline="0" fieldPosition="0">
        <references count="2">
          <reference field="9" count="1" selected="0">
            <x v="7"/>
          </reference>
          <reference field="32" count="1">
            <x v="6"/>
          </reference>
        </references>
      </pivotArea>
    </format>
    <format dxfId="787">
      <pivotArea dataOnly="0" labelOnly="1" fieldPosition="0">
        <references count="3"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786">
      <pivotArea collapsedLevelsAreSubtotals="1" fieldPosition="0">
        <references count="3"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785">
      <pivotArea dataOnly="0" labelOnly="1" outline="0" fieldPosition="0">
        <references count="2">
          <reference field="9" count="1" selected="0">
            <x v="8"/>
          </reference>
          <reference field="32" count="1">
            <x v="2"/>
          </reference>
        </references>
      </pivotArea>
    </format>
    <format dxfId="784">
      <pivotArea dataOnly="0" labelOnly="1" fieldPosition="0">
        <references count="3"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783">
      <pivotArea collapsedLevelsAreSubtotals="1" fieldPosition="0">
        <references count="1">
          <reference field="9" count="1" defaultSubtotal="1">
            <x v="7"/>
          </reference>
        </references>
      </pivotArea>
    </format>
    <format dxfId="782">
      <pivotArea dataOnly="0" labelOnly="1" outline="0" fieldPosition="0">
        <references count="1">
          <reference field="9" count="1" defaultSubtotal="1">
            <x v="7"/>
          </reference>
        </references>
      </pivotArea>
    </format>
    <format dxfId="781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780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779">
      <pivotArea collapsedLevelsAreSubtotals="1" fieldPosition="0">
        <references count="1">
          <reference field="9" count="1" defaultSubtotal="1">
            <x v="8"/>
          </reference>
        </references>
      </pivotArea>
    </format>
    <format dxfId="778">
      <pivotArea dataOnly="0" labelOnly="1" outline="0" fieldPosition="0">
        <references count="1">
          <reference field="9" count="1" defaultSubtotal="1">
            <x v="8"/>
          </reference>
        </references>
      </pivotArea>
    </format>
    <format dxfId="777">
      <pivotArea collapsedLevelsAreSubtotals="1" fieldPosition="0">
        <references count="1">
          <reference field="9" count="1" defaultSubtotal="1">
            <x v="9"/>
          </reference>
        </references>
      </pivotArea>
    </format>
    <format dxfId="776">
      <pivotArea dataOnly="0" labelOnly="1" outline="0" fieldPosition="0">
        <references count="1">
          <reference field="9" count="1" defaultSubtotal="1">
            <x v="9"/>
          </reference>
        </references>
      </pivotArea>
    </format>
    <format dxfId="775">
      <pivotArea dataOnly="0" labelOnly="1" outline="0" fieldPosition="0">
        <references count="1">
          <reference field="9" count="1">
            <x v="4"/>
          </reference>
        </references>
      </pivotArea>
    </format>
    <format dxfId="774">
      <pivotArea collapsedLevelsAreSubtotals="1" fieldPosition="0">
        <references count="2">
          <reference field="9" count="1" selected="0">
            <x v="4"/>
          </reference>
          <reference field="32" count="1" defaultSubtotal="1">
            <x v="1"/>
          </reference>
        </references>
      </pivotArea>
    </format>
    <format dxfId="773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1"/>
          </reference>
        </references>
      </pivotArea>
    </format>
    <format dxfId="772">
      <pivotArea collapsedLevelsAreSubtotals="1" fieldPosition="0">
        <references count="1">
          <reference field="9" count="1" defaultSubtotal="1">
            <x v="4"/>
          </reference>
        </references>
      </pivotArea>
    </format>
    <format dxfId="771">
      <pivotArea dataOnly="0" labelOnly="1" outline="0" fieldPosition="0">
        <references count="1">
          <reference field="9" count="1" defaultSubtotal="1">
            <x v="4"/>
          </reference>
        </references>
      </pivotArea>
    </format>
    <format dxfId="770">
      <pivotArea dataOnly="0" labelOnly="1" outline="0" fieldPosition="0">
        <references count="1">
          <reference field="9" count="1">
            <x v="5"/>
          </reference>
        </references>
      </pivotArea>
    </format>
    <format dxfId="769">
      <pivotArea collapsedLevelsAreSubtotals="1" fieldPosition="0">
        <references count="2">
          <reference field="9" count="1" selected="0">
            <x v="5"/>
          </reference>
          <reference field="32" count="1" defaultSubtotal="1">
            <x v="1"/>
          </reference>
        </references>
      </pivotArea>
    </format>
    <format dxfId="768">
      <pivotArea dataOnly="0" labelOnly="1" outline="0" fieldPosition="0">
        <references count="2">
          <reference field="9" count="1" selected="0">
            <x v="5"/>
          </reference>
          <reference field="32" count="1" defaultSubtotal="1">
            <x v="1"/>
          </reference>
        </references>
      </pivotArea>
    </format>
    <format dxfId="767">
      <pivotArea collapsedLevelsAreSubtotals="1" fieldPosition="0">
        <references count="1">
          <reference field="9" count="1" defaultSubtotal="1">
            <x v="5"/>
          </reference>
        </references>
      </pivotArea>
    </format>
    <format dxfId="766">
      <pivotArea dataOnly="0" labelOnly="1" outline="0" fieldPosition="0">
        <references count="1">
          <reference field="9" count="1" defaultSubtotal="1">
            <x v="5"/>
          </reference>
        </references>
      </pivotArea>
    </format>
    <format dxfId="765">
      <pivotArea collapsedLevelsAreSubtotals="1" fieldPosition="0">
        <references count="4">
          <reference field="4294967294" count="1" selected="0">
            <x v="0"/>
          </reference>
          <reference field="9" count="1" selected="0">
            <x v="4"/>
          </reference>
          <reference field="20" count="1">
            <x v="3"/>
          </reference>
          <reference field="32" count="1" selected="0">
            <x v="1"/>
          </reference>
        </references>
      </pivotArea>
    </format>
    <format dxfId="764">
      <pivotArea collapsedLevelsAreSubtotals="1" fieldPosition="0">
        <references count="4">
          <reference field="4294967294" count="1" selected="0">
            <x v="0"/>
          </reference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763">
      <pivotArea collapsedLevelsAreSubtotals="1" fieldPosition="0">
        <references count="4">
          <reference field="4294967294" count="1" selected="0">
            <x v="0"/>
          </reference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762">
      <pivotArea collapsedLevelsAreSubtotals="1" fieldPosition="0">
        <references count="4">
          <reference field="4294967294" count="1" selected="0">
            <x v="2"/>
          </reference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761">
      <pivotArea collapsedLevelsAreSubtotals="1" fieldPosition="0">
        <references count="4">
          <reference field="4294967294" count="1" selected="0">
            <x v="2"/>
          </reference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760">
      <pivotArea collapsedLevelsAreSubtotals="1" fieldPosition="0">
        <references count="4">
          <reference field="4294967294" count="1" selected="0">
            <x v="2"/>
          </reference>
          <reference field="9" count="1" selected="0">
            <x v="4"/>
          </reference>
          <reference field="20" count="1">
            <x v="3"/>
          </reference>
          <reference field="32" count="1" selected="0">
            <x v="1"/>
          </reference>
        </references>
      </pivotArea>
    </format>
    <format dxfId="759">
      <pivotArea type="all" dataOnly="0" outline="0" collapsedLevelsAreSubtotals="1" fieldPosition="0"/>
    </format>
    <format dxfId="758">
      <pivotArea field="9" type="button" dataOnly="0" labelOnly="1" outline="0" axis="axisRow" fieldPosition="0"/>
    </format>
    <format dxfId="757">
      <pivotArea field="32" type="button" dataOnly="0" labelOnly="1" outline="0" axis="axisRow" fieldPosition="1"/>
    </format>
    <format dxfId="756">
      <pivotArea field="20" type="button" dataOnly="0" labelOnly="1" outline="0" axis="axisRow" fieldPosition="2"/>
    </format>
    <format dxfId="755">
      <pivotArea dataOnly="0" labelOnly="1" outline="0" fieldPosition="0">
        <references count="1">
          <reference field="9" count="6">
            <x v="4"/>
            <x v="5"/>
            <x v="6"/>
            <x v="7"/>
            <x v="8"/>
            <x v="9"/>
          </reference>
        </references>
      </pivotArea>
    </format>
    <format dxfId="754">
      <pivotArea dataOnly="0" labelOnly="1" outline="0" fieldPosition="0">
        <references count="1">
          <reference field="9" count="6" defaultSubtotal="1">
            <x v="4"/>
            <x v="5"/>
            <x v="6"/>
            <x v="7"/>
            <x v="8"/>
            <x v="9"/>
          </reference>
        </references>
      </pivotArea>
    </format>
    <format dxfId="753">
      <pivotArea dataOnly="0" labelOnly="1" grandRow="1" outline="0" fieldPosition="0"/>
    </format>
    <format dxfId="752">
      <pivotArea dataOnly="0" labelOnly="1" outline="0" fieldPosition="0">
        <references count="2">
          <reference field="9" count="1" selected="0">
            <x v="4"/>
          </reference>
          <reference field="32" count="1">
            <x v="1"/>
          </reference>
        </references>
      </pivotArea>
    </format>
    <format dxfId="751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1"/>
          </reference>
        </references>
      </pivotArea>
    </format>
    <format dxfId="750">
      <pivotArea dataOnly="0" labelOnly="1" outline="0" fieldPosition="0">
        <references count="2">
          <reference field="9" count="1" selected="0">
            <x v="5"/>
          </reference>
          <reference field="32" count="1">
            <x v="1"/>
          </reference>
        </references>
      </pivotArea>
    </format>
    <format dxfId="749">
      <pivotArea dataOnly="0" labelOnly="1" outline="0" fieldPosition="0">
        <references count="2">
          <reference field="9" count="1" selected="0">
            <x v="5"/>
          </reference>
          <reference field="32" count="1" defaultSubtotal="1">
            <x v="1"/>
          </reference>
        </references>
      </pivotArea>
    </format>
    <format dxfId="748">
      <pivotArea dataOnly="0" labelOnly="1" outline="0" fieldPosition="0">
        <references count="2">
          <reference field="9" count="1" selected="0">
            <x v="6"/>
          </reference>
          <reference field="32" count="1">
            <x v="1"/>
          </reference>
        </references>
      </pivotArea>
    </format>
    <format dxfId="747">
      <pivotArea dataOnly="0" labelOnly="1" outline="0" fieldPosition="0">
        <references count="2">
          <reference field="9" count="1" selected="0">
            <x v="6"/>
          </reference>
          <reference field="32" count="1" defaultSubtotal="1">
            <x v="1"/>
          </reference>
        </references>
      </pivotArea>
    </format>
    <format dxfId="746">
      <pivotArea dataOnly="0" labelOnly="1" outline="0" fieldPosition="0">
        <references count="2">
          <reference field="9" count="1" selected="0">
            <x v="7"/>
          </reference>
          <reference field="32" count="1">
            <x v="6"/>
          </reference>
        </references>
      </pivotArea>
    </format>
    <format dxfId="745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744">
      <pivotArea dataOnly="0" labelOnly="1" outline="0" fieldPosition="0">
        <references count="2">
          <reference field="9" count="1" selected="0">
            <x v="8"/>
          </reference>
          <reference field="32" count="1">
            <x v="2"/>
          </reference>
        </references>
      </pivotArea>
    </format>
    <format dxfId="743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742">
      <pivotArea dataOnly="0" labelOnly="1" fieldPosition="0">
        <references count="3">
          <reference field="9" count="1" selected="0">
            <x v="4"/>
          </reference>
          <reference field="20" count="2">
            <x v="0"/>
            <x v="3"/>
          </reference>
          <reference field="32" count="1" selected="0">
            <x v="1"/>
          </reference>
        </references>
      </pivotArea>
    </format>
    <format dxfId="741">
      <pivotArea dataOnly="0" labelOnly="1" fieldPosition="0">
        <references count="3">
          <reference field="9" count="1" selected="0">
            <x v="5"/>
          </reference>
          <reference field="20" count="5">
            <x v="0"/>
            <x v="1"/>
            <x v="2"/>
            <x v="3"/>
            <x v="4"/>
          </reference>
          <reference field="32" count="1" selected="0">
            <x v="1"/>
          </reference>
        </references>
      </pivotArea>
    </format>
    <format dxfId="740">
      <pivotArea dataOnly="0" labelOnly="1" fieldPosition="0">
        <references count="3">
          <reference field="9" count="1" selected="0">
            <x v="6"/>
          </reference>
          <reference field="20" count="1">
            <x v="3"/>
          </reference>
          <reference field="32" count="1" selected="0">
            <x v="1"/>
          </reference>
        </references>
      </pivotArea>
    </format>
    <format dxfId="739">
      <pivotArea dataOnly="0" labelOnly="1" fieldPosition="0">
        <references count="3">
          <reference field="9" count="1" selected="0">
            <x v="7"/>
          </reference>
          <reference field="20" count="1">
            <x v="3"/>
          </reference>
          <reference field="32" count="1" selected="0">
            <x v="6"/>
          </reference>
        </references>
      </pivotArea>
    </format>
    <format dxfId="738">
      <pivotArea dataOnly="0" labelOnly="1" fieldPosition="0">
        <references count="3">
          <reference field="9" count="1" selected="0">
            <x v="8"/>
          </reference>
          <reference field="20" count="1">
            <x v="3"/>
          </reference>
          <reference field="32" count="1" selected="0">
            <x v="2"/>
          </reference>
        </references>
      </pivotArea>
    </format>
    <format dxfId="737">
      <pivotArea outline="0" collapsedLevelsAreSubtotals="1" fieldPosition="0"/>
    </format>
    <format dxfId="7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5">
      <pivotArea dataOnly="0" labelOnly="1" outline="0" fieldPosition="0">
        <references count="1">
          <reference field="9" count="1">
            <x v="0"/>
          </reference>
        </references>
      </pivotArea>
    </format>
    <format dxfId="734">
      <pivotArea dataOnly="0" labelOnly="1" outline="0" offset="A256" fieldPosition="0">
        <references count="1">
          <reference field="9" count="1" defaultSubtotal="1">
            <x v="0"/>
          </reference>
        </references>
      </pivotArea>
    </format>
    <format dxfId="733">
      <pivotArea dataOnly="0" labelOnly="1" outline="0" offset="A256" fieldPosition="0">
        <references count="1">
          <reference field="9" count="1" defaultSubtotal="1">
            <x v="1"/>
          </reference>
        </references>
      </pivotArea>
    </format>
    <format dxfId="732">
      <pivotArea dataOnly="0" labelOnly="1" outline="0" fieldPosition="0">
        <references count="1">
          <reference field="9" count="1">
            <x v="1"/>
          </reference>
        </references>
      </pivotArea>
    </format>
    <format dxfId="731">
      <pivotArea collapsedLevelsAreSubtotals="1" fieldPosition="0">
        <references count="2">
          <reference field="9" count="1" selected="0">
            <x v="1"/>
          </reference>
          <reference field="32" count="1" defaultSubtotal="1">
            <x v="1"/>
          </reference>
        </references>
      </pivotArea>
    </format>
    <format dxfId="730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1"/>
          </reference>
        </references>
      </pivotArea>
    </format>
    <format dxfId="729">
      <pivotArea collapsedLevelsAreSubtotals="1" fieldPosition="0">
        <references count="1">
          <reference field="9" count="1" defaultSubtotal="1">
            <x v="1"/>
          </reference>
        </references>
      </pivotArea>
    </format>
    <format dxfId="728">
      <pivotArea dataOnly="0" labelOnly="1" outline="0" fieldPosition="0">
        <references count="1">
          <reference field="9" count="1" defaultSubtotal="1">
            <x v="1"/>
          </reference>
        </references>
      </pivotArea>
    </format>
    <format dxfId="727">
      <pivotArea collapsedLevelsAreSubtotals="1" fieldPosition="0">
        <references count="1">
          <reference field="9" count="1" defaultSubtotal="1">
            <x v="0"/>
          </reference>
        </references>
      </pivotArea>
    </format>
    <format dxfId="726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725">
      <pivotArea collapsedLevelsAreSubtotals="1" fieldPosition="0">
        <references count="2">
          <reference field="9" count="1" selected="0">
            <x v="0"/>
          </reference>
          <reference field="32" count="1" defaultSubtotal="1">
            <x v="1"/>
          </reference>
        </references>
      </pivotArea>
    </format>
    <format dxfId="724">
      <pivotArea dataOnly="0" labelOnly="1" outline="0" offset="IV256" fieldPosition="0">
        <references count="1">
          <reference field="9" count="1">
            <x v="0"/>
          </reference>
        </references>
      </pivotArea>
    </format>
    <format dxfId="723">
      <pivotArea dataOnly="0" labelOnly="1" outline="0" fieldPosition="0">
        <references count="2">
          <reference field="9" count="1" selected="0">
            <x v="0"/>
          </reference>
          <reference field="32" count="1" defaultSubtotal="1">
            <x v="1"/>
          </reference>
        </references>
      </pivotArea>
    </format>
    <format dxfId="722">
      <pivotArea dataOnly="0" labelOnly="1" outline="0" fieldPosition="0">
        <references count="1">
          <reference field="9" count="1">
            <x v="2"/>
          </reference>
        </references>
      </pivotArea>
    </format>
    <format dxfId="721">
      <pivotArea collapsedLevelsAreSubtotals="1" fieldPosition="0">
        <references count="1">
          <reference field="9" count="1" defaultSubtotal="1">
            <x v="2"/>
          </reference>
        </references>
      </pivotArea>
    </format>
    <format dxfId="720">
      <pivotArea dataOnly="0" labelOnly="1" outline="0" fieldPosition="0">
        <references count="1">
          <reference field="9" count="1" defaultSubtotal="1">
            <x v="2"/>
          </reference>
        </references>
      </pivotArea>
    </format>
    <format dxfId="719">
      <pivotArea collapsedLevelsAreSubtotals="1" fieldPosition="0">
        <references count="2">
          <reference field="9" count="1" selected="0">
            <x v="2"/>
          </reference>
          <reference field="32" count="1" defaultSubtotal="1">
            <x v="1"/>
          </reference>
        </references>
      </pivotArea>
    </format>
    <format dxfId="718">
      <pivotArea dataOnly="0" labelOnly="1" outline="0" fieldPosition="0">
        <references count="2">
          <reference field="9" count="1" selected="0">
            <x v="2"/>
          </reference>
          <reference field="32" count="1" defaultSubtotal="1">
            <x v="1"/>
          </reference>
        </references>
      </pivotArea>
    </format>
    <format dxfId="717">
      <pivotArea collapsedLevelsAreSubtotals="1" fieldPosition="0">
        <references count="2">
          <reference field="9" count="1" selected="0">
            <x v="7"/>
          </reference>
          <reference field="32" count="1" defaultSubtotal="1">
            <x v="5"/>
          </reference>
        </references>
      </pivotArea>
    </format>
    <format dxfId="716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5"/>
          </reference>
        </references>
      </pivotArea>
    </format>
    <format dxfId="715">
      <pivotArea collapsedLevelsAreSubtotals="1" fieldPosition="0">
        <references count="2">
          <reference field="9" count="1" selected="0">
            <x v="0"/>
          </reference>
          <reference field="32" count="1" defaultSubtotal="1">
            <x v="0"/>
          </reference>
        </references>
      </pivotArea>
    </format>
    <format dxfId="714">
      <pivotArea dataOnly="0" labelOnly="1" outline="0" fieldPosition="0">
        <references count="2">
          <reference field="9" count="1" selected="0">
            <x v="0"/>
          </reference>
          <reference field="32" count="1" defaultSubtotal="1">
            <x v="0"/>
          </reference>
        </references>
      </pivotArea>
    </format>
    <format dxfId="713">
      <pivotArea collapsedLevelsAreSubtotals="1" fieldPosition="0">
        <references count="2">
          <reference field="9" count="1" selected="0">
            <x v="6"/>
          </reference>
          <reference field="32" count="1" defaultSubtotal="1">
            <x v="0"/>
          </reference>
        </references>
      </pivotArea>
    </format>
    <format dxfId="712">
      <pivotArea dataOnly="0" labelOnly="1" outline="0" fieldPosition="0">
        <references count="2">
          <reference field="9" count="1" selected="0">
            <x v="6"/>
          </reference>
          <reference field="32" count="1" defaultSubtotal="1">
            <x v="0"/>
          </reference>
        </references>
      </pivotArea>
    </format>
    <format dxfId="711">
      <pivotArea collapsedLevelsAreSubtotals="1" fieldPosition="0">
        <references count="1">
          <reference field="9" count="1" defaultSubtotal="1">
            <x v="3"/>
          </reference>
        </references>
      </pivotArea>
    </format>
    <format dxfId="710">
      <pivotArea dataOnly="0" labelOnly="1" outline="0" fieldPosition="0">
        <references count="1">
          <reference field="9" count="1" defaultSubtotal="1">
            <x v="3"/>
          </reference>
        </references>
      </pivotArea>
    </format>
    <format dxfId="709">
      <pivotArea collapsedLevelsAreSubtotals="1" fieldPosition="0">
        <references count="2">
          <reference field="9" count="1" selected="0">
            <x v="4"/>
          </reference>
          <reference field="32" count="1" defaultSubtotal="1">
            <x v="0"/>
          </reference>
        </references>
      </pivotArea>
    </format>
    <format dxfId="708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0"/>
          </reference>
        </references>
      </pivotArea>
    </format>
    <format dxfId="707">
      <pivotArea collapsedLevelsAreSubtotals="1" fieldPosition="0">
        <references count="2">
          <reference field="9" count="1" selected="0">
            <x v="5"/>
          </reference>
          <reference field="32" count="1" defaultSubtotal="1">
            <x v="0"/>
          </reference>
        </references>
      </pivotArea>
    </format>
    <format dxfId="706">
      <pivotArea dataOnly="0" labelOnly="1" outline="0" fieldPosition="0">
        <references count="2">
          <reference field="9" count="1" selected="0">
            <x v="5"/>
          </reference>
          <reference field="32" count="1" defaultSubtotal="1">
            <x v="0"/>
          </reference>
        </references>
      </pivotArea>
    </format>
    <format dxfId="705">
      <pivotArea collapsedLevelsAreSubtotals="1" fieldPosition="0">
        <references count="2">
          <reference field="9" count="1" selected="0">
            <x v="1"/>
          </reference>
          <reference field="32" count="1" defaultSubtotal="1">
            <x v="0"/>
          </reference>
        </references>
      </pivotArea>
    </format>
    <format dxfId="704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0"/>
          </reference>
        </references>
      </pivotArea>
    </format>
    <format dxfId="703">
      <pivotArea collapsedLevelsAreSubtotals="1" fieldPosition="0">
        <references count="2">
          <reference field="9" count="1" selected="0">
            <x v="2"/>
          </reference>
          <reference field="32" count="1" defaultSubtotal="1">
            <x v="0"/>
          </reference>
        </references>
      </pivotArea>
    </format>
    <format dxfId="702">
      <pivotArea dataOnly="0" labelOnly="1" outline="0" fieldPosition="0">
        <references count="2">
          <reference field="9" count="1" selected="0">
            <x v="2"/>
          </reference>
          <reference field="32" count="1" defaultSubtotal="1">
            <x v="0"/>
          </reference>
        </references>
      </pivotArea>
    </format>
    <format dxfId="701">
      <pivotArea collapsedLevelsAreSubtotals="1" fieldPosition="0">
        <references count="2">
          <reference field="9" count="1" selected="0">
            <x v="3"/>
          </reference>
          <reference field="32" count="1" defaultSubtotal="1">
            <x v="1"/>
          </reference>
        </references>
      </pivotArea>
    </format>
    <format dxfId="700">
      <pivotArea dataOnly="0" labelOnly="1" outline="0" fieldPosition="0">
        <references count="2">
          <reference field="9" count="1" selected="0">
            <x v="3"/>
          </reference>
          <reference field="32" count="1" defaultSubtotal="1">
            <x v="1"/>
          </reference>
        </references>
      </pivotArea>
    </format>
    <format dxfId="699">
      <pivotArea collapsedLevelsAreSubtotals="1" fieldPosition="0">
        <references count="2">
          <reference field="9" count="1" selected="0">
            <x v="4"/>
          </reference>
          <reference field="32" count="1" defaultSubtotal="1">
            <x v="0"/>
          </reference>
        </references>
      </pivotArea>
    </format>
    <format dxfId="698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0"/>
          </reference>
        </references>
      </pivotArea>
    </format>
    <format dxfId="697">
      <pivotArea collapsedLevelsAreSubtotals="1" fieldPosition="0">
        <references count="2">
          <reference field="9" count="1" selected="0">
            <x v="1"/>
          </reference>
          <reference field="32" count="1" defaultSubtotal="1">
            <x v="0"/>
          </reference>
        </references>
      </pivotArea>
    </format>
    <format dxfId="696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0"/>
          </reference>
        </references>
      </pivotArea>
    </format>
    <format dxfId="695">
      <pivotArea dataOnly="0" labelOnly="1" outline="0" fieldPosition="0">
        <references count="1">
          <reference field="9" count="1">
            <x v="3"/>
          </reference>
        </references>
      </pivotArea>
    </format>
    <format dxfId="694">
      <pivotArea collapsedLevelsAreSubtotals="1" fieldPosition="0">
        <references count="2">
          <reference field="9" count="1" selected="0">
            <x v="3"/>
          </reference>
          <reference field="32" count="1" defaultSubtotal="1">
            <x v="1"/>
          </reference>
        </references>
      </pivotArea>
    </format>
    <format dxfId="693">
      <pivotArea dataOnly="0" labelOnly="1" outline="0" fieldPosition="0">
        <references count="2">
          <reference field="9" count="1" selected="0">
            <x v="3"/>
          </reference>
          <reference field="32" count="1" defaultSubtotal="1">
            <x v="1"/>
          </reference>
        </references>
      </pivotArea>
    </format>
    <format dxfId="692">
      <pivotArea collapsedLevelsAreSubtotals="1" fieldPosition="0">
        <references count="2">
          <reference field="9" count="1" selected="0">
            <x v="7"/>
          </reference>
          <reference field="32" count="1" defaultSubtotal="1">
            <x v="5"/>
          </reference>
        </references>
      </pivotArea>
    </format>
    <format dxfId="691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5"/>
          </reference>
        </references>
      </pivotArea>
    </format>
    <format dxfId="690">
      <pivotArea collapsedLevelsAreSubtotals="1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689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6"/>
          </reference>
        </references>
      </pivotArea>
    </format>
    <format dxfId="688">
      <pivotArea collapsedLevelsAreSubtotals="1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687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2"/>
          </reference>
        </references>
      </pivotArea>
    </format>
    <format dxfId="686">
      <pivotArea collapsedLevelsAreSubtotals="1" fieldPosition="0">
        <references count="2">
          <reference field="9" count="1" selected="0">
            <x v="9"/>
          </reference>
          <reference field="32" count="1" defaultSubtotal="1">
            <x v="8"/>
          </reference>
        </references>
      </pivotArea>
    </format>
    <format dxfId="685">
      <pivotArea dataOnly="0" labelOnly="1" outline="0" fieldPosition="0">
        <references count="2">
          <reference field="9" count="1" selected="0">
            <x v="9"/>
          </reference>
          <reference field="32" count="1" defaultSubtotal="1">
            <x v="8"/>
          </reference>
        </references>
      </pivotArea>
    </format>
    <format dxfId="684">
      <pivotArea dataOnly="0" labelOnly="1" outline="0" offset="IV1" fieldPosition="0">
        <references count="2">
          <reference field="9" count="1" selected="0">
            <x v="0"/>
          </reference>
          <reference field="32" count="1">
            <x v="0"/>
          </reference>
        </references>
      </pivotArea>
    </format>
    <format dxfId="683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1"/>
          </reference>
          <reference field="32" count="1" defaultSubtotal="1">
            <x v="0"/>
          </reference>
        </references>
      </pivotArea>
    </format>
    <format dxfId="682">
      <pivotArea dataOnly="0" labelOnly="1" outline="0" fieldPosition="0">
        <references count="2">
          <reference field="9" count="1" selected="0">
            <x v="2"/>
          </reference>
          <reference field="32" count="1">
            <x v="0"/>
          </reference>
        </references>
      </pivotArea>
    </format>
    <format dxfId="681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2"/>
          </reference>
          <reference field="32" count="1" defaultSubtotal="1">
            <x v="0"/>
          </reference>
        </references>
      </pivotArea>
    </format>
    <format dxfId="680">
      <pivotArea dataOnly="0" labelOnly="1" outline="0" offset="IV1" fieldPosition="0">
        <references count="2">
          <reference field="9" count="1" selected="0">
            <x v="5"/>
          </reference>
          <reference field="32" count="1">
            <x v="0"/>
          </reference>
        </references>
      </pivotArea>
    </format>
    <format dxfId="679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5"/>
          </reference>
          <reference field="32" count="1" defaultSubtotal="1">
            <x v="0"/>
          </reference>
        </references>
      </pivotArea>
    </format>
    <format dxfId="678">
      <pivotArea dataOnly="0" labelOnly="1" outline="0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77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4"/>
          </reference>
          <reference field="32" count="1" defaultSubtotal="1">
            <x v="0"/>
          </reference>
        </references>
      </pivotArea>
    </format>
    <format dxfId="676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6"/>
          </reference>
          <reference field="32" count="1" defaultSubtotal="1">
            <x v="0"/>
          </reference>
        </references>
      </pivotArea>
    </format>
    <format dxfId="675">
      <pivotArea dataOnly="0" labelOnly="1" outline="0" offset="IV1" fieldPosition="0">
        <references count="2">
          <reference field="9" count="1" selected="0">
            <x v="6"/>
          </reference>
          <reference field="32" count="1">
            <x v="0"/>
          </reference>
        </references>
      </pivotArea>
    </format>
    <format dxfId="674">
      <pivotArea dataOnly="0" labelOnly="1" outline="0" fieldPosition="0">
        <references count="2">
          <reference field="9" count="1" selected="0">
            <x v="3"/>
          </reference>
          <reference field="32" count="1">
            <x v="0"/>
          </reference>
        </references>
      </pivotArea>
    </format>
    <format dxfId="673">
      <pivotArea dataOnly="0" labelOnly="1" outline="0" fieldPosition="0">
        <references count="2">
          <reference field="9" count="1" selected="0">
            <x v="1"/>
          </reference>
          <reference field="32" count="1">
            <x v="0"/>
          </reference>
        </references>
      </pivotArea>
    </format>
    <format dxfId="672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>
            <x v="4"/>
          </reference>
        </references>
      </pivotArea>
    </format>
    <format dxfId="671">
      <pivotArea dataOnly="0" labelOnly="1" outline="0" offset="A256" fieldPosition="0">
        <references count="2">
          <reference field="9" count="1" selected="0">
            <x v="0"/>
          </reference>
          <reference field="32" count="1">
            <x v="4"/>
          </reference>
        </references>
      </pivotArea>
    </format>
    <format dxfId="670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>
            <x v="4"/>
          </reference>
        </references>
      </pivotArea>
    </format>
    <format dxfId="669">
      <pivotArea dataOnly="0" labelOnly="1" outline="0" offset="A256" fieldPosition="0">
        <references count="2">
          <reference field="9" count="1" selected="0">
            <x v="1"/>
          </reference>
          <reference field="32" count="1">
            <x v="4"/>
          </reference>
        </references>
      </pivotArea>
    </format>
    <format dxfId="668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1"/>
          </reference>
          <reference field="32" count="1">
            <x v="4"/>
          </reference>
        </references>
      </pivotArea>
    </format>
    <format dxfId="667">
      <pivotArea dataOnly="0" labelOnly="1" outline="0" fieldPosition="0">
        <references count="2">
          <reference field="9" count="1" selected="0">
            <x v="8"/>
          </reference>
          <reference field="32" count="1">
            <x v="3"/>
          </reference>
        </references>
      </pivotArea>
    </format>
    <format dxfId="666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8"/>
          </reference>
          <reference field="32" count="1" defaultSubtotal="1">
            <x v="3"/>
          </reference>
        </references>
      </pivotArea>
    </format>
    <format dxfId="665">
      <pivotArea dataOnly="0" labelOnly="1" outline="0" fieldPosition="0">
        <references count="2">
          <reference field="9" count="1" selected="0">
            <x v="0"/>
          </reference>
          <reference field="32" count="1">
            <x v="3"/>
          </reference>
        </references>
      </pivotArea>
    </format>
    <format dxfId="664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 defaultSubtotal="1">
            <x v="3"/>
          </reference>
        </references>
      </pivotArea>
    </format>
    <format dxfId="663">
      <pivotArea dataOnly="0" labelOnly="1" outline="0" offset="IV2:IV256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62">
      <pivotArea dataOnly="0" labelOnly="1" outline="0" offset="IV2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61">
      <pivotArea dataOnly="0" labelOnly="1" outline="0" offset="IV256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60">
      <pivotArea dataOnly="0" labelOnly="1" outline="0" offset="IV2:IV256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59">
      <pivotArea dataOnly="0" labelOnly="1" outline="0" fieldPosition="0">
        <references count="2">
          <reference field="9" count="1" selected="0">
            <x v="4"/>
          </reference>
          <reference field="32" count="1">
            <x v="0"/>
          </reference>
        </references>
      </pivotArea>
    </format>
    <format dxfId="658">
      <pivotArea dataOnly="0" labelOnly="1" outline="0" fieldPosition="0">
        <references count="2">
          <reference field="9" count="1" selected="0">
            <x v="5"/>
          </reference>
          <reference field="32" count="1">
            <x v="3"/>
          </reference>
        </references>
      </pivotArea>
    </format>
    <format dxfId="657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5"/>
          </reference>
          <reference field="32" count="1" defaultSubtotal="1">
            <x v="3"/>
          </reference>
        </references>
      </pivotArea>
    </format>
    <format dxfId="656">
      <pivotArea fieldPosition="0">
        <references count="2">
          <reference field="9" count="1" selected="0">
            <x v="8"/>
          </reference>
          <reference field="32" count="1" defaultSubtotal="1">
            <x v="7"/>
          </reference>
        </references>
      </pivotArea>
    </format>
    <format dxfId="655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7"/>
          </reference>
        </references>
      </pivotArea>
    </format>
    <format dxfId="654">
      <pivotArea dataOnly="0" labelOnly="1" outline="0" offset="A256" fieldPosition="0">
        <references count="2">
          <reference field="9" count="1" selected="0">
            <x v="5"/>
          </reference>
          <reference field="32" count="1" defaultSubtotal="1">
            <x v="10"/>
          </reference>
        </references>
      </pivotArea>
    </format>
    <format dxfId="653">
      <pivotArea dataOnly="0" labelOnly="1" outline="0" fieldPosition="0">
        <references count="2">
          <reference field="9" count="1" selected="0">
            <x v="5"/>
          </reference>
          <reference field="32" count="1">
            <x v="10"/>
          </reference>
        </references>
      </pivotArea>
    </format>
    <format dxfId="652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5"/>
          </reference>
          <reference field="32" count="1" defaultSubtotal="1">
            <x v="10"/>
          </reference>
        </references>
      </pivotArea>
    </format>
    <format dxfId="651">
      <pivotArea dataOnly="0" labelOnly="1" outline="0" fieldPosition="0">
        <references count="2">
          <reference field="9" count="1" selected="0">
            <x v="6"/>
          </reference>
          <reference field="32" count="1">
            <x v="10"/>
          </reference>
        </references>
      </pivotArea>
    </format>
    <format dxfId="650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6"/>
          </reference>
          <reference field="32" count="1" defaultSubtotal="1">
            <x v="10"/>
          </reference>
        </references>
      </pivotArea>
    </format>
    <format dxfId="649">
      <pivotArea dataOnly="0" labelOnly="1" outline="0" offset="A256" fieldPosition="0">
        <references count="2">
          <reference field="9" count="1" selected="0">
            <x v="6"/>
          </reference>
          <reference field="32" count="1" defaultSubtotal="1">
            <x v="10"/>
          </reference>
        </references>
      </pivotArea>
    </format>
    <format dxfId="648">
      <pivotArea dataOnly="0" labelOnly="1" outline="0" fieldPosition="0">
        <references count="2">
          <reference field="9" count="1" selected="0">
            <x v="0"/>
          </reference>
          <reference field="32" count="1">
            <x v="10"/>
          </reference>
        </references>
      </pivotArea>
    </format>
    <format dxfId="647">
      <pivotArea dataOnly="0" labelOnly="1" outline="0" offset="A256" fieldPosition="0">
        <references count="2">
          <reference field="9" count="1" selected="0">
            <x v="0"/>
          </reference>
          <reference field="32" count="1" defaultSubtotal="1">
            <x v="10"/>
          </reference>
        </references>
      </pivotArea>
    </format>
    <format dxfId="646">
      <pivotArea dataOnly="0" labelOnly="1" outline="0" offset="A256" fieldPosition="0">
        <references count="2">
          <reference field="9" count="1" selected="0">
            <x v="3"/>
          </reference>
          <reference field="32" count="1" defaultSubtotal="1">
            <x v="0"/>
          </reference>
        </references>
      </pivotArea>
    </format>
    <format dxfId="645">
      <pivotArea dataOnly="0" labelOnly="1" outline="0" offset="IV256" fieldPosition="0">
        <references count="2">
          <reference field="9" count="1" selected="0">
            <x v="3"/>
          </reference>
          <reference field="32" count="1" defaultSubtotal="1">
            <x v="0"/>
          </reference>
        </references>
      </pivotArea>
    </format>
    <format dxfId="644">
      <pivotArea collapsedLevelsAreSubtotals="1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32" count="1" defaultSubtotal="1">
            <x v="0"/>
          </reference>
        </references>
      </pivotArea>
    </format>
    <format dxfId="643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 defaultSubtotal="1">
            <x v="0"/>
          </reference>
        </references>
      </pivotArea>
    </format>
    <format dxfId="642">
      <pivotArea dataOnly="0" labelOnly="1" outline="0" fieldPosition="0">
        <references count="2">
          <reference field="9" count="1" selected="0">
            <x v="0"/>
          </reference>
          <reference field="32" count="1">
            <x v="4"/>
          </reference>
        </references>
      </pivotArea>
    </format>
    <format dxfId="641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 defaultSubtotal="1">
            <x v="10"/>
          </reference>
        </references>
      </pivotArea>
    </format>
    <format dxfId="640">
      <pivotArea fieldPosition="0">
        <references count="2">
          <reference field="9" count="1" selected="0">
            <x v="0"/>
          </reference>
          <reference field="32" count="1" defaultSubtotal="1">
            <x v="10"/>
          </reference>
        </references>
      </pivotArea>
    </format>
    <format dxfId="639">
      <pivotArea dataOnly="0" labelOnly="1" outline="0" fieldPosition="0">
        <references count="2">
          <reference field="9" count="1" selected="0">
            <x v="0"/>
          </reference>
          <reference field="32" count="1" defaultSubtotal="1">
            <x v="10"/>
          </reference>
        </references>
      </pivotArea>
    </format>
    <format dxfId="638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 defaultSubtotal="1">
            <x v="10"/>
          </reference>
        </references>
      </pivotArea>
    </format>
    <format dxfId="637">
      <pivotArea fieldPosition="0">
        <references count="2">
          <reference field="9" count="1" selected="0">
            <x v="0"/>
          </reference>
          <reference field="32" count="1" defaultSubtotal="1">
            <x v="4"/>
          </reference>
        </references>
      </pivotArea>
    </format>
    <format dxfId="636">
      <pivotArea dataOnly="0" labelOnly="1" outline="0" fieldPosition="0">
        <references count="2">
          <reference field="9" count="1" selected="0">
            <x v="0"/>
          </reference>
          <reference field="32" count="1" defaultSubtotal="1">
            <x v="4"/>
          </reference>
        </references>
      </pivotArea>
    </format>
    <format dxfId="635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0"/>
          </reference>
          <reference field="32" count="1" defaultSubtotal="1">
            <x v="4"/>
          </reference>
        </references>
      </pivotArea>
    </format>
    <format dxfId="634">
      <pivotArea fieldPosition="0">
        <references count="2">
          <reference field="9" count="1" selected="0">
            <x v="2"/>
          </reference>
          <reference field="32" count="1" defaultSubtotal="1">
            <x v="10"/>
          </reference>
        </references>
      </pivotArea>
    </format>
    <format dxfId="633">
      <pivotArea dataOnly="0" labelOnly="1" outline="0" fieldPosition="0">
        <references count="2">
          <reference field="9" count="1" selected="0">
            <x v="2"/>
          </reference>
          <reference field="32" count="1" defaultSubtotal="1">
            <x v="10"/>
          </reference>
        </references>
      </pivotArea>
    </format>
    <format dxfId="632">
      <pivotArea dataOnly="0" labelOnly="1" outline="0" offset="IV1" fieldPosition="0">
        <references count="2">
          <reference field="9" count="1" selected="0">
            <x v="2"/>
          </reference>
          <reference field="32" count="1">
            <x v="10"/>
          </reference>
        </references>
      </pivotArea>
    </format>
    <format dxfId="631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2"/>
          </reference>
          <reference field="32" count="1" defaultSubtotal="1">
            <x v="10"/>
          </reference>
        </references>
      </pivotArea>
    </format>
    <format dxfId="630">
      <pivotArea fieldPosition="0">
        <references count="2">
          <reference field="9" count="1" selected="0">
            <x v="4"/>
          </reference>
          <reference field="32" count="1" defaultSubtotal="1">
            <x v="10"/>
          </reference>
        </references>
      </pivotArea>
    </format>
    <format dxfId="629">
      <pivotArea dataOnly="0" labelOnly="1" outline="0" fieldPosition="0">
        <references count="2">
          <reference field="9" count="1" selected="0">
            <x v="4"/>
          </reference>
          <reference field="32" count="1" defaultSubtotal="1">
            <x v="10"/>
          </reference>
        </references>
      </pivotArea>
    </format>
    <format dxfId="628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4"/>
          </reference>
          <reference field="32" count="1" defaultSubtotal="1">
            <x v="10"/>
          </reference>
        </references>
      </pivotArea>
    </format>
    <format dxfId="627">
      <pivotArea dataOnly="0" labelOnly="1" outline="0" fieldPosition="0">
        <references count="2">
          <reference field="9" count="1" selected="0">
            <x v="4"/>
          </reference>
          <reference field="32" count="1">
            <x v="10"/>
          </reference>
        </references>
      </pivotArea>
    </format>
    <format dxfId="626">
      <pivotArea fieldPosition="0">
        <references count="2">
          <reference field="9" count="1" selected="0">
            <x v="1"/>
          </reference>
          <reference field="32" count="1" defaultSubtotal="1">
            <x v="10"/>
          </reference>
        </references>
      </pivotArea>
    </format>
    <format dxfId="625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10"/>
          </reference>
        </references>
      </pivotArea>
    </format>
    <format dxfId="624">
      <pivotArea fieldPosition="0">
        <references count="2">
          <reference field="9" count="1" selected="0">
            <x v="1"/>
          </reference>
          <reference field="32" count="1" defaultSubtotal="1">
            <x v="10"/>
          </reference>
        </references>
      </pivotArea>
    </format>
    <format dxfId="623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10"/>
          </reference>
        </references>
      </pivotArea>
    </format>
    <format dxfId="622">
      <pivotArea dataOnly="0" labelOnly="1" outline="0" fieldPosition="0">
        <references count="2">
          <reference field="9" count="1" selected="0">
            <x v="1"/>
          </reference>
          <reference field="32" count="1">
            <x v="10"/>
          </reference>
        </references>
      </pivotArea>
    </format>
    <format dxfId="621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1"/>
          </reference>
          <reference field="32" count="1" defaultSubtotal="1">
            <x v="10"/>
          </reference>
        </references>
      </pivotArea>
    </format>
    <format dxfId="620">
      <pivotArea fieldPosition="0">
        <references count="2">
          <reference field="9" count="1" selected="0">
            <x v="8"/>
          </reference>
          <reference field="32" count="1" defaultSubtotal="1">
            <x v="3"/>
          </reference>
        </references>
      </pivotArea>
    </format>
    <format dxfId="619">
      <pivotArea dataOnly="0" labelOnly="1" outline="0" fieldPosition="0">
        <references count="2">
          <reference field="9" count="1" selected="0">
            <x v="8"/>
          </reference>
          <reference field="32" count="1" defaultSubtotal="1">
            <x v="3"/>
          </reference>
        </references>
      </pivotArea>
    </format>
    <format dxfId="61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9" count="1" selected="0">
            <x v="5"/>
          </reference>
          <reference field="32" count="1" defaultSubtotal="1">
            <x v="10"/>
          </reference>
        </references>
      </pivotArea>
    </format>
    <format dxfId="617">
      <pivotArea dataOnly="0" labelOnly="1" outline="0" offset="IV256" fieldPosition="0">
        <references count="2">
          <reference field="9" count="1" selected="0">
            <x v="5"/>
          </reference>
          <reference field="32" count="1" defaultSubtotal="1">
            <x v="10"/>
          </reference>
        </references>
      </pivotArea>
    </format>
    <format dxfId="616">
      <pivotArea fieldPosition="0">
        <references count="2">
          <reference field="9" count="1" selected="0">
            <x v="1"/>
          </reference>
          <reference field="32" count="1" defaultSubtotal="1">
            <x v="4"/>
          </reference>
        </references>
      </pivotArea>
    </format>
    <format dxfId="615">
      <pivotArea dataOnly="0" labelOnly="1" outline="0" fieldPosition="0">
        <references count="2">
          <reference field="9" count="1" selected="0">
            <x v="1"/>
          </reference>
          <reference field="32" count="1" defaultSubtotal="1">
            <x v="4"/>
          </reference>
        </references>
      </pivotArea>
    </format>
    <format dxfId="614">
      <pivotArea fieldPosition="0">
        <references count="2">
          <reference field="9" count="1" selected="0">
            <x v="7"/>
          </reference>
          <reference field="32" count="1" defaultSubtotal="1">
            <x v="1"/>
          </reference>
        </references>
      </pivotArea>
    </format>
    <format dxfId="613">
      <pivotArea dataOnly="0" labelOnly="1" outline="0" fieldPosition="0">
        <references count="2">
          <reference field="9" count="1" selected="0">
            <x v="7"/>
          </reference>
          <reference field="32" count="1" defaultSubtotal="1">
            <x v="1"/>
          </reference>
        </references>
      </pivotArea>
    </format>
    <format dxfId="612">
      <pivotArea fieldPosition="0">
        <references count="2">
          <reference field="9" count="1" selected="0">
            <x v="5"/>
          </reference>
          <reference field="32" count="1" defaultSubtotal="1">
            <x v="3"/>
          </reference>
        </references>
      </pivotArea>
    </format>
    <format dxfId="611">
      <pivotArea dataOnly="0" labelOnly="1" outline="0" fieldPosition="0">
        <references count="2">
          <reference field="9" count="1" selected="0">
            <x v="5"/>
          </reference>
          <reference field="32" count="1" defaultSubtotal="1">
            <x v="3"/>
          </reference>
        </references>
      </pivotArea>
    </format>
    <format dxfId="610">
      <pivotArea fieldPosition="0">
        <references count="2">
          <reference field="9" count="1" selected="0">
            <x v="0"/>
          </reference>
          <reference field="32" count="1" defaultSubtotal="1">
            <x v="11"/>
          </reference>
        </references>
      </pivotArea>
    </format>
    <format dxfId="609">
      <pivotArea dataOnly="0" labelOnly="1" outline="0" fieldPosition="0">
        <references count="2">
          <reference field="9" count="1" selected="0">
            <x v="0"/>
          </reference>
          <reference field="32" count="1" defaultSubtotal="1">
            <x v="11"/>
          </reference>
        </references>
      </pivotArea>
    </format>
    <format dxfId="608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3"/>
          </reference>
          <reference field="32" count="1" defaultSubtotal="1">
            <x v="0"/>
          </reference>
        </references>
      </pivotArea>
    </format>
    <format dxfId="60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9" count="1" selected="0">
            <x v="3"/>
          </reference>
          <reference field="32" count="1" defaultSubtotal="1">
            <x v="0"/>
          </reference>
        </references>
      </pivotArea>
    </format>
    <format dxfId="606">
      <pivotArea collapsedLevelsAreSubtotals="1" fieldPosition="0">
        <references count="3">
          <reference field="4294967294" count="1" selected="0">
            <x v="3"/>
          </reference>
          <reference field="9" count="1" selected="0">
            <x v="3"/>
          </reference>
          <reference field="32" count="1" defaultSubtotal="1">
            <x v="0"/>
          </reference>
        </references>
      </pivotArea>
    </format>
  </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G4" totalsRowShown="0" headerRowDxfId="888">
  <autoFilter ref="A1:AG4" xr:uid="{00000000-0009-0000-0100-000001000000}"/>
  <tableColumns count="33">
    <tableColumn id="1" xr3:uid="{00000000-0010-0000-0000-000001000000}" name="FECHA DE COMPRA"/>
    <tableColumn id="2" xr3:uid="{00000000-0010-0000-0000-000002000000}" name="MARCA"/>
    <tableColumn id="3" xr3:uid="{00000000-0010-0000-0000-000003000000}" name="VIN"/>
    <tableColumn id="4" xr3:uid="{00000000-0010-0000-0000-000004000000}" name="SERIE"/>
    <tableColumn id="5" xr3:uid="{00000000-0010-0000-0000-000005000000}" name="VALOR FACTURA" dataCellStyle="Millares"/>
    <tableColumn id="6" xr3:uid="{00000000-0010-0000-0000-000006000000}" name="IMPORTE A PAGAR NETO" dataCellStyle="Millares"/>
    <tableColumn id="7" xr3:uid="{00000000-0010-0000-0000-000007000000}" name="NOMBRE DEL PROVEEDOR "/>
    <tableColumn id="8" xr3:uid="{00000000-0010-0000-0000-000008000000}" name="STATUS UNIDAD"/>
    <tableColumn id="9" xr3:uid="{00000000-0010-0000-0000-000009000000}" name="UBICACIÓN"/>
    <tableColumn id="10" xr3:uid="{00000000-0010-0000-0000-00000A000000}" name="FINANCIAMIENTO CON"/>
    <tableColumn id="11" xr3:uid="{00000000-0010-0000-0000-00000B000000}" name="FECHA DE FINANCIAMIENTO"/>
    <tableColumn id="12" xr3:uid="{00000000-0010-0000-0000-00000C000000}" name="DIAS DE CREDITO" dataDxfId="887"/>
    <tableColumn id="13" xr3:uid="{00000000-0010-0000-0000-00000D000000}" name="DIAS TRASCURRIDOS "/>
    <tableColumn id="14" xr3:uid="{00000000-0010-0000-0000-00000E000000}" name="TASA"/>
    <tableColumn id="15" xr3:uid="{00000000-0010-0000-0000-00000F000000}" name="INTERESES"/>
    <tableColumn id="16" xr3:uid="{00000000-0010-0000-0000-000010000000}" name="IMPORTE A PAGAR" dataCellStyle="Millares"/>
    <tableColumn id="17" xr3:uid="{00000000-0010-0000-0000-000011000000}" name="REPORTE DE INVENTARIO"/>
    <tableColumn id="18" xr3:uid="{00000000-0010-0000-0000-000012000000}" name="FECHA DE PAGO A FINAN"/>
    <tableColumn id="19" xr3:uid="{00000000-0010-0000-0000-000013000000}" name="Serie Factura"/>
    <tableColumn id="20" xr3:uid="{00000000-0010-0000-0000-000014000000}" name="CLIENTE"/>
    <tableColumn id="21" xr3:uid="{00000000-0010-0000-0000-000015000000}" name="TIPO DE VENTA"/>
    <tableColumn id="22" xr3:uid="{00000000-0010-0000-0000-000016000000}" name="FECHA DE VENTA" dataDxfId="886"/>
    <tableColumn id="23" xr3:uid="{00000000-0010-0000-0000-000017000000}" name="DIAS DE CREDITO CON PRORROGA"/>
    <tableColumn id="24" xr3:uid="{00000000-0010-0000-0000-000018000000}" name="FECHA VENCIMIENTO"/>
    <tableColumn id="25" xr3:uid="{00000000-0010-0000-0000-000019000000}" name="VALOR DE VENTA"/>
    <tableColumn id="26" xr3:uid="{00000000-0010-0000-0000-00001A000000}" name="PAGO DEL CLIENTE"/>
    <tableColumn id="27" xr3:uid="{00000000-0010-0000-0000-00001B000000}" name="SALDO ACTUAL"/>
    <tableColumn id="28" xr3:uid="{00000000-0010-0000-0000-00001C000000}" name="STATUS DE PAGO"/>
    <tableColumn id="29" xr3:uid="{00000000-0010-0000-0000-00001D000000}" name="No. RECIBO"/>
    <tableColumn id="30" xr3:uid="{00000000-0010-0000-0000-00001E000000}" name="FECHA DE RECIBO"/>
    <tableColumn id="31" xr3:uid="{00000000-0010-0000-0000-00001F000000}" name="FECHA DE SALIDA "/>
    <tableColumn id="32" xr3:uid="{00000000-0010-0000-0000-000020000000}" name="VENDEDOR "/>
    <tableColumn id="33" xr3:uid="{00000000-0010-0000-0000-000021000000}" name="PRIORIDAD DE PAG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AG2" totalsRowShown="0" headerRowDxfId="885">
  <autoFilter ref="A1:AG2" xr:uid="{00000000-0009-0000-0100-000003000000}"/>
  <tableColumns count="33">
    <tableColumn id="1" xr3:uid="{00000000-0010-0000-0100-000001000000}" name="FECHA DE COMPRA" dataDxfId="884"/>
    <tableColumn id="2" xr3:uid="{00000000-0010-0000-0100-000002000000}" name="MARCA"/>
    <tableColumn id="3" xr3:uid="{00000000-0010-0000-0100-000003000000}" name="VIN"/>
    <tableColumn id="4" xr3:uid="{00000000-0010-0000-0100-000004000000}" name="SERIE"/>
    <tableColumn id="5" xr3:uid="{00000000-0010-0000-0100-000005000000}" name="VALOR FACTURA" dataCellStyle="Millares"/>
    <tableColumn id="6" xr3:uid="{00000000-0010-0000-0100-000006000000}" name="IMPORTE A PAGAR NETO" dataCellStyle="Millares"/>
    <tableColumn id="7" xr3:uid="{00000000-0010-0000-0100-000007000000}" name="NOMBRE DEL PROVEEDOR "/>
    <tableColumn id="8" xr3:uid="{00000000-0010-0000-0100-000008000000}" name="STATUS UNIDAD"/>
    <tableColumn id="9" xr3:uid="{00000000-0010-0000-0100-000009000000}" name="UBICACIÓN"/>
    <tableColumn id="10" xr3:uid="{00000000-0010-0000-0100-00000A000000}" name="FINANCIAMIENTO CON"/>
    <tableColumn id="11" xr3:uid="{00000000-0010-0000-0100-00000B000000}" name="FECHA DE FINANCIAMIENTO" dataDxfId="883"/>
    <tableColumn id="12" xr3:uid="{00000000-0010-0000-0100-00000C000000}" name="DIAS DE CREDITO" dataDxfId="882"/>
    <tableColumn id="13" xr3:uid="{00000000-0010-0000-0100-00000D000000}" name="DIAS TRASCURRIDOS "/>
    <tableColumn id="14" xr3:uid="{00000000-0010-0000-0100-00000E000000}" name="TASA"/>
    <tableColumn id="15" xr3:uid="{00000000-0010-0000-0100-00000F000000}" name="INTERESES"/>
    <tableColumn id="16" xr3:uid="{00000000-0010-0000-0100-000010000000}" name="IMPORTE A PAGAR" dataCellStyle="Millares"/>
    <tableColumn id="17" xr3:uid="{00000000-0010-0000-0100-000011000000}" name="REPORTE DE INVENTARIO"/>
    <tableColumn id="18" xr3:uid="{00000000-0010-0000-0100-000012000000}" name="FECHA DE PAGO A FINAN"/>
    <tableColumn id="19" xr3:uid="{00000000-0010-0000-0100-000013000000}" name="Serie Factura"/>
    <tableColumn id="20" xr3:uid="{00000000-0010-0000-0100-000014000000}" name="CLIENTE"/>
    <tableColumn id="21" xr3:uid="{00000000-0010-0000-0100-000015000000}" name="TIPO DE VENTA"/>
    <tableColumn id="22" xr3:uid="{00000000-0010-0000-0100-000016000000}" name="FECHA DE VENTA"/>
    <tableColumn id="23" xr3:uid="{00000000-0010-0000-0100-000017000000}" name="DIAS DE CREDITO CON PRORROGA"/>
    <tableColumn id="24" xr3:uid="{00000000-0010-0000-0100-000018000000}" name="FECHA VENCIMIENTO"/>
    <tableColumn id="25" xr3:uid="{00000000-0010-0000-0100-000019000000}" name="VALOR DE VENTA"/>
    <tableColumn id="26" xr3:uid="{00000000-0010-0000-0100-00001A000000}" name="PAGO DEL CLIENTE"/>
    <tableColumn id="27" xr3:uid="{00000000-0010-0000-0100-00001B000000}" name="SALDO ACTUAL"/>
    <tableColumn id="28" xr3:uid="{00000000-0010-0000-0100-00001C000000}" name="STATUS DE PAGO"/>
    <tableColumn id="29" xr3:uid="{00000000-0010-0000-0100-00001D000000}" name="No. RECIBO"/>
    <tableColumn id="30" xr3:uid="{00000000-0010-0000-0100-00001E000000}" name="FECHA DE RECIBO" dataDxfId="881"/>
    <tableColumn id="31" xr3:uid="{00000000-0010-0000-0100-00001F000000}" name="FECHA DE SALIDA "/>
    <tableColumn id="32" xr3:uid="{00000000-0010-0000-0100-000020000000}" name="VENDEDOR "/>
    <tableColumn id="33" xr3:uid="{00000000-0010-0000-0100-000021000000}" name="PRIORIDAD DE PAG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P2" sqref="P2:P6"/>
    </sheetView>
  </sheetViews>
  <sheetFormatPr baseColWidth="10" defaultRowHeight="12.75"/>
  <cols>
    <col min="1" max="1" width="12.42578125" customWidth="1"/>
    <col min="5" max="6" width="16" style="623" customWidth="1"/>
    <col min="7" max="7" width="28" hidden="1" customWidth="1"/>
    <col min="8" max="8" width="18.140625" hidden="1" customWidth="1"/>
    <col min="9" max="9" width="13.42578125" hidden="1" customWidth="1"/>
    <col min="10" max="10" width="23.5703125" customWidth="1"/>
    <col min="11" max="11" width="28.7109375" hidden="1" customWidth="1"/>
    <col min="12" max="12" width="19.28515625" hidden="1" customWidth="1"/>
    <col min="13" max="13" width="23.42578125" hidden="1" customWidth="1"/>
    <col min="14" max="14" width="0" hidden="1" customWidth="1"/>
    <col min="15" max="15" width="13.42578125" customWidth="1"/>
    <col min="16" max="16" width="16.5703125" style="623" customWidth="1"/>
    <col min="17" max="17" width="26.7109375" hidden="1" customWidth="1"/>
    <col min="18" max="18" width="26.28515625" hidden="1" customWidth="1"/>
    <col min="19" max="19" width="15.42578125" hidden="1" customWidth="1"/>
    <col min="20" max="20" width="0" hidden="1" customWidth="1"/>
    <col min="21" max="21" width="17.28515625" hidden="1" customWidth="1"/>
    <col min="22" max="22" width="19" hidden="1" customWidth="1"/>
    <col min="23" max="23" width="35.140625" hidden="1" customWidth="1"/>
    <col min="24" max="24" width="22.5703125" hidden="1" customWidth="1"/>
    <col min="25" max="25" width="19.28515625" hidden="1" customWidth="1"/>
    <col min="26" max="26" width="21" hidden="1" customWidth="1"/>
    <col min="27" max="27" width="17.5703125" hidden="1" customWidth="1"/>
    <col min="28" max="28" width="19.5703125" hidden="1" customWidth="1"/>
    <col min="29" max="29" width="13.7109375" hidden="1" customWidth="1"/>
    <col min="30" max="30" width="19.85546875" hidden="1" customWidth="1"/>
    <col min="31" max="31" width="20.28515625" hidden="1" customWidth="1"/>
    <col min="32" max="32" width="13.85546875" hidden="1" customWidth="1"/>
    <col min="33" max="33" width="22.42578125" hidden="1" customWidth="1"/>
  </cols>
  <sheetData>
    <row r="1" spans="1:33" s="612" customFormat="1" ht="25.5">
      <c r="A1" s="612" t="s">
        <v>2</v>
      </c>
      <c r="B1" s="612" t="s">
        <v>3</v>
      </c>
      <c r="C1" s="612" t="s">
        <v>4</v>
      </c>
      <c r="D1" s="612" t="s">
        <v>51</v>
      </c>
      <c r="E1" s="622" t="s">
        <v>5</v>
      </c>
      <c r="F1" s="622" t="s">
        <v>43</v>
      </c>
      <c r="G1" s="612" t="s">
        <v>6</v>
      </c>
      <c r="H1" s="612" t="s">
        <v>7</v>
      </c>
      <c r="I1" s="612" t="s">
        <v>8</v>
      </c>
      <c r="J1" s="612" t="s">
        <v>9</v>
      </c>
      <c r="K1" s="612" t="s">
        <v>10</v>
      </c>
      <c r="L1" s="612" t="s">
        <v>11</v>
      </c>
      <c r="M1" s="612" t="s">
        <v>12</v>
      </c>
      <c r="N1" s="612" t="s">
        <v>13</v>
      </c>
      <c r="O1" s="612" t="s">
        <v>14</v>
      </c>
      <c r="P1" s="622" t="s">
        <v>15</v>
      </c>
      <c r="Q1" s="612" t="s">
        <v>239</v>
      </c>
      <c r="R1" s="612" t="s">
        <v>86</v>
      </c>
      <c r="S1" s="612" t="s">
        <v>50</v>
      </c>
      <c r="T1" s="612" t="s">
        <v>18</v>
      </c>
      <c r="U1" s="612" t="s">
        <v>19</v>
      </c>
      <c r="V1" s="612" t="s">
        <v>20</v>
      </c>
      <c r="W1" s="612" t="s">
        <v>21</v>
      </c>
      <c r="X1" s="612" t="s">
        <v>22</v>
      </c>
      <c r="Y1" s="612" t="s">
        <v>23</v>
      </c>
      <c r="Z1" s="612" t="s">
        <v>24</v>
      </c>
      <c r="AA1" s="612" t="s">
        <v>25</v>
      </c>
      <c r="AB1" s="612" t="s">
        <v>46</v>
      </c>
      <c r="AC1" s="612" t="s">
        <v>26</v>
      </c>
      <c r="AD1" s="612" t="s">
        <v>27</v>
      </c>
      <c r="AE1" s="612" t="s">
        <v>28</v>
      </c>
      <c r="AF1" s="612" t="s">
        <v>42</v>
      </c>
      <c r="AG1" s="612" t="s">
        <v>47</v>
      </c>
    </row>
    <row r="2" spans="1:33">
      <c r="A2" t="s">
        <v>1169</v>
      </c>
      <c r="B2" t="s">
        <v>1176</v>
      </c>
      <c r="C2" t="s">
        <v>1192</v>
      </c>
      <c r="D2" t="s">
        <v>1482</v>
      </c>
      <c r="E2" s="623">
        <v>1067218.17</v>
      </c>
      <c r="F2" s="623">
        <v>1067218.17</v>
      </c>
      <c r="G2" t="s">
        <v>158</v>
      </c>
      <c r="H2" t="s">
        <v>33</v>
      </c>
      <c r="I2" t="s">
        <v>80</v>
      </c>
      <c r="J2" t="s">
        <v>160</v>
      </c>
      <c r="K2" t="s">
        <v>1169</v>
      </c>
      <c r="L2" s="621">
        <v>43757</v>
      </c>
      <c r="M2">
        <v>-15</v>
      </c>
      <c r="N2">
        <v>8</v>
      </c>
      <c r="P2" s="623">
        <v>1067218.17</v>
      </c>
      <c r="S2" t="s">
        <v>1468</v>
      </c>
      <c r="T2" t="s">
        <v>1469</v>
      </c>
      <c r="U2" t="s">
        <v>31</v>
      </c>
      <c r="V2" s="621">
        <v>43741</v>
      </c>
      <c r="Y2">
        <v>1184900</v>
      </c>
      <c r="Z2">
        <v>1184900</v>
      </c>
      <c r="AA2">
        <v>0</v>
      </c>
      <c r="AB2" t="s">
        <v>197</v>
      </c>
      <c r="AC2" t="s">
        <v>1473</v>
      </c>
      <c r="AD2" s="621">
        <v>43741</v>
      </c>
      <c r="AF2" t="s">
        <v>180</v>
      </c>
      <c r="AG2" t="s">
        <v>82</v>
      </c>
    </row>
    <row r="3" spans="1:33">
      <c r="A3" t="s">
        <v>1144</v>
      </c>
      <c r="B3" t="s">
        <v>1145</v>
      </c>
      <c r="C3" t="s">
        <v>1147</v>
      </c>
      <c r="D3" t="s">
        <v>1483</v>
      </c>
      <c r="E3" s="623">
        <v>853850.02</v>
      </c>
      <c r="F3" s="623">
        <v>853850.02</v>
      </c>
      <c r="G3" t="s">
        <v>158</v>
      </c>
      <c r="H3" t="s">
        <v>33</v>
      </c>
      <c r="I3" t="s">
        <v>69</v>
      </c>
      <c r="J3" t="s">
        <v>160</v>
      </c>
      <c r="K3" t="s">
        <v>1144</v>
      </c>
      <c r="L3" s="621">
        <v>43755</v>
      </c>
      <c r="M3">
        <v>-13</v>
      </c>
      <c r="N3">
        <v>10</v>
      </c>
      <c r="P3" s="623">
        <v>853850.02</v>
      </c>
      <c r="S3" t="s">
        <v>1466</v>
      </c>
      <c r="T3" t="s">
        <v>1467</v>
      </c>
      <c r="U3" t="s">
        <v>40</v>
      </c>
      <c r="V3" s="621">
        <v>43741</v>
      </c>
      <c r="Y3">
        <v>947900</v>
      </c>
      <c r="Z3">
        <v>947900</v>
      </c>
      <c r="AA3">
        <v>0</v>
      </c>
      <c r="AB3" t="s">
        <v>197</v>
      </c>
      <c r="AC3" t="s">
        <v>1472</v>
      </c>
      <c r="AD3" s="621">
        <v>43741</v>
      </c>
      <c r="AF3" t="s">
        <v>188</v>
      </c>
      <c r="AG3" t="s">
        <v>82</v>
      </c>
    </row>
    <row r="4" spans="1:33">
      <c r="A4" t="s">
        <v>920</v>
      </c>
      <c r="B4" t="s">
        <v>71</v>
      </c>
      <c r="C4" t="s">
        <v>922</v>
      </c>
      <c r="D4" t="s">
        <v>1484</v>
      </c>
      <c r="E4" s="623">
        <v>195996.94</v>
      </c>
      <c r="F4" s="623">
        <v>195996.94</v>
      </c>
      <c r="G4" t="s">
        <v>158</v>
      </c>
      <c r="H4" t="s">
        <v>33</v>
      </c>
      <c r="I4" t="s">
        <v>44</v>
      </c>
      <c r="J4" t="s">
        <v>160</v>
      </c>
      <c r="K4" t="s">
        <v>920</v>
      </c>
      <c r="L4" s="621">
        <v>43729</v>
      </c>
      <c r="M4">
        <v>13</v>
      </c>
      <c r="N4">
        <v>36</v>
      </c>
      <c r="P4" s="623">
        <v>195996.94</v>
      </c>
      <c r="S4" t="s">
        <v>989</v>
      </c>
      <c r="T4" t="s">
        <v>990</v>
      </c>
      <c r="U4" t="s">
        <v>40</v>
      </c>
      <c r="V4" s="621">
        <v>43711</v>
      </c>
      <c r="Y4">
        <v>197900</v>
      </c>
      <c r="Z4">
        <v>197900</v>
      </c>
      <c r="AA4">
        <v>0</v>
      </c>
      <c r="AB4" t="s">
        <v>197</v>
      </c>
      <c r="AC4" t="s">
        <v>1470</v>
      </c>
      <c r="AD4" t="s">
        <v>1471</v>
      </c>
      <c r="AF4" t="s">
        <v>193</v>
      </c>
      <c r="AG4" t="s">
        <v>82</v>
      </c>
    </row>
    <row r="5" spans="1:33">
      <c r="A5" t="s">
        <v>801</v>
      </c>
      <c r="B5" t="s">
        <v>825</v>
      </c>
      <c r="C5" t="s">
        <v>826</v>
      </c>
      <c r="D5" t="s">
        <v>1485</v>
      </c>
      <c r="E5" s="623">
        <v>86640</v>
      </c>
      <c r="F5" s="623">
        <v>86640</v>
      </c>
      <c r="G5" t="s">
        <v>158</v>
      </c>
      <c r="H5" t="s">
        <v>33</v>
      </c>
      <c r="I5" t="s">
        <v>32</v>
      </c>
      <c r="J5" t="s">
        <v>170</v>
      </c>
      <c r="K5" s="621">
        <v>43706</v>
      </c>
      <c r="L5" s="621">
        <v>43729</v>
      </c>
      <c r="M5">
        <v>13</v>
      </c>
      <c r="N5">
        <v>36</v>
      </c>
      <c r="P5" s="623">
        <v>86640</v>
      </c>
      <c r="S5" t="s">
        <v>1332</v>
      </c>
      <c r="T5" t="s">
        <v>1333</v>
      </c>
      <c r="U5" t="s">
        <v>31</v>
      </c>
      <c r="V5" s="621">
        <v>43738</v>
      </c>
      <c r="Y5">
        <v>134000</v>
      </c>
      <c r="Z5">
        <v>134000</v>
      </c>
      <c r="AA5">
        <v>0</v>
      </c>
      <c r="AB5" t="s">
        <v>197</v>
      </c>
      <c r="AC5" t="s">
        <v>1477</v>
      </c>
      <c r="AD5" t="s">
        <v>1478</v>
      </c>
      <c r="AF5" t="s">
        <v>174</v>
      </c>
      <c r="AG5" t="s">
        <v>82</v>
      </c>
    </row>
    <row r="6" spans="1:33">
      <c r="A6" t="s">
        <v>654</v>
      </c>
      <c r="B6" t="s">
        <v>655</v>
      </c>
      <c r="C6" t="s">
        <v>656</v>
      </c>
      <c r="D6" t="s">
        <v>1486</v>
      </c>
      <c r="E6" s="623">
        <v>176720</v>
      </c>
      <c r="F6" s="623">
        <v>176720</v>
      </c>
      <c r="G6" t="s">
        <v>158</v>
      </c>
      <c r="H6" t="s">
        <v>33</v>
      </c>
      <c r="I6" t="s">
        <v>80</v>
      </c>
      <c r="J6" t="s">
        <v>170</v>
      </c>
      <c r="K6" s="621">
        <v>43706</v>
      </c>
      <c r="L6" s="621">
        <v>43729</v>
      </c>
      <c r="M6">
        <v>13</v>
      </c>
      <c r="N6">
        <v>36</v>
      </c>
      <c r="P6" s="623">
        <v>176720</v>
      </c>
      <c r="S6" t="s">
        <v>1170</v>
      </c>
      <c r="T6" t="s">
        <v>1171</v>
      </c>
      <c r="U6" t="s">
        <v>40</v>
      </c>
      <c r="V6" t="s">
        <v>1169</v>
      </c>
      <c r="Y6">
        <v>245000</v>
      </c>
      <c r="Z6">
        <v>245000</v>
      </c>
      <c r="AA6">
        <v>0</v>
      </c>
      <c r="AB6" t="s">
        <v>197</v>
      </c>
      <c r="AC6" t="s">
        <v>1475</v>
      </c>
      <c r="AD6" t="s">
        <v>1476</v>
      </c>
      <c r="AF6" t="s">
        <v>1136</v>
      </c>
      <c r="AG6" t="s">
        <v>82</v>
      </c>
    </row>
    <row r="7" spans="1:33">
      <c r="A7" s="624"/>
      <c r="B7" s="624"/>
      <c r="C7" s="624"/>
      <c r="D7" s="624"/>
      <c r="E7" s="625"/>
      <c r="F7" s="625"/>
      <c r="G7" s="624"/>
      <c r="H7" s="624"/>
      <c r="I7" s="624"/>
      <c r="J7" s="624"/>
      <c r="K7" s="624"/>
      <c r="L7" s="624"/>
      <c r="M7" s="624"/>
      <c r="N7" s="624"/>
      <c r="O7" s="624"/>
      <c r="P7" s="625">
        <f>SUM(P2:P6)</f>
        <v>2380425.13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>
    <tabColor rgb="FFFFFF99"/>
  </sheetPr>
  <dimension ref="A1:AM3"/>
  <sheetViews>
    <sheetView workbookViewId="0">
      <pane ySplit="1" topLeftCell="A2" activePane="bottomLeft" state="frozen"/>
      <selection pane="bottomLeft" activeCell="H26" sqref="H26"/>
    </sheetView>
  </sheetViews>
  <sheetFormatPr baseColWidth="10" defaultRowHeight="12.75"/>
  <cols>
    <col min="1" max="1" width="11.5703125" bestFit="1" customWidth="1"/>
    <col min="5" max="6" width="12.140625" bestFit="1" customWidth="1"/>
    <col min="9" max="9" width="11" style="281" customWidth="1"/>
    <col min="11" max="11" width="11.5703125" bestFit="1" customWidth="1"/>
    <col min="16" max="16" width="12" bestFit="1" customWidth="1"/>
    <col min="17" max="18" width="11.5703125" bestFit="1" customWidth="1"/>
    <col min="19" max="19" width="15.7109375" customWidth="1"/>
    <col min="22" max="22" width="11.5703125" bestFit="1" customWidth="1"/>
    <col min="25" max="26" width="11.5703125" bestFit="1" customWidth="1"/>
    <col min="27" max="27" width="12.28515625" customWidth="1"/>
    <col min="28" max="28" width="11.5703125" bestFit="1" customWidth="1"/>
    <col min="30" max="31" width="11.5703125" bestFit="1" customWidth="1"/>
    <col min="36" max="36" width="11.5703125" bestFit="1" customWidth="1"/>
    <col min="38" max="38" width="11.5703125" bestFit="1" customWidth="1"/>
  </cols>
  <sheetData>
    <row r="1" spans="1:39" s="15" customFormat="1" ht="35.25" customHeight="1">
      <c r="A1" s="19" t="s">
        <v>2</v>
      </c>
      <c r="B1" s="20" t="s">
        <v>3</v>
      </c>
      <c r="C1" s="20" t="s">
        <v>4</v>
      </c>
      <c r="D1" s="20" t="s">
        <v>51</v>
      </c>
      <c r="E1" s="167" t="s">
        <v>5</v>
      </c>
      <c r="F1" s="167" t="s">
        <v>43</v>
      </c>
      <c r="G1" s="20" t="s">
        <v>6</v>
      </c>
      <c r="H1" s="20" t="s">
        <v>7</v>
      </c>
      <c r="I1" s="281" t="s">
        <v>8</v>
      </c>
      <c r="J1" s="21" t="s">
        <v>9</v>
      </c>
      <c r="K1" s="22" t="s">
        <v>10</v>
      </c>
      <c r="L1" s="23" t="s">
        <v>11</v>
      </c>
      <c r="M1" s="21" t="s">
        <v>12</v>
      </c>
      <c r="N1" s="24" t="s">
        <v>13</v>
      </c>
      <c r="O1" s="25" t="s">
        <v>14</v>
      </c>
      <c r="P1" s="25" t="s">
        <v>15</v>
      </c>
      <c r="Q1" s="19" t="s">
        <v>239</v>
      </c>
      <c r="R1" s="27" t="s">
        <v>86</v>
      </c>
      <c r="S1" s="27" t="s">
        <v>50</v>
      </c>
      <c r="T1" s="26" t="s">
        <v>18</v>
      </c>
      <c r="U1" s="26" t="s">
        <v>19</v>
      </c>
      <c r="V1" s="29" t="s">
        <v>20</v>
      </c>
      <c r="W1" s="30" t="s">
        <v>21</v>
      </c>
      <c r="X1" s="29" t="s">
        <v>22</v>
      </c>
      <c r="Y1" s="168" t="s">
        <v>23</v>
      </c>
      <c r="Z1" s="212" t="s">
        <v>24</v>
      </c>
      <c r="AA1" s="169" t="s">
        <v>25</v>
      </c>
      <c r="AB1" s="169" t="s">
        <v>46</v>
      </c>
      <c r="AC1" s="30" t="s">
        <v>26</v>
      </c>
      <c r="AD1" s="29" t="s">
        <v>27</v>
      </c>
      <c r="AE1" s="26" t="s">
        <v>28</v>
      </c>
      <c r="AF1" s="26" t="s">
        <v>42</v>
      </c>
      <c r="AG1" s="26" t="s">
        <v>47</v>
      </c>
      <c r="AH1" s="26" t="s">
        <v>29</v>
      </c>
      <c r="AI1" s="169" t="s">
        <v>87</v>
      </c>
      <c r="AJ1" s="26" t="s">
        <v>30</v>
      </c>
      <c r="AL1" s="252" t="s">
        <v>243</v>
      </c>
    </row>
    <row r="2" spans="1:39" s="300" customFormat="1" ht="12" customHeight="1">
      <c r="A2" s="301">
        <v>43515</v>
      </c>
      <c r="B2" s="278" t="s">
        <v>71</v>
      </c>
      <c r="C2" s="278" t="s">
        <v>354</v>
      </c>
      <c r="D2" s="260" t="s">
        <v>394</v>
      </c>
      <c r="E2" s="336">
        <v>193264.98</v>
      </c>
      <c r="F2" s="336">
        <v>193264.98</v>
      </c>
      <c r="G2" s="280" t="s">
        <v>158</v>
      </c>
      <c r="H2" s="278" t="s">
        <v>101</v>
      </c>
      <c r="I2" s="281"/>
      <c r="J2" s="278" t="s">
        <v>100</v>
      </c>
      <c r="K2" s="282"/>
      <c r="L2" s="278"/>
      <c r="M2" s="278"/>
      <c r="N2" s="301"/>
      <c r="O2" s="382"/>
      <c r="P2" s="286">
        <f>+F2</f>
        <v>193264.98</v>
      </c>
      <c r="Q2" s="287"/>
      <c r="R2" s="288"/>
      <c r="S2" s="287" t="s">
        <v>837</v>
      </c>
      <c r="T2" s="287" t="s">
        <v>838</v>
      </c>
      <c r="U2" s="294" t="s">
        <v>839</v>
      </c>
      <c r="V2" s="502">
        <v>43689</v>
      </c>
      <c r="W2" s="290"/>
      <c r="X2" s="290"/>
      <c r="Y2" s="326">
        <v>179009</v>
      </c>
      <c r="Z2" s="292"/>
      <c r="AA2" s="293">
        <f>+Y2-Z2</f>
        <v>179009</v>
      </c>
      <c r="AB2" s="294"/>
      <c r="AC2" s="294"/>
      <c r="AD2" s="295"/>
      <c r="AE2" s="296"/>
      <c r="AF2" s="287" t="s">
        <v>230</v>
      </c>
      <c r="AG2" s="343" t="s">
        <v>251</v>
      </c>
      <c r="AH2" s="478"/>
      <c r="AI2" s="278" t="s">
        <v>643</v>
      </c>
      <c r="AJ2" s="330"/>
      <c r="AK2" s="331"/>
      <c r="AL2" s="299" t="e">
        <f>$A$1-A2</f>
        <v>#VALUE!</v>
      </c>
      <c r="AM2" s="278"/>
    </row>
    <row r="3" spans="1:39" s="270" customFormat="1" ht="12.75" customHeight="1">
      <c r="A3" s="301">
        <v>43250</v>
      </c>
      <c r="B3" s="305" t="s">
        <v>234</v>
      </c>
      <c r="C3" s="305" t="s">
        <v>240</v>
      </c>
      <c r="D3" s="260" t="s">
        <v>246</v>
      </c>
      <c r="E3" s="380">
        <v>448395.68</v>
      </c>
      <c r="F3" s="380">
        <v>448395.68</v>
      </c>
      <c r="G3" s="280" t="s">
        <v>158</v>
      </c>
      <c r="H3" s="278" t="s">
        <v>101</v>
      </c>
      <c r="I3" s="281" t="s">
        <v>80</v>
      </c>
      <c r="J3" s="311" t="s">
        <v>100</v>
      </c>
      <c r="K3" s="282"/>
      <c r="L3" s="284"/>
      <c r="M3" s="284"/>
      <c r="N3" s="301"/>
      <c r="O3" s="282"/>
      <c r="P3" s="286">
        <f>O3+F3</f>
        <v>448395.68</v>
      </c>
      <c r="Q3" s="287"/>
      <c r="R3" s="332"/>
      <c r="S3" s="287" t="s">
        <v>974</v>
      </c>
      <c r="T3" s="287" t="s">
        <v>975</v>
      </c>
      <c r="U3" s="294" t="s">
        <v>37</v>
      </c>
      <c r="V3" s="502">
        <v>43708</v>
      </c>
      <c r="W3" s="290"/>
      <c r="X3" s="290"/>
      <c r="Y3" s="326">
        <v>427500</v>
      </c>
      <c r="Z3" s="292"/>
      <c r="AA3" s="293">
        <f>+Y3-Z3</f>
        <v>427500</v>
      </c>
      <c r="AB3" s="294"/>
      <c r="AC3" s="294"/>
      <c r="AD3" s="295"/>
      <c r="AE3" s="296"/>
      <c r="AF3" s="287" t="s">
        <v>242</v>
      </c>
      <c r="AG3" s="343" t="s">
        <v>252</v>
      </c>
      <c r="AH3" s="478"/>
      <c r="AI3" s="294" t="s">
        <v>413</v>
      </c>
      <c r="AJ3" s="278"/>
      <c r="AK3" s="328"/>
    </row>
  </sheetData>
  <conditionalFormatting sqref="H1">
    <cfRule type="containsText" dxfId="8" priority="1770" operator="containsText" text="RECALENDARIZADA">
      <formula>NOT(ISERROR(SEARCH("RECALENDARIZADA",H1)))</formula>
    </cfRule>
  </conditionalFormatting>
  <conditionalFormatting sqref="C1">
    <cfRule type="duplicateValues" dxfId="7" priority="1769"/>
  </conditionalFormatting>
  <conditionalFormatting sqref="C1">
    <cfRule type="duplicateValues" dxfId="6" priority="1768"/>
  </conditionalFormatting>
  <conditionalFormatting sqref="D1">
    <cfRule type="duplicateValues" dxfId="5" priority="1767"/>
  </conditionalFormatting>
  <conditionalFormatting sqref="D1">
    <cfRule type="duplicateValues" dxfId="4" priority="1766"/>
  </conditionalFormatting>
  <conditionalFormatting sqref="D2">
    <cfRule type="duplicateValues" dxfId="3" priority="73"/>
  </conditionalFormatting>
  <conditionalFormatting sqref="D3">
    <cfRule type="duplicateValues" dxfId="2" priority="11"/>
  </conditionalFormatting>
  <conditionalFormatting sqref="I3">
    <cfRule type="containsText" dxfId="1" priority="9" operator="containsText" text="ENTREGADA">
      <formula>NOT(ISERROR(SEARCH("ENTREGADA",I3)))</formula>
    </cfRule>
    <cfRule type="containsText" dxfId="0" priority="10" operator="containsText" text="ENTREGADA">
      <formula>NOT(ISERROR(SEARCH("ENTREGADA",I3)))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B1:T224"/>
  <sheetViews>
    <sheetView workbookViewId="0">
      <selection activeCell="G15" sqref="G15"/>
    </sheetView>
  </sheetViews>
  <sheetFormatPr baseColWidth="10" defaultRowHeight="12.75"/>
  <cols>
    <col min="1" max="1" width="11.42578125" style="214"/>
    <col min="2" max="2" width="17.42578125" style="214" customWidth="1"/>
    <col min="3" max="3" width="16.85546875" style="214" bestFit="1" customWidth="1"/>
    <col min="4" max="4" width="14.85546875" style="214" bestFit="1" customWidth="1"/>
    <col min="5" max="5" width="13.140625" style="214" bestFit="1" customWidth="1"/>
    <col min="6" max="6" width="11.42578125" style="214"/>
    <col min="7" max="7" width="14.85546875" style="214" bestFit="1" customWidth="1"/>
    <col min="8" max="8" width="14.85546875" style="248" bestFit="1" customWidth="1"/>
    <col min="9" max="9" width="15.140625" style="214" bestFit="1" customWidth="1"/>
    <col min="10" max="10" width="14.85546875" style="214" bestFit="1" customWidth="1"/>
    <col min="11" max="11" width="12.28515625" style="214" bestFit="1" customWidth="1"/>
    <col min="12" max="12" width="13.85546875" style="214" bestFit="1" customWidth="1"/>
    <col min="13" max="16384" width="11.42578125" style="214"/>
  </cols>
  <sheetData>
    <row r="1" spans="2:10" ht="13.5" thickTop="1">
      <c r="B1" s="652" t="s">
        <v>90</v>
      </c>
      <c r="C1" s="653"/>
      <c r="D1" s="653"/>
      <c r="E1" s="654"/>
      <c r="F1" s="213"/>
    </row>
    <row r="2" spans="2:10" ht="13.5" thickBot="1">
      <c r="B2" s="655"/>
      <c r="C2" s="656"/>
      <c r="D2" s="656"/>
      <c r="E2" s="657"/>
      <c r="F2" s="213"/>
      <c r="I2" s="248"/>
    </row>
    <row r="3" spans="2:10" ht="14.25" thickTop="1" thickBot="1">
      <c r="B3" s="215" t="s">
        <v>91</v>
      </c>
      <c r="C3" s="658" t="s">
        <v>97</v>
      </c>
      <c r="D3" s="659"/>
      <c r="E3" s="660"/>
      <c r="F3" s="213"/>
      <c r="I3" s="248"/>
    </row>
    <row r="4" spans="2:10" ht="13.5" thickBot="1">
      <c r="B4" s="216" t="s">
        <v>92</v>
      </c>
      <c r="C4" s="661">
        <v>2910926031</v>
      </c>
      <c r="D4" s="662"/>
      <c r="E4" s="663"/>
      <c r="F4" s="213"/>
      <c r="I4" s="248"/>
    </row>
    <row r="5" spans="2:10" ht="14.25" thickTop="1" thickBot="1">
      <c r="B5" s="217" t="s">
        <v>93</v>
      </c>
      <c r="C5" s="217" t="s">
        <v>94</v>
      </c>
      <c r="D5" s="217" t="s">
        <v>15</v>
      </c>
      <c r="E5" s="218" t="s">
        <v>95</v>
      </c>
      <c r="F5" s="213"/>
      <c r="I5" s="248"/>
      <c r="J5" s="219"/>
    </row>
    <row r="6" spans="2:10" ht="14.25" thickTop="1" thickBot="1">
      <c r="B6" s="470"/>
      <c r="C6" s="220" t="s">
        <v>1438</v>
      </c>
      <c r="D6" s="249">
        <v>736159.88791479997</v>
      </c>
      <c r="E6" s="251"/>
      <c r="F6" s="213"/>
      <c r="G6" s="248"/>
      <c r="I6" s="248"/>
      <c r="J6" s="219"/>
    </row>
    <row r="7" spans="2:10" ht="13.5" thickBot="1">
      <c r="B7" s="471"/>
      <c r="C7" s="220" t="s">
        <v>1439</v>
      </c>
      <c r="D7" s="249">
        <v>164570.48897846666</v>
      </c>
      <c r="E7" s="220"/>
      <c r="F7" s="213"/>
      <c r="G7" s="248"/>
      <c r="I7" s="248"/>
      <c r="J7" s="219"/>
    </row>
    <row r="8" spans="2:10" ht="13.5" thickBot="1">
      <c r="B8" s="471"/>
      <c r="C8" s="220" t="s">
        <v>1440</v>
      </c>
      <c r="D8" s="249">
        <v>225635.8716871111</v>
      </c>
      <c r="E8" s="220"/>
      <c r="F8" s="213"/>
      <c r="G8" s="248"/>
      <c r="I8" s="248"/>
      <c r="J8" s="219"/>
    </row>
    <row r="9" spans="2:10" ht="13.5" thickBot="1">
      <c r="B9" s="471"/>
      <c r="C9" s="220" t="s">
        <v>1441</v>
      </c>
      <c r="D9" s="249">
        <v>270910.89234488888</v>
      </c>
      <c r="E9" s="220"/>
      <c r="F9" s="213"/>
      <c r="G9" s="248"/>
      <c r="I9" s="248"/>
      <c r="J9" s="219"/>
    </row>
    <row r="10" spans="2:10" ht="13.5" thickBot="1">
      <c r="B10" s="471"/>
      <c r="C10" s="220" t="s">
        <v>1442</v>
      </c>
      <c r="D10" s="249">
        <v>213740.1545066</v>
      </c>
      <c r="E10" s="220"/>
      <c r="F10" s="213"/>
      <c r="G10" s="248"/>
      <c r="I10" s="248"/>
      <c r="J10" s="219"/>
    </row>
    <row r="11" spans="2:10" ht="13.5" thickBot="1">
      <c r="B11" s="471"/>
      <c r="C11" s="220" t="s">
        <v>1443</v>
      </c>
      <c r="D11" s="249">
        <v>226211.4289708889</v>
      </c>
      <c r="E11" s="220"/>
      <c r="F11" s="213"/>
      <c r="G11" s="248"/>
      <c r="I11" s="248"/>
      <c r="J11" s="219"/>
    </row>
    <row r="12" spans="2:10" ht="13.5" thickBot="1">
      <c r="B12" s="471"/>
      <c r="C12" s="220" t="s">
        <v>1444</v>
      </c>
      <c r="D12" s="249">
        <v>225635.8716871111</v>
      </c>
      <c r="E12" s="220"/>
      <c r="F12" s="213"/>
      <c r="G12" s="248"/>
      <c r="I12" s="248"/>
      <c r="J12" s="219"/>
    </row>
    <row r="13" spans="2:10" ht="13.5" thickBot="1">
      <c r="B13" s="471"/>
      <c r="C13" s="220" t="s">
        <v>1445</v>
      </c>
      <c r="D13" s="249">
        <v>228202.06583055557</v>
      </c>
      <c r="E13" s="220"/>
      <c r="F13" s="213"/>
      <c r="G13" s="248"/>
      <c r="I13" s="248"/>
      <c r="J13" s="219"/>
    </row>
    <row r="14" spans="2:10" ht="13.5" thickBot="1">
      <c r="B14" s="471"/>
      <c r="C14" s="220" t="s">
        <v>1446</v>
      </c>
      <c r="D14" s="249">
        <v>297104.64302933333</v>
      </c>
      <c r="E14" s="220"/>
      <c r="F14" s="213"/>
      <c r="G14" s="248"/>
      <c r="I14" s="248"/>
      <c r="J14" s="219"/>
    </row>
    <row r="15" spans="2:10" ht="13.5" thickBot="1">
      <c r="B15" s="471"/>
      <c r="C15" s="220" t="s">
        <v>1447</v>
      </c>
      <c r="D15" s="249">
        <v>194670.40491022222</v>
      </c>
      <c r="E15" s="220"/>
      <c r="F15" s="213"/>
      <c r="G15" s="248"/>
      <c r="I15" s="248"/>
      <c r="J15" s="219"/>
    </row>
    <row r="16" spans="2:10" ht="13.5" thickBot="1">
      <c r="B16" s="471"/>
      <c r="C16" s="220" t="s">
        <v>1448</v>
      </c>
      <c r="D16" s="249">
        <v>194670.40491022222</v>
      </c>
      <c r="E16" s="220"/>
      <c r="F16" s="213"/>
      <c r="G16" s="248"/>
      <c r="I16" s="248"/>
      <c r="J16" s="219"/>
    </row>
    <row r="17" spans="2:10" ht="13.5" thickBot="1">
      <c r="B17" s="471"/>
      <c r="C17" s="220" t="s">
        <v>1449</v>
      </c>
      <c r="D17" s="249">
        <v>238603.90619022222</v>
      </c>
      <c r="E17" s="220"/>
      <c r="F17" s="213"/>
      <c r="G17" s="248"/>
      <c r="I17" s="248"/>
      <c r="J17" s="219"/>
    </row>
    <row r="18" spans="2:10" ht="13.5" thickBot="1">
      <c r="B18" s="471"/>
      <c r="C18" s="220" t="s">
        <v>1450</v>
      </c>
      <c r="D18" s="249">
        <v>226211.4289708889</v>
      </c>
      <c r="E18" s="220"/>
      <c r="F18" s="213"/>
      <c r="G18" s="248"/>
      <c r="I18" s="248"/>
      <c r="J18" s="219"/>
    </row>
    <row r="19" spans="2:10" ht="13.5" thickBot="1">
      <c r="B19" s="471"/>
      <c r="C19" s="220" t="s">
        <v>1451</v>
      </c>
      <c r="D19" s="249">
        <v>394811.62523440004</v>
      </c>
      <c r="E19" s="220"/>
      <c r="F19" s="213"/>
      <c r="G19" s="248"/>
      <c r="I19" s="248"/>
      <c r="J19" s="219"/>
    </row>
    <row r="20" spans="2:10" ht="13.5" thickBot="1">
      <c r="B20" s="471"/>
      <c r="C20" s="220" t="s">
        <v>1452</v>
      </c>
      <c r="D20" s="249">
        <v>164570.48897846666</v>
      </c>
      <c r="E20" s="220"/>
      <c r="F20" s="213"/>
      <c r="G20" s="248"/>
      <c r="I20" s="248"/>
      <c r="J20" s="219"/>
    </row>
    <row r="21" spans="2:10" ht="13.5" thickBot="1">
      <c r="B21" s="471"/>
      <c r="C21" s="220" t="s">
        <v>1453</v>
      </c>
      <c r="D21" s="249">
        <v>226051.0323128</v>
      </c>
      <c r="E21" s="220"/>
      <c r="F21" s="213"/>
      <c r="G21" s="248"/>
      <c r="I21" s="248"/>
      <c r="J21" s="219"/>
    </row>
    <row r="22" spans="2:10" ht="13.5" thickBot="1">
      <c r="B22" s="471"/>
      <c r="C22" s="220" t="s">
        <v>1454</v>
      </c>
      <c r="D22" s="249">
        <v>729746.93478108896</v>
      </c>
      <c r="E22" s="220"/>
      <c r="F22" s="213"/>
      <c r="G22" s="248"/>
      <c r="I22" s="248"/>
      <c r="J22" s="219"/>
    </row>
    <row r="23" spans="2:10" ht="13.5" thickBot="1">
      <c r="B23" s="471"/>
      <c r="C23" s="220" t="s">
        <v>1455</v>
      </c>
      <c r="D23" s="249">
        <v>213120.26182819999</v>
      </c>
      <c r="E23" s="220"/>
      <c r="F23" s="213"/>
      <c r="G23" s="248"/>
      <c r="I23" s="248"/>
      <c r="J23" s="219"/>
    </row>
    <row r="24" spans="2:10" ht="13.5" thickBot="1">
      <c r="B24" s="471"/>
      <c r="C24" s="220" t="s">
        <v>1456</v>
      </c>
      <c r="D24" s="249">
        <v>201813.31489020001</v>
      </c>
      <c r="E24" s="220"/>
      <c r="F24" s="213"/>
      <c r="G24" s="248"/>
      <c r="I24" s="248"/>
      <c r="J24" s="219"/>
    </row>
    <row r="25" spans="2:10" ht="13.5" thickBot="1">
      <c r="B25" s="471"/>
      <c r="C25" s="220" t="s">
        <v>1457</v>
      </c>
      <c r="D25" s="249">
        <v>287652.15099711111</v>
      </c>
      <c r="E25" s="220"/>
      <c r="F25" s="213"/>
      <c r="G25" s="248"/>
      <c r="I25" s="248"/>
      <c r="J25" s="219"/>
    </row>
    <row r="26" spans="2:10" ht="13.5" thickBot="1">
      <c r="B26" s="471"/>
      <c r="C26" s="220" t="s">
        <v>1458</v>
      </c>
      <c r="D26" s="249">
        <v>185403.71594759999</v>
      </c>
      <c r="E26" s="220"/>
      <c r="F26" s="213"/>
      <c r="G26" s="248"/>
      <c r="I26" s="248"/>
      <c r="J26" s="219"/>
    </row>
    <row r="27" spans="2:10" ht="13.5" thickBot="1">
      <c r="B27" s="471"/>
      <c r="C27" s="220" t="s">
        <v>1459</v>
      </c>
      <c r="D27" s="249">
        <v>199648.82576555558</v>
      </c>
      <c r="E27" s="220"/>
      <c r="F27" s="213"/>
      <c r="G27" s="248"/>
      <c r="I27" s="248"/>
      <c r="J27" s="219"/>
    </row>
    <row r="28" spans="2:10" ht="13.5" thickBot="1">
      <c r="B28" s="221"/>
      <c r="C28" s="222" t="s">
        <v>96</v>
      </c>
      <c r="D28" s="250">
        <f>SUM(D6:D27)</f>
        <v>6045145.8006667327</v>
      </c>
      <c r="E28" s="221"/>
      <c r="F28" s="213"/>
      <c r="G28" s="248"/>
      <c r="I28" s="248"/>
      <c r="J28" s="219"/>
    </row>
    <row r="29" spans="2:10" ht="13.5" thickTop="1">
      <c r="D29" s="223"/>
      <c r="F29" s="213"/>
      <c r="G29" s="248"/>
      <c r="I29" s="248"/>
      <c r="J29" s="219"/>
    </row>
    <row r="31" spans="2:10">
      <c r="D31" s="223"/>
      <c r="H31" s="214"/>
    </row>
    <row r="224" spans="8:20">
      <c r="H224" s="214"/>
      <c r="T224" s="224"/>
    </row>
  </sheetData>
  <mergeCells count="3">
    <mergeCell ref="B1:E2"/>
    <mergeCell ref="C3:E3"/>
    <mergeCell ref="C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workbookViewId="0">
      <selection activeCell="P2" sqref="P2"/>
    </sheetView>
  </sheetViews>
  <sheetFormatPr baseColWidth="10" defaultRowHeight="12.75"/>
  <cols>
    <col min="1" max="1" width="13.28515625" customWidth="1"/>
    <col min="5" max="6" width="14.140625" style="623" customWidth="1"/>
    <col min="7" max="7" width="28" hidden="1" customWidth="1"/>
    <col min="8" max="8" width="18.140625" hidden="1" customWidth="1"/>
    <col min="9" max="9" width="13.42578125" hidden="1" customWidth="1"/>
    <col min="10" max="10" width="16.28515625" customWidth="1"/>
    <col min="11" max="11" width="28.7109375" hidden="1" customWidth="1"/>
    <col min="12" max="12" width="19.28515625" hidden="1" customWidth="1"/>
    <col min="13" max="13" width="23.42578125" hidden="1" customWidth="1"/>
    <col min="14" max="14" width="0" hidden="1" customWidth="1"/>
    <col min="15" max="15" width="13.42578125" customWidth="1"/>
    <col min="16" max="16" width="16" customWidth="1"/>
    <col min="17" max="17" width="26.7109375" hidden="1" customWidth="1"/>
    <col min="18" max="18" width="26.28515625" hidden="1" customWidth="1"/>
    <col min="19" max="19" width="15.42578125" hidden="1" customWidth="1"/>
    <col min="20" max="20" width="0" hidden="1" customWidth="1"/>
    <col min="21" max="21" width="17.28515625" hidden="1" customWidth="1"/>
    <col min="22" max="22" width="19" hidden="1" customWidth="1"/>
    <col min="23" max="23" width="35.140625" hidden="1" customWidth="1"/>
    <col min="24" max="24" width="22.5703125" hidden="1" customWidth="1"/>
    <col min="25" max="25" width="19.28515625" hidden="1" customWidth="1"/>
    <col min="26" max="26" width="21" hidden="1" customWidth="1"/>
    <col min="27" max="27" width="17.5703125" hidden="1" customWidth="1"/>
    <col min="28" max="28" width="19.5703125" hidden="1" customWidth="1"/>
    <col min="29" max="29" width="13.7109375" hidden="1" customWidth="1"/>
    <col min="30" max="30" width="19.85546875" hidden="1" customWidth="1"/>
    <col min="31" max="31" width="20.28515625" hidden="1" customWidth="1"/>
    <col min="32" max="32" width="13.85546875" hidden="1" customWidth="1"/>
    <col min="33" max="33" width="22.42578125" hidden="1" customWidth="1"/>
  </cols>
  <sheetData>
    <row r="1" spans="1:33" s="612" customFormat="1" ht="25.5">
      <c r="A1" s="612" t="s">
        <v>2</v>
      </c>
      <c r="B1" s="612" t="s">
        <v>3</v>
      </c>
      <c r="C1" s="612" t="s">
        <v>4</v>
      </c>
      <c r="D1" s="612" t="s">
        <v>51</v>
      </c>
      <c r="E1" s="622" t="s">
        <v>5</v>
      </c>
      <c r="F1" s="622" t="s">
        <v>43</v>
      </c>
      <c r="G1" s="612" t="s">
        <v>6</v>
      </c>
      <c r="H1" s="612" t="s">
        <v>7</v>
      </c>
      <c r="I1" s="612" t="s">
        <v>8</v>
      </c>
      <c r="J1" s="612" t="s">
        <v>9</v>
      </c>
      <c r="K1" s="612" t="s">
        <v>10</v>
      </c>
      <c r="L1" s="612" t="s">
        <v>11</v>
      </c>
      <c r="M1" s="612" t="s">
        <v>12</v>
      </c>
      <c r="N1" s="612" t="s">
        <v>13</v>
      </c>
      <c r="O1" s="612" t="s">
        <v>14</v>
      </c>
      <c r="P1" s="612" t="s">
        <v>15</v>
      </c>
      <c r="Q1" s="612" t="s">
        <v>239</v>
      </c>
      <c r="R1" s="612" t="s">
        <v>86</v>
      </c>
      <c r="S1" s="612" t="s">
        <v>50</v>
      </c>
      <c r="T1" s="612" t="s">
        <v>18</v>
      </c>
      <c r="U1" s="612" t="s">
        <v>19</v>
      </c>
      <c r="V1" s="612" t="s">
        <v>20</v>
      </c>
      <c r="W1" s="612" t="s">
        <v>21</v>
      </c>
      <c r="X1" s="612" t="s">
        <v>22</v>
      </c>
      <c r="Y1" s="612" t="s">
        <v>23</v>
      </c>
      <c r="Z1" s="612" t="s">
        <v>24</v>
      </c>
      <c r="AA1" s="612" t="s">
        <v>25</v>
      </c>
      <c r="AB1" s="612" t="s">
        <v>46</v>
      </c>
      <c r="AC1" s="612" t="s">
        <v>26</v>
      </c>
      <c r="AD1" s="612" t="s">
        <v>27</v>
      </c>
      <c r="AE1" s="612" t="s">
        <v>28</v>
      </c>
      <c r="AF1" s="612" t="s">
        <v>42</v>
      </c>
      <c r="AG1" s="612" t="s">
        <v>47</v>
      </c>
    </row>
    <row r="2" spans="1:33">
      <c r="A2" s="621">
        <v>43507</v>
      </c>
      <c r="B2" t="s">
        <v>164</v>
      </c>
      <c r="C2" t="s">
        <v>351</v>
      </c>
      <c r="D2" t="s">
        <v>1487</v>
      </c>
      <c r="E2" s="623">
        <v>431135.44</v>
      </c>
      <c r="F2" s="623">
        <v>316135.44</v>
      </c>
      <c r="G2" t="s">
        <v>158</v>
      </c>
      <c r="H2" t="s">
        <v>1007</v>
      </c>
      <c r="I2" t="s">
        <v>231</v>
      </c>
      <c r="J2" t="s">
        <v>198</v>
      </c>
      <c r="K2" s="621">
        <v>43507</v>
      </c>
      <c r="L2" s="621">
        <v>43530</v>
      </c>
      <c r="M2">
        <v>212</v>
      </c>
      <c r="N2">
        <v>235</v>
      </c>
      <c r="O2">
        <v>240</v>
      </c>
      <c r="P2" s="623">
        <v>316135.44</v>
      </c>
      <c r="S2" t="s">
        <v>1465</v>
      </c>
      <c r="T2" t="s">
        <v>233</v>
      </c>
      <c r="U2" t="s">
        <v>34</v>
      </c>
      <c r="V2" t="s">
        <v>1463</v>
      </c>
      <c r="Y2">
        <v>436293.53</v>
      </c>
      <c r="Z2">
        <v>436293.53</v>
      </c>
      <c r="AA2">
        <v>0</v>
      </c>
      <c r="AB2" t="s">
        <v>197</v>
      </c>
      <c r="AC2" t="s">
        <v>1474</v>
      </c>
      <c r="AD2" s="621">
        <v>43741</v>
      </c>
      <c r="AF2" t="s">
        <v>261</v>
      </c>
      <c r="AG2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2060"/>
    <pageSetUpPr fitToPage="1"/>
  </sheetPr>
  <dimension ref="A1:Q95"/>
  <sheetViews>
    <sheetView topLeftCell="A34" zoomScaleNormal="100" workbookViewId="0">
      <selection activeCell="P51" sqref="P51"/>
    </sheetView>
  </sheetViews>
  <sheetFormatPr baseColWidth="10" defaultRowHeight="12.75"/>
  <cols>
    <col min="1" max="1" width="1.5703125" style="105" customWidth="1"/>
    <col min="2" max="2" width="24" style="152" customWidth="1"/>
    <col min="3" max="3" width="20.28515625" style="153" customWidth="1"/>
    <col min="4" max="4" width="28.140625" style="146" customWidth="1"/>
    <col min="5" max="5" width="8.42578125" style="146" customWidth="1"/>
    <col min="6" max="6" width="15.85546875" style="146" customWidth="1"/>
    <col min="7" max="7" width="12.28515625" style="146" customWidth="1"/>
    <col min="8" max="8" width="15.85546875" style="146" customWidth="1"/>
    <col min="9" max="9" width="2.85546875" style="107" customWidth="1"/>
    <col min="10" max="10" width="21.85546875" style="154" customWidth="1"/>
    <col min="11" max="11" width="10.7109375" style="154" customWidth="1"/>
    <col min="12" max="12" width="22.42578125" style="154" customWidth="1"/>
    <col min="13" max="13" width="1.7109375" style="107" customWidth="1"/>
    <col min="14" max="14" width="10" style="105" hidden="1" customWidth="1"/>
    <col min="15" max="15" width="19.7109375" style="105" hidden="1" customWidth="1"/>
    <col min="16" max="16" width="11.42578125" style="146"/>
    <col min="17" max="17" width="12.85546875" style="146" bestFit="1" customWidth="1"/>
    <col min="18" max="16384" width="11.42578125" style="146"/>
  </cols>
  <sheetData>
    <row r="1" spans="2:15" s="105" customFormat="1" ht="21.75" customHeight="1">
      <c r="B1" s="103"/>
      <c r="C1" s="104"/>
      <c r="G1" s="48" t="s">
        <v>108</v>
      </c>
      <c r="H1" s="106">
        <f ca="1">+TODAY()</f>
        <v>43745</v>
      </c>
      <c r="I1" s="107"/>
      <c r="J1" s="108"/>
      <c r="K1" s="107"/>
      <c r="L1" s="109"/>
      <c r="M1" s="107"/>
    </row>
    <row r="2" spans="2:15" s="105" customFormat="1" ht="19.5" customHeight="1">
      <c r="B2" s="103"/>
      <c r="C2" s="104"/>
      <c r="I2" s="107"/>
      <c r="M2" s="107"/>
    </row>
    <row r="3" spans="2:15" s="105" customFormat="1" ht="15">
      <c r="B3" s="103"/>
      <c r="C3" s="104"/>
      <c r="I3" s="107"/>
      <c r="J3" s="110"/>
      <c r="M3" s="107"/>
    </row>
    <row r="4" spans="2:15" s="105" customFormat="1" ht="13.5" customHeight="1">
      <c r="B4" s="103"/>
      <c r="C4" s="104"/>
      <c r="H4" s="111"/>
      <c r="I4" s="107"/>
      <c r="J4" s="110"/>
      <c r="K4" s="110"/>
      <c r="L4" s="110"/>
      <c r="M4" s="107"/>
    </row>
    <row r="5" spans="2:15" s="105" customFormat="1" ht="13.5" customHeight="1">
      <c r="B5" s="103"/>
      <c r="C5" s="104"/>
      <c r="H5" s="112"/>
      <c r="I5" s="113"/>
      <c r="J5" s="636" t="s">
        <v>109</v>
      </c>
      <c r="K5" s="636"/>
      <c r="L5" s="636"/>
      <c r="M5" s="114"/>
    </row>
    <row r="6" spans="2:15" s="105" customFormat="1" ht="13.5" customHeight="1" thickBot="1">
      <c r="B6" s="637" t="s">
        <v>118</v>
      </c>
      <c r="C6" s="637"/>
      <c r="D6" s="637"/>
      <c r="E6" s="637"/>
      <c r="F6" s="637"/>
      <c r="G6" s="637"/>
      <c r="H6" s="637"/>
      <c r="I6" s="115"/>
      <c r="J6" s="116"/>
      <c r="K6" s="636"/>
      <c r="L6" s="636"/>
      <c r="M6" s="636"/>
    </row>
    <row r="7" spans="2:15" ht="22.5">
      <c r="B7" s="78" t="s">
        <v>9</v>
      </c>
      <c r="C7" s="79" t="s">
        <v>47</v>
      </c>
      <c r="D7" s="78" t="s">
        <v>19</v>
      </c>
      <c r="E7" s="615" t="s">
        <v>107</v>
      </c>
      <c r="F7" s="616" t="s">
        <v>106</v>
      </c>
      <c r="G7" s="617" t="s">
        <v>104</v>
      </c>
      <c r="H7" s="617" t="s">
        <v>105</v>
      </c>
      <c r="I7" s="118"/>
      <c r="J7" s="638" t="s">
        <v>181</v>
      </c>
      <c r="K7" s="639"/>
      <c r="L7" s="640"/>
    </row>
    <row r="8" spans="2:15">
      <c r="B8" s="618" t="s">
        <v>160</v>
      </c>
      <c r="C8" s="626" t="s">
        <v>82</v>
      </c>
      <c r="D8" s="58" t="s">
        <v>31</v>
      </c>
      <c r="E8" s="85">
        <v>1</v>
      </c>
      <c r="F8" s="59">
        <v>1067218.17</v>
      </c>
      <c r="G8" s="59"/>
      <c r="H8" s="59">
        <v>1067218.17</v>
      </c>
      <c r="J8" s="119" t="s">
        <v>110</v>
      </c>
      <c r="K8" s="120">
        <f>+GETPIVOTDATA(" NO. UNIDADES",$B$7,"FINANCIAMIENTO CON","FCA CONTI")+GETPIVOTDATA(" NO. UNIDADES",$B$7,"FINANCIAMIENTO CON","FCA FIAT")</f>
        <v>129</v>
      </c>
      <c r="L8" s="50">
        <f>+GETPIVOTDATA("IMPORTE A PAGAR.",$B$7,"FINANCIAMIENTO CON","FCA CONTI")+GETPIVOTDATA("IMPORTE A PAGAR.",$B$7,"FINANCIAMIENTO CON","FCA FIAT")</f>
        <v>46323219.510000005</v>
      </c>
    </row>
    <row r="9" spans="2:15">
      <c r="B9" s="619"/>
      <c r="C9" s="57"/>
      <c r="D9" s="58" t="s">
        <v>40</v>
      </c>
      <c r="E9" s="85">
        <v>2</v>
      </c>
      <c r="F9" s="59">
        <v>1049846.96</v>
      </c>
      <c r="G9" s="59"/>
      <c r="H9" s="59">
        <v>1049846.96</v>
      </c>
      <c r="J9" s="119" t="s">
        <v>121</v>
      </c>
      <c r="K9" s="120"/>
      <c r="L9" s="50"/>
    </row>
    <row r="10" spans="2:15" ht="13.5" thickBot="1">
      <c r="B10" s="619"/>
      <c r="C10" s="60" t="s">
        <v>62</v>
      </c>
      <c r="D10" s="61"/>
      <c r="E10" s="86">
        <v>3</v>
      </c>
      <c r="F10" s="62">
        <v>2117065.13</v>
      </c>
      <c r="G10" s="62"/>
      <c r="H10" s="628">
        <v>2117065.13</v>
      </c>
      <c r="J10" s="119" t="s">
        <v>122</v>
      </c>
      <c r="K10" s="120">
        <v>53</v>
      </c>
      <c r="L10" s="50">
        <f>26455399.61+241526.48</f>
        <v>26696926.09</v>
      </c>
      <c r="N10" s="446"/>
    </row>
    <row r="11" spans="2:15" ht="13.5" thickBot="1">
      <c r="B11" s="619"/>
      <c r="C11" s="58" t="s">
        <v>48</v>
      </c>
      <c r="D11" s="58" t="s">
        <v>31</v>
      </c>
      <c r="E11" s="85">
        <v>2</v>
      </c>
      <c r="F11" s="59">
        <v>1062980.96</v>
      </c>
      <c r="G11" s="59"/>
      <c r="H11" s="59">
        <v>1062980.96</v>
      </c>
      <c r="J11" s="122" t="s">
        <v>62</v>
      </c>
      <c r="K11" s="122">
        <f>K8-K9+K10</f>
        <v>182</v>
      </c>
      <c r="L11" s="53">
        <f>L8-L9+L10</f>
        <v>73020145.600000009</v>
      </c>
      <c r="N11" s="105">
        <f>K8</f>
        <v>129</v>
      </c>
      <c r="O11" s="206">
        <f>L8</f>
        <v>46323219.510000005</v>
      </c>
    </row>
    <row r="12" spans="2:15" ht="13.5" customHeight="1" thickBot="1">
      <c r="B12" s="619"/>
      <c r="C12" s="57"/>
      <c r="D12" s="58" t="s">
        <v>36</v>
      </c>
      <c r="E12" s="85">
        <v>3</v>
      </c>
      <c r="F12" s="59">
        <v>947581.53</v>
      </c>
      <c r="G12" s="59"/>
      <c r="H12" s="59">
        <v>947581.53</v>
      </c>
      <c r="J12" s="123"/>
      <c r="K12" s="123"/>
      <c r="L12" s="49"/>
    </row>
    <row r="13" spans="2:15" ht="13.5" customHeight="1" thickBot="1">
      <c r="B13" s="619"/>
      <c r="C13" s="57"/>
      <c r="D13" s="58" t="s">
        <v>52</v>
      </c>
      <c r="E13" s="85">
        <v>87</v>
      </c>
      <c r="F13" s="59">
        <v>30113753.81000001</v>
      </c>
      <c r="G13" s="59"/>
      <c r="H13" s="59">
        <v>30113753.81000001</v>
      </c>
      <c r="J13" s="124" t="s">
        <v>112</v>
      </c>
      <c r="K13" s="504">
        <v>182</v>
      </c>
      <c r="L13" s="505">
        <v>73020145.230000049</v>
      </c>
    </row>
    <row r="14" spans="2:15">
      <c r="B14" s="619"/>
      <c r="C14" s="57"/>
      <c r="D14" s="58" t="s">
        <v>37</v>
      </c>
      <c r="E14" s="85">
        <v>2</v>
      </c>
      <c r="F14" s="59">
        <v>435524.14</v>
      </c>
      <c r="G14" s="59"/>
      <c r="H14" s="59">
        <v>435524.14</v>
      </c>
      <c r="J14" s="125" t="s">
        <v>113</v>
      </c>
      <c r="K14" s="606">
        <f>K11-K13</f>
        <v>0</v>
      </c>
      <c r="L14" s="156">
        <f>L11-L13</f>
        <v>0.369999960064888</v>
      </c>
      <c r="N14" s="105">
        <v>191443.28</v>
      </c>
      <c r="O14" s="445">
        <f>L14-N14</f>
        <v>-191442.91000003993</v>
      </c>
    </row>
    <row r="15" spans="2:15" ht="13.5" thickBot="1">
      <c r="B15" s="619"/>
      <c r="C15" s="57"/>
      <c r="D15" s="58" t="s">
        <v>202</v>
      </c>
      <c r="E15" s="85">
        <v>12</v>
      </c>
      <c r="F15" s="59">
        <v>6120719.6500000004</v>
      </c>
      <c r="G15" s="59"/>
      <c r="H15" s="59">
        <v>6120719.6500000004</v>
      </c>
      <c r="J15" s="127" t="s">
        <v>114</v>
      </c>
      <c r="K15" s="128"/>
      <c r="L15" s="50">
        <f>294500000-20000000-10000000+20000000</f>
        <v>284500000</v>
      </c>
    </row>
    <row r="16" spans="2:15" ht="13.5" thickBot="1">
      <c r="B16" s="619"/>
      <c r="C16" s="57"/>
      <c r="D16" s="58" t="s">
        <v>1342</v>
      </c>
      <c r="E16" s="85">
        <v>1</v>
      </c>
      <c r="F16" s="59">
        <v>524706.86</v>
      </c>
      <c r="G16" s="59"/>
      <c r="H16" s="59">
        <v>524706.86</v>
      </c>
      <c r="J16" s="127" t="s">
        <v>115</v>
      </c>
      <c r="K16" s="128"/>
      <c r="L16" s="53">
        <f>+L15-L8</f>
        <v>238176780.49000001</v>
      </c>
    </row>
    <row r="17" spans="2:17">
      <c r="B17" s="619"/>
      <c r="C17" s="60" t="s">
        <v>62</v>
      </c>
      <c r="D17" s="61"/>
      <c r="E17" s="86">
        <v>107</v>
      </c>
      <c r="F17" s="62">
        <v>39205266.950000003</v>
      </c>
      <c r="G17" s="62"/>
      <c r="H17" s="62">
        <v>39205266.950000003</v>
      </c>
      <c r="J17" s="116"/>
      <c r="K17" s="447"/>
      <c r="L17" s="447"/>
      <c r="O17" s="448"/>
    </row>
    <row r="18" spans="2:17" ht="13.5" thickBot="1">
      <c r="B18" s="619"/>
      <c r="C18" s="605" t="s">
        <v>217</v>
      </c>
      <c r="D18" s="58" t="s">
        <v>52</v>
      </c>
      <c r="E18" s="85">
        <v>6</v>
      </c>
      <c r="F18" s="59">
        <v>2255410.71</v>
      </c>
      <c r="G18" s="59"/>
      <c r="H18" s="59">
        <v>2255410.71</v>
      </c>
      <c r="J18" s="116"/>
      <c r="K18" s="116"/>
      <c r="L18" s="117"/>
    </row>
    <row r="19" spans="2:17">
      <c r="B19" s="619"/>
      <c r="C19" s="60" t="s">
        <v>62</v>
      </c>
      <c r="D19" s="61"/>
      <c r="E19" s="86">
        <v>6</v>
      </c>
      <c r="F19" s="62">
        <v>2255410.71</v>
      </c>
      <c r="G19" s="62"/>
      <c r="H19" s="620">
        <v>2255410.71</v>
      </c>
      <c r="J19" s="641" t="s">
        <v>178</v>
      </c>
      <c r="K19" s="642"/>
      <c r="L19" s="643"/>
      <c r="Q19" s="601"/>
    </row>
    <row r="20" spans="2:17">
      <c r="B20" s="94" t="s">
        <v>161</v>
      </c>
      <c r="C20" s="64"/>
      <c r="D20" s="64"/>
      <c r="E20" s="87">
        <v>116</v>
      </c>
      <c r="F20" s="63">
        <v>43577742.790000007</v>
      </c>
      <c r="G20" s="63"/>
      <c r="H20" s="63">
        <v>43577742.790000007</v>
      </c>
      <c r="J20" s="119" t="s">
        <v>116</v>
      </c>
      <c r="K20" s="120">
        <f>+GETPIVOTDATA(" NO. UNIDADES",$B$7,"FINANCIAMIENTO CON","FCA ALFA")</f>
        <v>3</v>
      </c>
      <c r="L20" s="50">
        <f>+GETPIVOTDATA("IMPORTE A PAGAR.",$B$7,"FINANCIAMIENTO CON","FCA ALFA")</f>
        <v>1971380.42</v>
      </c>
      <c r="N20" s="105" t="e">
        <f>#REF!</f>
        <v>#REF!</v>
      </c>
      <c r="O20" s="206" t="e">
        <f>#REF!</f>
        <v>#REF!</v>
      </c>
    </row>
    <row r="21" spans="2:17">
      <c r="B21" s="618" t="s">
        <v>159</v>
      </c>
      <c r="C21" s="58" t="s">
        <v>48</v>
      </c>
      <c r="D21" s="58" t="s">
        <v>52</v>
      </c>
      <c r="E21" s="85">
        <v>12</v>
      </c>
      <c r="F21" s="59">
        <v>2529146.6000000006</v>
      </c>
      <c r="G21" s="59"/>
      <c r="H21" s="59">
        <v>2529146.6000000006</v>
      </c>
      <c r="J21" s="119" t="s">
        <v>64</v>
      </c>
      <c r="K21" s="120"/>
      <c r="L21" s="50"/>
    </row>
    <row r="22" spans="2:17" ht="13.5" thickBot="1">
      <c r="B22" s="619"/>
      <c r="C22" s="57"/>
      <c r="D22" s="58" t="s">
        <v>260</v>
      </c>
      <c r="E22" s="85">
        <v>1</v>
      </c>
      <c r="F22" s="59">
        <v>216330.12</v>
      </c>
      <c r="G22" s="59"/>
      <c r="H22" s="59">
        <v>216330.12</v>
      </c>
      <c r="J22" s="119" t="s">
        <v>111</v>
      </c>
      <c r="K22" s="120"/>
      <c r="L22" s="50"/>
    </row>
    <row r="23" spans="2:17" ht="13.5" thickBot="1">
      <c r="B23" s="619"/>
      <c r="C23" s="60" t="s">
        <v>62</v>
      </c>
      <c r="D23" s="61"/>
      <c r="E23" s="86">
        <v>13</v>
      </c>
      <c r="F23" s="62">
        <v>2745476.7200000007</v>
      </c>
      <c r="G23" s="62"/>
      <c r="H23" s="62">
        <v>2745476.7200000007</v>
      </c>
      <c r="J23" s="122" t="s">
        <v>62</v>
      </c>
      <c r="K23" s="122">
        <f>K20-K21+K22</f>
        <v>3</v>
      </c>
      <c r="L23" s="53">
        <f>L20-L21+L22</f>
        <v>1971380.42</v>
      </c>
    </row>
    <row r="24" spans="2:17" ht="13.5" thickBot="1">
      <c r="B24" s="94" t="s">
        <v>162</v>
      </c>
      <c r="C24" s="64"/>
      <c r="D24" s="64"/>
      <c r="E24" s="87">
        <v>13</v>
      </c>
      <c r="F24" s="63">
        <v>2745476.7200000007</v>
      </c>
      <c r="G24" s="63"/>
      <c r="H24" s="63">
        <v>2745476.7200000007</v>
      </c>
      <c r="J24" s="107"/>
      <c r="K24" s="107"/>
      <c r="L24" s="107"/>
    </row>
    <row r="25" spans="2:17" ht="13.5" thickBot="1">
      <c r="B25" s="98" t="s">
        <v>170</v>
      </c>
      <c r="C25" s="626" t="s">
        <v>82</v>
      </c>
      <c r="D25" s="58" t="s">
        <v>31</v>
      </c>
      <c r="E25" s="85">
        <v>1</v>
      </c>
      <c r="F25" s="59">
        <v>86640</v>
      </c>
      <c r="G25" s="59"/>
      <c r="H25" s="59">
        <v>86640</v>
      </c>
      <c r="J25" s="124" t="s">
        <v>177</v>
      </c>
      <c r="K25" s="506">
        <v>3</v>
      </c>
      <c r="L25" s="507">
        <v>1971380.42</v>
      </c>
    </row>
    <row r="26" spans="2:17">
      <c r="B26" s="474"/>
      <c r="C26" s="627"/>
      <c r="D26" s="58" t="s">
        <v>40</v>
      </c>
      <c r="E26" s="85">
        <v>1</v>
      </c>
      <c r="F26" s="59">
        <v>176720</v>
      </c>
      <c r="G26" s="59"/>
      <c r="H26" s="59">
        <v>176720</v>
      </c>
      <c r="J26" s="125" t="s">
        <v>113</v>
      </c>
      <c r="K26" s="126">
        <f>+K23-K25</f>
        <v>0</v>
      </c>
      <c r="L26" s="156">
        <f>+L23-L25</f>
        <v>0</v>
      </c>
    </row>
    <row r="27" spans="2:17">
      <c r="B27" s="474"/>
      <c r="C27" s="60" t="s">
        <v>62</v>
      </c>
      <c r="D27" s="61"/>
      <c r="E27" s="86">
        <v>2</v>
      </c>
      <c r="F27" s="62">
        <v>263360</v>
      </c>
      <c r="G27" s="62"/>
      <c r="H27" s="628">
        <v>263360</v>
      </c>
      <c r="J27" s="125" t="s">
        <v>114</v>
      </c>
      <c r="K27" s="130"/>
      <c r="L27" s="51">
        <v>10000000</v>
      </c>
    </row>
    <row r="28" spans="2:17" ht="13.5" thickBot="1">
      <c r="B28" s="474"/>
      <c r="C28" s="58" t="s">
        <v>48</v>
      </c>
      <c r="D28" s="58" t="s">
        <v>31</v>
      </c>
      <c r="E28" s="85">
        <v>2</v>
      </c>
      <c r="F28" s="59">
        <v>282240</v>
      </c>
      <c r="G28" s="59"/>
      <c r="H28" s="59">
        <v>282240</v>
      </c>
      <c r="J28" s="127" t="s">
        <v>115</v>
      </c>
      <c r="K28" s="128"/>
      <c r="L28" s="129">
        <f>+L27-L20</f>
        <v>8028619.5800000001</v>
      </c>
    </row>
    <row r="29" spans="2:17">
      <c r="B29" s="474"/>
      <c r="C29" s="57"/>
      <c r="D29" s="58" t="s">
        <v>52</v>
      </c>
      <c r="E29" s="85">
        <v>26</v>
      </c>
      <c r="F29" s="59">
        <v>4365480</v>
      </c>
      <c r="G29" s="59"/>
      <c r="H29" s="59">
        <v>4365480</v>
      </c>
      <c r="J29" s="116"/>
      <c r="K29" s="116"/>
      <c r="L29" s="117"/>
    </row>
    <row r="30" spans="2:17" ht="13.5" thickBot="1">
      <c r="B30" s="474"/>
      <c r="C30" s="60" t="s">
        <v>62</v>
      </c>
      <c r="D30" s="61"/>
      <c r="E30" s="86">
        <v>28</v>
      </c>
      <c r="F30" s="62">
        <v>4647720</v>
      </c>
      <c r="G30" s="62"/>
      <c r="H30" s="62">
        <v>4647720</v>
      </c>
      <c r="J30" s="116"/>
      <c r="K30" s="116"/>
      <c r="L30" s="117"/>
    </row>
    <row r="31" spans="2:17">
      <c r="B31" s="94" t="s">
        <v>171</v>
      </c>
      <c r="C31" s="64"/>
      <c r="D31" s="64"/>
      <c r="E31" s="87">
        <v>30</v>
      </c>
      <c r="F31" s="63">
        <v>4911080</v>
      </c>
      <c r="G31" s="63"/>
      <c r="H31" s="63">
        <v>4911080</v>
      </c>
      <c r="I31" s="121"/>
      <c r="J31" s="629" t="s">
        <v>186</v>
      </c>
      <c r="K31" s="630"/>
      <c r="L31" s="631"/>
      <c r="N31" s="105">
        <f>K20</f>
        <v>3</v>
      </c>
      <c r="O31" s="206">
        <f>L20</f>
        <v>1971380.42</v>
      </c>
    </row>
    <row r="32" spans="2:17">
      <c r="B32" s="98" t="s">
        <v>198</v>
      </c>
      <c r="C32" s="626" t="s">
        <v>82</v>
      </c>
      <c r="D32" s="58" t="s">
        <v>34</v>
      </c>
      <c r="E32" s="85">
        <v>1</v>
      </c>
      <c r="F32" s="59">
        <v>316135.44</v>
      </c>
      <c r="G32" s="59">
        <v>240</v>
      </c>
      <c r="H32" s="59">
        <v>316135.44</v>
      </c>
      <c r="J32" s="511" t="s">
        <v>175</v>
      </c>
      <c r="K32" s="155">
        <f>+GETPIVOTDATA(" NO. UNIDADES",$B$7,"FINANCIAMIENTO CON"," FCA SEMINUEVOS")</f>
        <v>30</v>
      </c>
      <c r="L32" s="512">
        <f>+GETPIVOTDATA("IMPORTE A PAGAR.",$B$7,"FINANCIAMIENTO CON"," FCA SEMINUEVOS")</f>
        <v>4911080</v>
      </c>
    </row>
    <row r="33" spans="2:15">
      <c r="B33" s="474"/>
      <c r="C33" s="60" t="s">
        <v>62</v>
      </c>
      <c r="D33" s="61"/>
      <c r="E33" s="86">
        <v>1</v>
      </c>
      <c r="F33" s="62">
        <v>316135.44</v>
      </c>
      <c r="G33" s="62">
        <v>240</v>
      </c>
      <c r="H33" s="628">
        <v>316135.44</v>
      </c>
      <c r="J33" s="511" t="s">
        <v>64</v>
      </c>
      <c r="K33" s="120"/>
      <c r="L33" s="512"/>
      <c r="M33" s="105"/>
    </row>
    <row r="34" spans="2:15" ht="13.5" thickBot="1">
      <c r="B34" s="474"/>
      <c r="C34" s="58" t="s">
        <v>48</v>
      </c>
      <c r="D34" s="58" t="s">
        <v>52</v>
      </c>
      <c r="E34" s="85">
        <v>2</v>
      </c>
      <c r="F34" s="59">
        <v>1655244.98</v>
      </c>
      <c r="G34" s="59">
        <v>360</v>
      </c>
      <c r="H34" s="59">
        <v>1655244.98</v>
      </c>
      <c r="J34" s="511" t="s">
        <v>111</v>
      </c>
      <c r="K34" s="120"/>
      <c r="L34" s="512"/>
      <c r="N34" s="105" t="e">
        <f>SUM(N11:N33)</f>
        <v>#REF!</v>
      </c>
      <c r="O34" s="206" t="e">
        <f>SUM(O10:O33)</f>
        <v>#REF!</v>
      </c>
    </row>
    <row r="35" spans="2:15" ht="13.5" thickBot="1">
      <c r="B35" s="474"/>
      <c r="C35" s="60" t="s">
        <v>62</v>
      </c>
      <c r="D35" s="61"/>
      <c r="E35" s="86">
        <v>2</v>
      </c>
      <c r="F35" s="62">
        <v>1655244.98</v>
      </c>
      <c r="G35" s="62">
        <v>360</v>
      </c>
      <c r="H35" s="62">
        <v>1655244.98</v>
      </c>
      <c r="J35" s="513" t="s">
        <v>62</v>
      </c>
      <c r="K35" s="514">
        <f>K32+K34</f>
        <v>30</v>
      </c>
      <c r="L35" s="515">
        <f>L32+L34</f>
        <v>4911080</v>
      </c>
    </row>
    <row r="36" spans="2:15" ht="13.5" thickBot="1">
      <c r="B36" s="102" t="s">
        <v>199</v>
      </c>
      <c r="C36" s="99"/>
      <c r="D36" s="99"/>
      <c r="E36" s="100">
        <v>3</v>
      </c>
      <c r="F36" s="101">
        <v>1971380.42</v>
      </c>
      <c r="G36" s="101">
        <v>600</v>
      </c>
      <c r="H36" s="101">
        <v>1971380.42</v>
      </c>
      <c r="J36" s="107"/>
      <c r="K36" s="107"/>
      <c r="L36" s="107"/>
    </row>
    <row r="37" spans="2:15" ht="13.5" thickBot="1">
      <c r="B37" s="66" t="s">
        <v>150</v>
      </c>
      <c r="C37" s="65" t="s">
        <v>48</v>
      </c>
      <c r="D37" s="65" t="s">
        <v>31</v>
      </c>
      <c r="E37" s="85">
        <v>1</v>
      </c>
      <c r="F37" s="59">
        <v>807605.92</v>
      </c>
      <c r="G37" s="59">
        <v>833.62877742222224</v>
      </c>
      <c r="H37" s="59">
        <v>808439.54877742229</v>
      </c>
      <c r="J37" s="131" t="s">
        <v>176</v>
      </c>
      <c r="K37" s="508">
        <v>30</v>
      </c>
      <c r="L37" s="507">
        <v>4911080</v>
      </c>
    </row>
    <row r="38" spans="2:15">
      <c r="B38" s="67"/>
      <c r="C38" s="473"/>
      <c r="D38" s="58" t="s">
        <v>36</v>
      </c>
      <c r="E38" s="85">
        <v>1</v>
      </c>
      <c r="F38" s="59">
        <v>529132</v>
      </c>
      <c r="G38" s="59">
        <v>546.18180888888878</v>
      </c>
      <c r="H38" s="59">
        <v>529678.18180888891</v>
      </c>
      <c r="J38" s="131" t="s">
        <v>113</v>
      </c>
      <c r="K38" s="132">
        <f>+K35-K37-K33</f>
        <v>0</v>
      </c>
      <c r="L38" s="156">
        <f>+L35-L37-L33</f>
        <v>0</v>
      </c>
    </row>
    <row r="39" spans="2:15">
      <c r="B39" s="67"/>
      <c r="C39" s="473"/>
      <c r="D39" s="65" t="s">
        <v>52</v>
      </c>
      <c r="E39" s="457">
        <v>22</v>
      </c>
      <c r="F39" s="456">
        <v>12219683.23</v>
      </c>
      <c r="G39" s="458">
        <v>11675.421203099997</v>
      </c>
      <c r="H39" s="456">
        <v>12231358.651203098</v>
      </c>
      <c r="J39" s="125" t="s">
        <v>114</v>
      </c>
      <c r="K39" s="130"/>
      <c r="L39" s="51">
        <v>6000000</v>
      </c>
    </row>
    <row r="40" spans="2:15" ht="13.5" thickBot="1">
      <c r="B40" s="67"/>
      <c r="C40" s="473"/>
      <c r="D40" s="58" t="s">
        <v>37</v>
      </c>
      <c r="E40" s="85">
        <v>1</v>
      </c>
      <c r="F40" s="59">
        <v>759041.21</v>
      </c>
      <c r="G40" s="59">
        <v>783.49920454444441</v>
      </c>
      <c r="H40" s="59">
        <v>759824.70920454443</v>
      </c>
      <c r="J40" s="127" t="s">
        <v>115</v>
      </c>
      <c r="K40" s="128"/>
      <c r="L40" s="129">
        <f>L39-L32</f>
        <v>1088920</v>
      </c>
    </row>
    <row r="41" spans="2:15">
      <c r="B41" s="67"/>
      <c r="C41" s="473"/>
      <c r="D41" s="58" t="s">
        <v>202</v>
      </c>
      <c r="E41" s="85">
        <v>1</v>
      </c>
      <c r="F41" s="59">
        <v>217505.14</v>
      </c>
      <c r="G41" s="59">
        <v>224.51363895555554</v>
      </c>
      <c r="H41" s="59">
        <v>217729.65363895558</v>
      </c>
      <c r="J41" s="107"/>
      <c r="K41" s="107"/>
      <c r="L41" s="107"/>
    </row>
    <row r="42" spans="2:15" ht="13.5" thickBot="1">
      <c r="B42" s="67"/>
      <c r="C42" s="66" t="s">
        <v>62</v>
      </c>
      <c r="D42" s="67"/>
      <c r="E42" s="89">
        <v>26</v>
      </c>
      <c r="F42" s="68">
        <v>14532967.500000004</v>
      </c>
      <c r="G42" s="68">
        <v>14063.244632911114</v>
      </c>
      <c r="H42" s="68">
        <v>14547030.744632911</v>
      </c>
      <c r="J42" s="109"/>
      <c r="K42" s="107"/>
      <c r="L42" s="107"/>
    </row>
    <row r="43" spans="2:15" ht="16.5" thickBot="1">
      <c r="B43" s="80" t="s">
        <v>151</v>
      </c>
      <c r="C43" s="69"/>
      <c r="D43" s="69"/>
      <c r="E43" s="90">
        <v>26</v>
      </c>
      <c r="F43" s="70">
        <v>14532967.500000004</v>
      </c>
      <c r="G43" s="70">
        <v>14063.244632911114</v>
      </c>
      <c r="H43" s="70">
        <v>14547030.744632911</v>
      </c>
      <c r="J43" s="646" t="s">
        <v>152</v>
      </c>
      <c r="K43" s="647"/>
      <c r="L43" s="648"/>
      <c r="O43" s="206"/>
    </row>
    <row r="44" spans="2:15" ht="13.5" thickBot="1">
      <c r="B44" s="71" t="s">
        <v>131</v>
      </c>
      <c r="C44" s="626" t="s">
        <v>82</v>
      </c>
      <c r="D44" s="58" t="s">
        <v>34</v>
      </c>
      <c r="E44" s="85">
        <v>2</v>
      </c>
      <c r="F44" s="59">
        <v>822513.08000000007</v>
      </c>
      <c r="G44" s="59">
        <v>4042.6454658777775</v>
      </c>
      <c r="H44" s="59">
        <v>826555.7254658778</v>
      </c>
      <c r="J44" s="133" t="s">
        <v>134</v>
      </c>
      <c r="K44" s="126">
        <f>+GETPIVOTDATA(" NO. UNIDADES",$B$7,"FINANCIAMIENTO CON","BANCOMER")</f>
        <v>26</v>
      </c>
      <c r="L44" s="134">
        <f>+GETPIVOTDATA("IMPORTE A PAGAR NETO.",$B$7,"FINANCIAMIENTO CON","BANCOMER")</f>
        <v>14532967.500000004</v>
      </c>
    </row>
    <row r="45" spans="2:15" ht="13.5" thickBot="1">
      <c r="B45" s="72"/>
      <c r="C45" s="57"/>
      <c r="D45" s="58" t="s">
        <v>1361</v>
      </c>
      <c r="E45" s="85">
        <v>1</v>
      </c>
      <c r="F45" s="59">
        <v>295580.76</v>
      </c>
      <c r="G45" s="59">
        <v>679.09679610000001</v>
      </c>
      <c r="H45" s="59">
        <v>296259.85679610004</v>
      </c>
      <c r="J45" s="135" t="s">
        <v>153</v>
      </c>
      <c r="K45" s="136"/>
      <c r="L45" s="93">
        <v>20000000</v>
      </c>
      <c r="O45" s="206"/>
    </row>
    <row r="46" spans="2:15">
      <c r="B46" s="72"/>
      <c r="C46" s="71" t="s">
        <v>62</v>
      </c>
      <c r="D46" s="72"/>
      <c r="E46" s="88">
        <v>3</v>
      </c>
      <c r="F46" s="73">
        <v>1118093.8400000001</v>
      </c>
      <c r="G46" s="73">
        <v>4721.7422619777772</v>
      </c>
      <c r="H46" s="628">
        <v>1122815.5822619777</v>
      </c>
      <c r="J46" s="137" t="s">
        <v>154</v>
      </c>
      <c r="K46" s="509">
        <v>26</v>
      </c>
      <c r="L46" s="510">
        <v>14532967.5</v>
      </c>
    </row>
    <row r="47" spans="2:15" ht="13.5" thickBot="1">
      <c r="B47" s="72"/>
      <c r="C47" s="58" t="s">
        <v>48</v>
      </c>
      <c r="D47" s="58" t="s">
        <v>31</v>
      </c>
      <c r="E47" s="85">
        <v>2</v>
      </c>
      <c r="F47" s="59">
        <v>761646.02399999998</v>
      </c>
      <c r="G47" s="59">
        <v>12382.216910680001</v>
      </c>
      <c r="H47" s="59">
        <v>774028.24091068003</v>
      </c>
      <c r="J47" s="137" t="s">
        <v>155</v>
      </c>
      <c r="K47" s="138">
        <f>K46-K44</f>
        <v>0</v>
      </c>
      <c r="L47" s="157">
        <f>+L44-L46</f>
        <v>0</v>
      </c>
    </row>
    <row r="48" spans="2:15" ht="13.5" thickBot="1">
      <c r="B48" s="72"/>
      <c r="C48" s="57"/>
      <c r="D48" s="58" t="s">
        <v>52</v>
      </c>
      <c r="E48" s="85">
        <v>96</v>
      </c>
      <c r="F48" s="59">
        <v>37372875.705999978</v>
      </c>
      <c r="G48" s="59">
        <v>516470.18548170518</v>
      </c>
      <c r="H48" s="59">
        <v>37889345.89148169</v>
      </c>
      <c r="J48" s="135" t="s">
        <v>115</v>
      </c>
      <c r="K48" s="139"/>
      <c r="L48" s="140">
        <f>+L45-L44</f>
        <v>5467032.4999999963</v>
      </c>
    </row>
    <row r="49" spans="2:14">
      <c r="B49" s="72"/>
      <c r="C49" s="57"/>
      <c r="D49" s="58" t="s">
        <v>37</v>
      </c>
      <c r="E49" s="85">
        <v>5</v>
      </c>
      <c r="F49" s="59">
        <v>1025578.736</v>
      </c>
      <c r="G49" s="59">
        <v>8633.5520953888881</v>
      </c>
      <c r="H49" s="59">
        <v>1034212.2880953889</v>
      </c>
      <c r="J49" s="117"/>
      <c r="K49" s="116"/>
      <c r="L49" s="117"/>
    </row>
    <row r="50" spans="2:14" ht="13.5" thickBot="1">
      <c r="B50" s="72"/>
      <c r="C50" s="57"/>
      <c r="D50" s="58" t="s">
        <v>202</v>
      </c>
      <c r="E50" s="85">
        <v>5</v>
      </c>
      <c r="F50" s="59">
        <v>1293373.4839999999</v>
      </c>
      <c r="G50" s="59">
        <v>7074.2712825444451</v>
      </c>
      <c r="H50" s="59">
        <v>1300447.7552825443</v>
      </c>
      <c r="J50" s="107"/>
      <c r="K50" s="107"/>
      <c r="L50" s="107"/>
    </row>
    <row r="51" spans="2:14" ht="16.5" thickBot="1">
      <c r="B51" s="72"/>
      <c r="C51" s="71" t="s">
        <v>62</v>
      </c>
      <c r="D51" s="72"/>
      <c r="E51" s="88">
        <v>108</v>
      </c>
      <c r="F51" s="73">
        <v>40453473.949999973</v>
      </c>
      <c r="G51" s="73">
        <v>544560.22577031842</v>
      </c>
      <c r="H51" s="73">
        <v>40998034.175770327</v>
      </c>
      <c r="J51" s="649" t="s">
        <v>185</v>
      </c>
      <c r="K51" s="650"/>
      <c r="L51" s="651"/>
    </row>
    <row r="52" spans="2:14" ht="13.5" thickBot="1">
      <c r="B52" s="81" t="s">
        <v>133</v>
      </c>
      <c r="C52" s="74"/>
      <c r="D52" s="74"/>
      <c r="E52" s="91">
        <v>111</v>
      </c>
      <c r="F52" s="75">
        <v>41571567.789999977</v>
      </c>
      <c r="G52" s="75">
        <v>549281.96803229616</v>
      </c>
      <c r="H52" s="75">
        <v>42120849.7580323</v>
      </c>
      <c r="J52" s="141" t="s">
        <v>134</v>
      </c>
      <c r="K52" s="142">
        <f>+GETPIVOTDATA(" NO. UNIDADES",$B$7,"FINANCIAMIENTO CON","FIVE CONTI")</f>
        <v>111</v>
      </c>
      <c r="L52" s="143">
        <f>+GETPIVOTDATA("IMPORTE A PAGAR NETO.",$B$7,"FINANCIAMIENTO CON","FIVE CONTI")</f>
        <v>41571567.789999977</v>
      </c>
    </row>
    <row r="53" spans="2:14" ht="13.5" thickBot="1">
      <c r="B53" s="71" t="s">
        <v>132</v>
      </c>
      <c r="C53" s="58" t="s">
        <v>48</v>
      </c>
      <c r="D53" s="58" t="s">
        <v>40</v>
      </c>
      <c r="E53" s="85">
        <v>1</v>
      </c>
      <c r="F53" s="59">
        <v>215889.92000000001</v>
      </c>
      <c r="G53" s="59">
        <v>440.41543680000007</v>
      </c>
      <c r="H53" s="59">
        <v>216330.3354368</v>
      </c>
      <c r="J53" s="144" t="s">
        <v>136</v>
      </c>
      <c r="K53" s="145">
        <f>+GETPIVOTDATA(" NO. UNIDADES",$B$7,"FINANCIAMIENTO CON","FIVE FIAT")</f>
        <v>15</v>
      </c>
      <c r="L53" s="52">
        <f>+GETPIVOTDATA("IMPORTE A PAGAR NETO.",$B$7,"FINANCIAMIENTO CON","FIVE FIAT")</f>
        <v>3018822.2800000003</v>
      </c>
    </row>
    <row r="54" spans="2:14" ht="13.5" thickBot="1">
      <c r="B54" s="72"/>
      <c r="C54" s="57"/>
      <c r="D54" s="58" t="s">
        <v>52</v>
      </c>
      <c r="E54" s="85">
        <v>14</v>
      </c>
      <c r="F54" s="59">
        <v>2802932.36</v>
      </c>
      <c r="G54" s="59">
        <v>20046.990713166677</v>
      </c>
      <c r="H54" s="59">
        <v>2822979.3507131669</v>
      </c>
      <c r="J54" s="144" t="s">
        <v>135</v>
      </c>
      <c r="K54" s="145">
        <f>K53+K52</f>
        <v>126</v>
      </c>
      <c r="L54" s="52">
        <f>+L52+L53</f>
        <v>44590390.069999978</v>
      </c>
    </row>
    <row r="55" spans="2:14">
      <c r="B55" s="72"/>
      <c r="C55" s="71" t="s">
        <v>62</v>
      </c>
      <c r="D55" s="72"/>
      <c r="E55" s="88">
        <v>15</v>
      </c>
      <c r="F55" s="73">
        <v>3018822.2800000003</v>
      </c>
      <c r="G55" s="73">
        <v>20487.406149966679</v>
      </c>
      <c r="H55" s="73">
        <v>3039309.6861499669</v>
      </c>
      <c r="J55" s="147" t="s">
        <v>117</v>
      </c>
      <c r="K55" s="130"/>
      <c r="L55" s="56">
        <v>78200000</v>
      </c>
    </row>
    <row r="56" spans="2:14" ht="13.5" thickBot="1">
      <c r="B56" s="81" t="s">
        <v>847</v>
      </c>
      <c r="C56" s="74"/>
      <c r="D56" s="74"/>
      <c r="E56" s="91">
        <v>15</v>
      </c>
      <c r="F56" s="75">
        <v>3018822.2800000003</v>
      </c>
      <c r="G56" s="75">
        <v>20487.406149966679</v>
      </c>
      <c r="H56" s="75">
        <v>3039309.6861499669</v>
      </c>
      <c r="J56" s="148" t="s">
        <v>115</v>
      </c>
      <c r="K56" s="149"/>
      <c r="L56" s="150">
        <f>+L55-L52-L53</f>
        <v>33609609.930000022</v>
      </c>
    </row>
    <row r="57" spans="2:14">
      <c r="B57" s="82" t="s">
        <v>34</v>
      </c>
      <c r="C57" s="58" t="s">
        <v>138</v>
      </c>
      <c r="D57" s="58" t="s">
        <v>52</v>
      </c>
      <c r="E57" s="85">
        <v>1</v>
      </c>
      <c r="F57" s="59"/>
      <c r="G57" s="59"/>
      <c r="H57" s="59">
        <v>0</v>
      </c>
      <c r="J57" s="107"/>
      <c r="K57" s="107"/>
      <c r="L57" s="107"/>
    </row>
    <row r="58" spans="2:14" ht="13.5" thickBot="1">
      <c r="B58" s="83"/>
      <c r="C58" s="82" t="s">
        <v>62</v>
      </c>
      <c r="D58" s="83"/>
      <c r="E58" s="95">
        <v>1</v>
      </c>
      <c r="F58" s="96"/>
      <c r="G58" s="96"/>
      <c r="H58" s="96">
        <v>0</v>
      </c>
      <c r="J58" s="107"/>
      <c r="K58" s="107"/>
      <c r="L58" s="151"/>
    </row>
    <row r="59" spans="2:14" ht="13.5" thickBot="1">
      <c r="B59" s="83"/>
      <c r="C59" s="65" t="s">
        <v>137</v>
      </c>
      <c r="D59" s="65" t="s">
        <v>52</v>
      </c>
      <c r="E59" s="457">
        <v>1</v>
      </c>
      <c r="F59" s="456">
        <v>510771.20000000001</v>
      </c>
      <c r="G59" s="458"/>
      <c r="H59" s="456">
        <v>510771.20000000001</v>
      </c>
      <c r="J59" s="645" t="s">
        <v>218</v>
      </c>
      <c r="K59" s="645"/>
      <c r="L59" s="645"/>
    </row>
    <row r="60" spans="2:14" ht="13.5" thickBot="1">
      <c r="B60" s="83"/>
      <c r="C60" s="82" t="s">
        <v>62</v>
      </c>
      <c r="D60" s="83"/>
      <c r="E60" s="95">
        <v>1</v>
      </c>
      <c r="F60" s="96">
        <v>510771.20000000001</v>
      </c>
      <c r="G60" s="96"/>
      <c r="H60" s="96">
        <v>510771.20000000001</v>
      </c>
      <c r="J60" s="207" t="s">
        <v>134</v>
      </c>
      <c r="K60" s="207">
        <f>+K8+K44+K52+K32</f>
        <v>296</v>
      </c>
      <c r="L60" s="208">
        <f>+L8++L32+L44+L52</f>
        <v>107338834.79999998</v>
      </c>
      <c r="N60" s="206"/>
    </row>
    <row r="61" spans="2:14" ht="13.5" thickBot="1">
      <c r="B61" s="84" t="s">
        <v>141</v>
      </c>
      <c r="C61" s="76"/>
      <c r="D61" s="76"/>
      <c r="E61" s="92">
        <v>2</v>
      </c>
      <c r="F61" s="77">
        <v>510771.20000000001</v>
      </c>
      <c r="G61" s="77"/>
      <c r="H61" s="77">
        <v>510771.20000000001</v>
      </c>
      <c r="J61" s="207" t="s">
        <v>225</v>
      </c>
      <c r="K61" s="207">
        <f>+K53+K20</f>
        <v>18</v>
      </c>
      <c r="L61" s="208">
        <f>+L20+L53</f>
        <v>4990202.7</v>
      </c>
    </row>
    <row r="62" spans="2:14" ht="13.5" thickBot="1">
      <c r="B62" s="610" t="s">
        <v>100</v>
      </c>
      <c r="C62" s="65" t="s">
        <v>102</v>
      </c>
      <c r="D62" s="65" t="s">
        <v>52</v>
      </c>
      <c r="E62" s="85">
        <v>7</v>
      </c>
      <c r="F62" s="59">
        <v>2607733.4200000004</v>
      </c>
      <c r="G62" s="59"/>
      <c r="H62" s="59">
        <v>2607733.4200000004</v>
      </c>
      <c r="J62" s="207" t="s">
        <v>135</v>
      </c>
      <c r="K62" s="207">
        <f>K61+K60</f>
        <v>314</v>
      </c>
      <c r="L62" s="208">
        <f>L61+L60</f>
        <v>112329037.49999999</v>
      </c>
    </row>
    <row r="63" spans="2:14" ht="13.5" thickBot="1">
      <c r="B63" s="613"/>
      <c r="C63" s="82" t="s">
        <v>62</v>
      </c>
      <c r="D63" s="83"/>
      <c r="E63" s="95">
        <v>7</v>
      </c>
      <c r="F63" s="96">
        <v>2607733.4200000004</v>
      </c>
      <c r="G63" s="96"/>
      <c r="H63" s="96">
        <v>2607733.4200000004</v>
      </c>
      <c r="J63" s="207" t="s">
        <v>219</v>
      </c>
      <c r="K63" s="209"/>
      <c r="L63" s="208">
        <f>++L15+L27+L39+L45+L55</f>
        <v>398700000</v>
      </c>
    </row>
    <row r="64" spans="2:14" ht="13.5" thickBot="1">
      <c r="B64" s="613"/>
      <c r="C64" s="58" t="s">
        <v>251</v>
      </c>
      <c r="D64" s="58" t="s">
        <v>52</v>
      </c>
      <c r="E64" s="85">
        <v>1</v>
      </c>
      <c r="F64" s="59">
        <v>336455.38</v>
      </c>
      <c r="G64" s="59"/>
      <c r="H64" s="59">
        <v>336455.38</v>
      </c>
      <c r="J64" s="207" t="s">
        <v>115</v>
      </c>
      <c r="K64" s="207"/>
      <c r="L64" s="210">
        <f>+L63-L60-L61</f>
        <v>286370962.50000006</v>
      </c>
    </row>
    <row r="65" spans="2:15" s="105" customFormat="1">
      <c r="B65" s="613"/>
      <c r="C65" s="82" t="s">
        <v>62</v>
      </c>
      <c r="D65" s="83"/>
      <c r="E65" s="95">
        <v>1</v>
      </c>
      <c r="F65" s="96">
        <v>336455.38</v>
      </c>
      <c r="G65" s="96"/>
      <c r="H65" s="96">
        <v>336455.38</v>
      </c>
      <c r="I65" s="107"/>
      <c r="J65" s="107"/>
      <c r="K65" s="107"/>
      <c r="L65" s="107"/>
      <c r="M65" s="107"/>
    </row>
    <row r="66" spans="2:15" s="105" customFormat="1" ht="13.5" thickBot="1">
      <c r="B66" s="84" t="s">
        <v>119</v>
      </c>
      <c r="C66" s="76"/>
      <c r="D66" s="76"/>
      <c r="E66" s="614">
        <v>8</v>
      </c>
      <c r="F66" s="611">
        <v>2944188.8000000003</v>
      </c>
      <c r="G66" s="611"/>
      <c r="H66" s="611">
        <v>2944188.8000000003</v>
      </c>
      <c r="I66" s="107"/>
      <c r="J66" s="107"/>
      <c r="K66" s="107"/>
      <c r="L66" s="107"/>
      <c r="M66" s="107"/>
    </row>
    <row r="67" spans="2:15" s="105" customFormat="1" ht="13.5" thickBot="1">
      <c r="B67" s="82" t="s">
        <v>142</v>
      </c>
      <c r="C67" s="58" t="s">
        <v>143</v>
      </c>
      <c r="D67" s="58" t="s">
        <v>52</v>
      </c>
      <c r="E67" s="85">
        <v>19</v>
      </c>
      <c r="F67" s="59">
        <v>4133758.63</v>
      </c>
      <c r="G67" s="59"/>
      <c r="H67" s="59">
        <v>4133758.63</v>
      </c>
      <c r="I67" s="107"/>
      <c r="J67" s="644" t="s">
        <v>249</v>
      </c>
      <c r="K67" s="644"/>
      <c r="L67" s="644"/>
      <c r="M67" s="123"/>
      <c r="N67" s="116"/>
      <c r="O67" s="117"/>
    </row>
    <row r="68" spans="2:15" s="105" customFormat="1" ht="13.5" thickBot="1">
      <c r="B68" s="83"/>
      <c r="C68" s="82" t="s">
        <v>62</v>
      </c>
      <c r="D68" s="83"/>
      <c r="E68" s="95">
        <v>19</v>
      </c>
      <c r="F68" s="96">
        <v>4133758.63</v>
      </c>
      <c r="G68" s="96"/>
      <c r="H68" s="96">
        <v>4133758.63</v>
      </c>
      <c r="I68" s="107"/>
      <c r="J68" s="209" t="s">
        <v>134</v>
      </c>
      <c r="K68" s="209">
        <f>GETPIVOTDATA(" NO. UNIDADES",$B$7,"FINANCIAMIENTO CON","INTERCAMBIO","TIPO DE VENTA","PISO","PRIORIDAD DE PAGO","INTERCAMBIO CONTI")</f>
        <v>1</v>
      </c>
      <c r="L68" s="254">
        <f>GETPIVOTDATA("IMPORTE A PAGAR.",$B$7,"FINANCIAMIENTO CON","INTERCAMBIO","TIPO DE VENTA","PISO","PRIORIDAD DE PAGO","INTERCAMBIO CONTI")</f>
        <v>0</v>
      </c>
      <c r="M68" s="123"/>
      <c r="N68" s="116"/>
      <c r="O68" s="117"/>
    </row>
    <row r="69" spans="2:15" s="105" customFormat="1" ht="13.5" thickBot="1">
      <c r="B69" s="84" t="s">
        <v>276</v>
      </c>
      <c r="C69" s="76"/>
      <c r="D69" s="76"/>
      <c r="E69" s="92">
        <v>19</v>
      </c>
      <c r="F69" s="77">
        <v>4133758.63</v>
      </c>
      <c r="G69" s="77"/>
      <c r="H69" s="77">
        <v>4133758.63</v>
      </c>
      <c r="I69" s="107"/>
      <c r="J69" s="209" t="s">
        <v>225</v>
      </c>
      <c r="K69" s="209">
        <f>GETPIVOTDATA(" NO. UNIDADES",$B$7,"FINANCIAMIENTO CON","INTERCAMBIO","TIPO DE VENTA","PISO","PRIORIDAD DE PAGO","INTERCAMBIO FIAT")</f>
        <v>1</v>
      </c>
      <c r="L69" s="254">
        <f>GETPIVOTDATA("IMPORTE A PAGAR.",$B$7,"FINANCIAMIENTO CON","INTERCAMBIO","TIPO DE VENTA","PISO","PRIORIDAD DE PAGO","INTERCAMBIO FIAT")</f>
        <v>510771.20000000001</v>
      </c>
      <c r="M69" s="123"/>
      <c r="N69" s="116"/>
      <c r="O69" s="117"/>
    </row>
    <row r="70" spans="2:15" s="105" customFormat="1" ht="13.5" thickBot="1">
      <c r="B70" s="58" t="s">
        <v>277</v>
      </c>
      <c r="C70" s="257"/>
      <c r="D70" s="257"/>
      <c r="E70" s="85">
        <v>343</v>
      </c>
      <c r="F70" s="59">
        <v>119917756.13000011</v>
      </c>
      <c r="G70" s="59">
        <v>584432.61881517363</v>
      </c>
      <c r="H70" s="59">
        <v>120501588.74881534</v>
      </c>
      <c r="I70" s="107"/>
      <c r="J70" s="207" t="s">
        <v>62</v>
      </c>
      <c r="K70" s="207">
        <f>SUM(K68:K69)</f>
        <v>2</v>
      </c>
      <c r="L70" s="208">
        <f>SUM(L68:L69)</f>
        <v>510771.20000000001</v>
      </c>
      <c r="M70" s="123"/>
      <c r="N70" s="116"/>
      <c r="O70" s="117"/>
    </row>
    <row r="71" spans="2:15" s="105" customFormat="1" ht="13.5" thickBot="1">
      <c r="B71"/>
      <c r="C71"/>
      <c r="D71"/>
      <c r="E71"/>
      <c r="F71"/>
      <c r="G71"/>
      <c r="H71"/>
      <c r="I71" s="107"/>
      <c r="J71" s="107"/>
      <c r="K71" s="107"/>
      <c r="L71" s="107"/>
      <c r="M71" s="123"/>
      <c r="N71" s="116"/>
      <c r="O71" s="117"/>
    </row>
    <row r="72" spans="2:15" s="105" customFormat="1" ht="13.5" thickBot="1">
      <c r="B72"/>
      <c r="C72"/>
      <c r="D72"/>
      <c r="E72"/>
      <c r="F72"/>
      <c r="G72"/>
      <c r="H72"/>
      <c r="I72" s="107"/>
      <c r="J72" s="644" t="s">
        <v>250</v>
      </c>
      <c r="K72" s="644"/>
      <c r="L72" s="644"/>
      <c r="M72" s="123"/>
      <c r="N72" s="116"/>
      <c r="O72" s="117"/>
    </row>
    <row r="73" spans="2:15" s="105" customFormat="1" ht="13.5" thickBot="1">
      <c r="B73"/>
      <c r="C73"/>
      <c r="D73"/>
      <c r="E73"/>
      <c r="F73"/>
      <c r="G73"/>
      <c r="H73"/>
      <c r="I73" s="107"/>
      <c r="J73" s="209" t="s">
        <v>134</v>
      </c>
      <c r="K73" s="209">
        <f>GETPIVOTDATA(" NO. UNIDADES",$B$7,"FINANCIAMIENTO CON","PROPIAS EN PISO","TIPO DE VENTA","PISO","PRIORIDAD DE PAGO","PROPIA CONTI")</f>
        <v>1</v>
      </c>
      <c r="L73" s="254">
        <f>GETPIVOTDATA("IMPORTE A PAGAR.",$B$7,"FINANCIAMIENTO CON","PROPIAS EN PISO","TIPO DE VENTA","PISO","PRIORIDAD DE PAGO","PROPIA CONTI")</f>
        <v>336455.38</v>
      </c>
      <c r="M73" s="107"/>
    </row>
    <row r="74" spans="2:15" s="105" customFormat="1" ht="13.5" thickBot="1">
      <c r="B74"/>
      <c r="C74"/>
      <c r="D74"/>
      <c r="E74"/>
      <c r="F74"/>
      <c r="G74"/>
      <c r="H74"/>
      <c r="I74" s="107"/>
      <c r="J74" s="207" t="s">
        <v>62</v>
      </c>
      <c r="K74" s="207">
        <f>SUM(K73:K73)</f>
        <v>1</v>
      </c>
      <c r="L74" s="208">
        <f>SUM(L73:L73)</f>
        <v>336455.38</v>
      </c>
      <c r="M74" s="107"/>
    </row>
    <row r="75" spans="2:15" s="105" customFormat="1" ht="13.5" thickBot="1">
      <c r="B75"/>
      <c r="C75"/>
      <c r="D75"/>
      <c r="E75"/>
      <c r="F75"/>
      <c r="G75"/>
      <c r="H75"/>
      <c r="I75" s="107"/>
      <c r="J75" s="107"/>
      <c r="K75" s="107"/>
      <c r="L75" s="107"/>
      <c r="M75" s="107"/>
    </row>
    <row r="76" spans="2:15" s="105" customFormat="1" ht="13.5" thickBot="1">
      <c r="B76"/>
      <c r="C76"/>
      <c r="D76"/>
      <c r="E76"/>
      <c r="F76"/>
      <c r="G76"/>
      <c r="H76"/>
      <c r="I76" s="107"/>
      <c r="J76" s="644" t="s">
        <v>253</v>
      </c>
      <c r="K76" s="644"/>
      <c r="L76" s="644"/>
      <c r="M76" s="107"/>
    </row>
    <row r="77" spans="2:15" s="105" customFormat="1" ht="13.5" thickBot="1">
      <c r="B77"/>
      <c r="C77"/>
      <c r="D77"/>
      <c r="E77"/>
      <c r="F77"/>
      <c r="G77"/>
      <c r="H77"/>
      <c r="I77" s="107"/>
      <c r="J77" s="209" t="s">
        <v>134</v>
      </c>
      <c r="K77" s="209">
        <f>GETPIVOTDATA(" NO. UNIDADES",$B$7,"FINANCIAMIENTO CON","SEMINUEVOS","TIPO DE VENTA","PISO","PRIORIDAD DE PAGO","SEMINUEVO CONTI")</f>
        <v>19</v>
      </c>
      <c r="L77" s="254">
        <f>GETPIVOTDATA("IMPORTE A PAGAR.",$B$7,"FINANCIAMIENTO CON","SEMINUEVOS","PRIORIDAD DE PAGO","SEMINUEVO CONTI")</f>
        <v>4133758.63</v>
      </c>
      <c r="M77" s="107"/>
    </row>
    <row r="78" spans="2:15" s="105" customFormat="1" ht="13.5" thickBot="1">
      <c r="B78"/>
      <c r="C78"/>
      <c r="D78"/>
      <c r="E78"/>
      <c r="F78"/>
      <c r="G78"/>
      <c r="H78"/>
      <c r="I78" s="107"/>
      <c r="J78" s="207" t="s">
        <v>62</v>
      </c>
      <c r="K78" s="207">
        <f>SUM(K77:K77)</f>
        <v>19</v>
      </c>
      <c r="L78" s="208">
        <f>SUM(L77:L77)</f>
        <v>4133758.63</v>
      </c>
      <c r="M78" s="107"/>
    </row>
    <row r="79" spans="2:15" s="105" customFormat="1" ht="13.5" thickBot="1">
      <c r="B79"/>
      <c r="C79"/>
      <c r="D79"/>
      <c r="E79"/>
      <c r="F79"/>
      <c r="G79"/>
      <c r="H79"/>
      <c r="I79" s="107"/>
      <c r="J79" s="107"/>
      <c r="K79" s="107"/>
      <c r="L79" s="107"/>
      <c r="M79" s="107"/>
    </row>
    <row r="80" spans="2:15" s="105" customFormat="1" ht="13.5" thickBot="1">
      <c r="B80"/>
      <c r="C80"/>
      <c r="D80"/>
      <c r="E80"/>
      <c r="F80"/>
      <c r="G80"/>
      <c r="H80"/>
      <c r="I80" s="107"/>
      <c r="J80" s="632" t="s">
        <v>254</v>
      </c>
      <c r="K80" s="633"/>
      <c r="L80" s="255">
        <f>L70+L74</f>
        <v>847226.58000000007</v>
      </c>
      <c r="M80" s="107"/>
    </row>
    <row r="81" spans="2:13" s="105" customFormat="1" ht="13.5" thickBot="1">
      <c r="B81"/>
      <c r="C81"/>
      <c r="D81"/>
      <c r="E81"/>
      <c r="F81"/>
      <c r="G81"/>
      <c r="H81"/>
      <c r="I81" s="107"/>
      <c r="J81" s="634" t="s">
        <v>255</v>
      </c>
      <c r="K81" s="635"/>
      <c r="L81" s="256">
        <f>L78</f>
        <v>4133758.63</v>
      </c>
      <c r="M81" s="107"/>
    </row>
    <row r="82" spans="2:13" s="105" customFormat="1">
      <c r="B82"/>
      <c r="C82"/>
      <c r="D82"/>
      <c r="E82"/>
      <c r="F82"/>
      <c r="G82"/>
      <c r="H82"/>
      <c r="I82" s="107"/>
      <c r="J82" s="154"/>
      <c r="K82" s="154"/>
      <c r="L82" s="154"/>
      <c r="M82" s="107"/>
    </row>
    <row r="83" spans="2:13" s="105" customFormat="1">
      <c r="B83"/>
      <c r="C83"/>
      <c r="D83"/>
      <c r="E83"/>
      <c r="F83"/>
      <c r="G83"/>
      <c r="H83"/>
      <c r="I83" s="107"/>
      <c r="J83" s="154"/>
      <c r="K83" s="154"/>
      <c r="L83" s="154"/>
      <c r="M83" s="107"/>
    </row>
    <row r="84" spans="2:13">
      <c r="B84"/>
      <c r="C84"/>
      <c r="D84"/>
      <c r="E84"/>
      <c r="F84"/>
      <c r="G84"/>
      <c r="H84"/>
    </row>
    <row r="85" spans="2:13">
      <c r="B85"/>
      <c r="C85"/>
      <c r="D85"/>
      <c r="E85"/>
      <c r="F85"/>
      <c r="G85"/>
      <c r="H85"/>
    </row>
    <row r="86" spans="2:13">
      <c r="B86"/>
      <c r="C86"/>
      <c r="D86"/>
      <c r="E86"/>
      <c r="F86"/>
      <c r="G86"/>
      <c r="H86"/>
    </row>
    <row r="87" spans="2:13">
      <c r="B87"/>
      <c r="C87"/>
      <c r="D87"/>
      <c r="E87"/>
      <c r="F87"/>
      <c r="G87"/>
      <c r="H87"/>
    </row>
    <row r="88" spans="2:13">
      <c r="B88"/>
      <c r="C88"/>
      <c r="D88"/>
      <c r="E88"/>
      <c r="F88"/>
      <c r="G88"/>
      <c r="H88"/>
    </row>
    <row r="89" spans="2:13">
      <c r="B89"/>
      <c r="C89"/>
      <c r="D89"/>
      <c r="E89"/>
      <c r="F89"/>
      <c r="G89"/>
      <c r="H89"/>
    </row>
    <row r="90" spans="2:13">
      <c r="B90"/>
      <c r="C90"/>
      <c r="D90"/>
      <c r="E90"/>
      <c r="F90"/>
      <c r="G90"/>
      <c r="H90"/>
    </row>
    <row r="91" spans="2:13">
      <c r="B91"/>
      <c r="C91"/>
      <c r="D91"/>
      <c r="E91"/>
      <c r="F91"/>
      <c r="G91"/>
      <c r="H91"/>
    </row>
    <row r="92" spans="2:13">
      <c r="B92"/>
      <c r="C92"/>
      <c r="D92"/>
      <c r="E92"/>
      <c r="F92"/>
      <c r="G92"/>
      <c r="H92"/>
    </row>
    <row r="93" spans="2:13">
      <c r="B93"/>
      <c r="C93"/>
      <c r="D93"/>
      <c r="E93"/>
      <c r="F93"/>
      <c r="G93"/>
      <c r="H93"/>
    </row>
    <row r="94" spans="2:13">
      <c r="B94"/>
      <c r="C94"/>
      <c r="D94"/>
      <c r="E94"/>
      <c r="F94"/>
      <c r="G94"/>
      <c r="H94"/>
    </row>
    <row r="95" spans="2:13">
      <c r="B95"/>
      <c r="C95"/>
      <c r="D95"/>
      <c r="E95"/>
      <c r="F95"/>
      <c r="G95"/>
      <c r="H95"/>
    </row>
  </sheetData>
  <mergeCells count="14">
    <mergeCell ref="J31:L31"/>
    <mergeCell ref="J80:K80"/>
    <mergeCell ref="J81:K81"/>
    <mergeCell ref="J5:L5"/>
    <mergeCell ref="B6:H6"/>
    <mergeCell ref="J7:L7"/>
    <mergeCell ref="J19:L19"/>
    <mergeCell ref="J67:L67"/>
    <mergeCell ref="J72:L72"/>
    <mergeCell ref="J76:L76"/>
    <mergeCell ref="J59:L59"/>
    <mergeCell ref="J43:L43"/>
    <mergeCell ref="J51:L51"/>
    <mergeCell ref="K6:M6"/>
  </mergeCells>
  <pageMargins left="0.23622047244094491" right="0.23622047244094491" top="0.55118110236220474" bottom="0.55118110236220474" header="0.31496062992125984" footer="0.31496062992125984"/>
  <pageSetup scale="57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66"/>
    <pageSetUpPr fitToPage="1"/>
  </sheetPr>
  <dimension ref="A1:AM366"/>
  <sheetViews>
    <sheetView tabSelected="1" zoomScaleNormal="100" workbookViewId="0">
      <pane xSplit="4" ySplit="3" topLeftCell="E18" activePane="bottomRight" state="frozen"/>
      <selection activeCell="D3" sqref="D3"/>
      <selection pane="topRight" activeCell="D3" sqref="D3"/>
      <selection pane="bottomLeft" activeCell="D3" sqref="D3"/>
      <selection pane="bottomRight" activeCell="C20" sqref="C20"/>
    </sheetView>
  </sheetViews>
  <sheetFormatPr baseColWidth="10" defaultColWidth="6.7109375" defaultRowHeight="12"/>
  <cols>
    <col min="1" max="1" width="11.140625" style="282" customWidth="1"/>
    <col min="2" max="2" width="31.7109375" style="299" customWidth="1"/>
    <col min="3" max="3" width="18.85546875" style="278" customWidth="1"/>
    <col min="4" max="4" width="9.5703125" style="278" customWidth="1"/>
    <col min="5" max="5" width="13.85546875" style="388" customWidth="1"/>
    <col min="6" max="6" width="14.85546875" style="388" customWidth="1"/>
    <col min="7" max="7" width="9.140625" style="299" customWidth="1"/>
    <col min="8" max="8" width="12" style="299" customWidth="1"/>
    <col min="9" max="9" width="9.140625" style="385" customWidth="1"/>
    <col min="10" max="10" width="11.7109375" style="299" customWidth="1"/>
    <col min="11" max="11" width="10.42578125" style="282" customWidth="1"/>
    <col min="12" max="12" width="10.28515625" style="357" customWidth="1"/>
    <col min="13" max="13" width="9.140625" style="299" customWidth="1"/>
    <col min="14" max="14" width="10.7109375" style="282" customWidth="1"/>
    <col min="15" max="15" width="10.5703125" style="286" customWidth="1"/>
    <col min="16" max="16" width="12.42578125" style="286" customWidth="1"/>
    <col min="17" max="17" width="9.140625" style="282" customWidth="1"/>
    <col min="18" max="18" width="9.140625" style="288" customWidth="1"/>
    <col min="19" max="19" width="14.85546875" style="386" customWidth="1"/>
    <col min="20" max="20" width="43.5703125" style="294" customWidth="1"/>
    <col min="21" max="21" width="9.85546875" style="294" customWidth="1"/>
    <col min="22" max="22" width="12.28515625" style="282" customWidth="1"/>
    <col min="23" max="23" width="13.85546875" style="357" customWidth="1"/>
    <col min="24" max="24" width="13.7109375" style="282" customWidth="1"/>
    <col min="25" max="25" width="12.5703125" style="389" customWidth="1"/>
    <col min="26" max="26" width="13.28515625" style="309" customWidth="1"/>
    <col min="27" max="27" width="14.5703125" style="390" customWidth="1"/>
    <col min="28" max="28" width="13.42578125" style="294" customWidth="1"/>
    <col min="29" max="29" width="16" style="357" customWidth="1"/>
    <col min="30" max="30" width="12.28515625" style="282" customWidth="1"/>
    <col min="31" max="31" width="11" style="387" customWidth="1"/>
    <col min="32" max="32" width="16" style="299" customWidth="1"/>
    <col min="33" max="33" width="16.85546875" style="299" customWidth="1"/>
    <col min="34" max="34" width="12.42578125" style="479" customWidth="1"/>
    <col min="35" max="35" width="18.140625" style="299" customWidth="1"/>
    <col min="36" max="36" width="12.85546875" style="388" bestFit="1" customWidth="1"/>
    <col min="37" max="37" width="17.85546875" style="299" bestFit="1" customWidth="1"/>
    <col min="38" max="38" width="9" style="585" bestFit="1" customWidth="1"/>
    <col min="39" max="16384" width="6.7109375" style="270"/>
  </cols>
  <sheetData>
    <row r="1" spans="1:38" ht="15.75" customHeight="1">
      <c r="A1" s="460">
        <f ca="1">TODAY()</f>
        <v>43745</v>
      </c>
      <c r="B1" s="259"/>
      <c r="C1" s="260"/>
      <c r="D1" s="260"/>
      <c r="E1" s="493"/>
      <c r="F1" s="493"/>
      <c r="G1" s="259"/>
      <c r="H1" s="259"/>
      <c r="I1" s="259"/>
      <c r="J1" s="262"/>
      <c r="K1" s="258"/>
      <c r="L1" s="263"/>
      <c r="M1" s="264"/>
      <c r="N1" s="461"/>
      <c r="O1" s="264"/>
      <c r="P1" s="264"/>
      <c r="Q1" s="258">
        <f ca="1">+A1</f>
        <v>43745</v>
      </c>
      <c r="R1" s="265"/>
      <c r="S1" s="265"/>
      <c r="T1" s="259"/>
      <c r="U1" s="259"/>
      <c r="V1" s="258"/>
      <c r="W1" s="266"/>
      <c r="X1" s="258"/>
      <c r="Y1" s="267"/>
      <c r="Z1" s="268"/>
      <c r="AA1" s="269"/>
      <c r="AB1" s="269"/>
      <c r="AC1" s="266"/>
      <c r="AD1" s="258"/>
      <c r="AE1" s="259"/>
      <c r="AF1" s="259"/>
      <c r="AG1" s="259"/>
      <c r="AH1" s="476"/>
      <c r="AI1" s="259"/>
      <c r="AJ1" s="261"/>
      <c r="AK1" s="259"/>
    </row>
    <row r="2" spans="1:38" s="391" customFormat="1" ht="35.25" customHeight="1">
      <c r="A2" s="392" t="s">
        <v>2</v>
      </c>
      <c r="B2" s="393" t="s">
        <v>3</v>
      </c>
      <c r="C2" s="393" t="s">
        <v>4</v>
      </c>
      <c r="D2" s="393" t="s">
        <v>51</v>
      </c>
      <c r="E2" s="394" t="s">
        <v>5</v>
      </c>
      <c r="F2" s="394" t="s">
        <v>43</v>
      </c>
      <c r="G2" s="393" t="s">
        <v>6</v>
      </c>
      <c r="H2" s="393" t="s">
        <v>7</v>
      </c>
      <c r="I2" s="395" t="s">
        <v>8</v>
      </c>
      <c r="J2" s="395" t="s">
        <v>9</v>
      </c>
      <c r="K2" s="396" t="s">
        <v>10</v>
      </c>
      <c r="L2" s="397" t="s">
        <v>11</v>
      </c>
      <c r="M2" s="395" t="s">
        <v>12</v>
      </c>
      <c r="N2" s="396" t="s">
        <v>13</v>
      </c>
      <c r="O2" s="398" t="s">
        <v>14</v>
      </c>
      <c r="P2" s="398" t="s">
        <v>15</v>
      </c>
      <c r="Q2" s="392" t="s">
        <v>239</v>
      </c>
      <c r="R2" s="399" t="s">
        <v>86</v>
      </c>
      <c r="S2" s="399" t="s">
        <v>50</v>
      </c>
      <c r="T2" s="400" t="s">
        <v>18</v>
      </c>
      <c r="U2" s="400" t="s">
        <v>19</v>
      </c>
      <c r="V2" s="401" t="s">
        <v>20</v>
      </c>
      <c r="W2" s="402" t="s">
        <v>21</v>
      </c>
      <c r="X2" s="401" t="s">
        <v>22</v>
      </c>
      <c r="Y2" s="441" t="s">
        <v>23</v>
      </c>
      <c r="Z2" s="403" t="s">
        <v>24</v>
      </c>
      <c r="AA2" s="404" t="s">
        <v>25</v>
      </c>
      <c r="AB2" s="404" t="s">
        <v>46</v>
      </c>
      <c r="AC2" s="402" t="s">
        <v>26</v>
      </c>
      <c r="AD2" s="401" t="s">
        <v>27</v>
      </c>
      <c r="AE2" s="400" t="s">
        <v>28</v>
      </c>
      <c r="AF2" s="400" t="s">
        <v>42</v>
      </c>
      <c r="AG2" s="400" t="s">
        <v>47</v>
      </c>
      <c r="AH2" s="475" t="s">
        <v>472</v>
      </c>
      <c r="AI2" s="400" t="s">
        <v>29</v>
      </c>
      <c r="AJ2" s="404" t="s">
        <v>87</v>
      </c>
      <c r="AK2" s="400" t="s">
        <v>30</v>
      </c>
      <c r="AL2" s="586"/>
    </row>
    <row r="3" spans="1:38" s="440" customFormat="1" ht="32.25" customHeight="1">
      <c r="A3" s="433" t="s">
        <v>181</v>
      </c>
      <c r="B3" s="433"/>
      <c r="C3" s="433"/>
      <c r="D3" s="433" t="s">
        <v>181</v>
      </c>
      <c r="E3" s="434"/>
      <c r="F3" s="433"/>
      <c r="G3" s="435"/>
      <c r="H3" s="435"/>
      <c r="I3" s="433" t="s">
        <v>181</v>
      </c>
      <c r="J3" s="435"/>
      <c r="K3" s="436"/>
      <c r="L3" s="435"/>
      <c r="M3" s="435"/>
      <c r="N3" s="436"/>
      <c r="O3" s="435"/>
      <c r="P3" s="433" t="s">
        <v>181</v>
      </c>
      <c r="Q3" s="436"/>
      <c r="R3" s="433" t="s">
        <v>130</v>
      </c>
      <c r="S3" s="435"/>
      <c r="T3" s="433" t="s">
        <v>181</v>
      </c>
      <c r="U3" s="433" t="s">
        <v>181</v>
      </c>
      <c r="V3" s="435"/>
      <c r="W3" s="433"/>
      <c r="X3" s="433"/>
      <c r="Y3" s="435"/>
      <c r="Z3" s="437"/>
      <c r="AA3" s="433" t="s">
        <v>181</v>
      </c>
      <c r="AB3" s="435"/>
      <c r="AC3" s="435"/>
      <c r="AD3" s="433" t="s">
        <v>181</v>
      </c>
      <c r="AE3" s="435"/>
      <c r="AF3" s="435"/>
      <c r="AG3" s="433"/>
      <c r="AH3" s="477"/>
      <c r="AI3" s="438" t="s">
        <v>181</v>
      </c>
      <c r="AJ3" s="438"/>
      <c r="AK3" s="439"/>
      <c r="AL3" s="587"/>
    </row>
    <row r="4" spans="1:38" s="300" customFormat="1" ht="12" customHeight="1">
      <c r="A4" s="278" t="s">
        <v>446</v>
      </c>
      <c r="B4" s="278" t="s">
        <v>58</v>
      </c>
      <c r="C4" s="278" t="s">
        <v>449</v>
      </c>
      <c r="D4" s="260" t="str">
        <f t="shared" ref="D4:D9" si="0">+RIGHT(C4,8)</f>
        <v>KG557700</v>
      </c>
      <c r="E4" s="279">
        <v>518903.44</v>
      </c>
      <c r="F4" s="279">
        <v>518903.44</v>
      </c>
      <c r="G4" s="280" t="s">
        <v>158</v>
      </c>
      <c r="H4" s="278" t="s">
        <v>33</v>
      </c>
      <c r="I4" s="281" t="s">
        <v>79</v>
      </c>
      <c r="J4" s="278" t="s">
        <v>160</v>
      </c>
      <c r="K4" s="282" t="str">
        <f t="shared" ref="K4:K9" si="1">A4</f>
        <v>09/05/2019</v>
      </c>
      <c r="L4" s="283">
        <f t="shared" ref="L4:L9" si="2">K4+23</f>
        <v>43617</v>
      </c>
      <c r="M4" s="284">
        <f t="shared" ref="M4:M9" ca="1" si="3">$A$1-L4</f>
        <v>128</v>
      </c>
      <c r="N4" s="468">
        <f t="shared" ref="N4:N9" ca="1" si="4">+$A$1-A4</f>
        <v>151</v>
      </c>
      <c r="O4" s="282"/>
      <c r="P4" s="286">
        <f t="shared" ref="P4:P9" si="5">+F4</f>
        <v>518903.44</v>
      </c>
      <c r="Q4" s="287"/>
      <c r="R4" s="288"/>
      <c r="S4" s="287" t="s">
        <v>1334</v>
      </c>
      <c r="T4" s="287" t="s">
        <v>1335</v>
      </c>
      <c r="U4" s="325" t="s">
        <v>202</v>
      </c>
      <c r="V4" s="595">
        <v>43738</v>
      </c>
      <c r="W4" s="290"/>
      <c r="X4" s="290"/>
      <c r="Y4" s="326">
        <v>552000</v>
      </c>
      <c r="Z4" s="292"/>
      <c r="AA4" s="293">
        <f t="shared" ref="AA4" si="6">+Y4-Z4</f>
        <v>552000</v>
      </c>
      <c r="AB4" s="294"/>
      <c r="AC4" s="294"/>
      <c r="AD4" s="295"/>
      <c r="AE4" s="296"/>
      <c r="AF4" s="287" t="s">
        <v>65</v>
      </c>
      <c r="AG4" s="294" t="s">
        <v>48</v>
      </c>
      <c r="AH4" s="478"/>
      <c r="AI4" s="286" t="s">
        <v>918</v>
      </c>
      <c r="AJ4" s="297">
        <f>VLOOKUP(D4,[1]Hoja1!$G$6:$I$225,3,0)</f>
        <v>518903.44</v>
      </c>
      <c r="AK4" s="298">
        <f t="shared" ref="AK4:AK9" si="7">+AJ4-F4</f>
        <v>0</v>
      </c>
      <c r="AL4" s="588">
        <f t="shared" ref="AL4:AL11" ca="1" si="8">+$A$1-A4</f>
        <v>151</v>
      </c>
    </row>
    <row r="5" spans="1:38" s="300" customFormat="1" ht="12" customHeight="1">
      <c r="A5" s="278" t="s">
        <v>446</v>
      </c>
      <c r="B5" s="278" t="s">
        <v>58</v>
      </c>
      <c r="C5" s="278" t="s">
        <v>450</v>
      </c>
      <c r="D5" s="260" t="str">
        <f t="shared" si="0"/>
        <v>KG568874</v>
      </c>
      <c r="E5" s="279">
        <v>518903.44</v>
      </c>
      <c r="F5" s="279">
        <v>518903.44</v>
      </c>
      <c r="G5" s="280" t="s">
        <v>158</v>
      </c>
      <c r="H5" s="278" t="s">
        <v>33</v>
      </c>
      <c r="I5" s="281" t="s">
        <v>79</v>
      </c>
      <c r="J5" s="278" t="s">
        <v>160</v>
      </c>
      <c r="K5" s="282" t="str">
        <f t="shared" si="1"/>
        <v>09/05/2019</v>
      </c>
      <c r="L5" s="283">
        <f t="shared" si="2"/>
        <v>43617</v>
      </c>
      <c r="M5" s="284">
        <f t="shared" ca="1" si="3"/>
        <v>128</v>
      </c>
      <c r="N5" s="468">
        <f t="shared" ca="1" si="4"/>
        <v>151</v>
      </c>
      <c r="O5" s="282"/>
      <c r="P5" s="286">
        <f t="shared" si="5"/>
        <v>518903.44</v>
      </c>
      <c r="Q5" s="287"/>
      <c r="R5" s="288"/>
      <c r="S5" s="287" t="s">
        <v>1336</v>
      </c>
      <c r="T5" s="287" t="s">
        <v>1335</v>
      </c>
      <c r="U5" s="325" t="s">
        <v>202</v>
      </c>
      <c r="V5" s="595">
        <v>43738</v>
      </c>
      <c r="W5" s="290"/>
      <c r="X5" s="290"/>
      <c r="Y5" s="326">
        <v>552000</v>
      </c>
      <c r="Z5" s="292"/>
      <c r="AA5" s="293">
        <f>+Y5-Z5</f>
        <v>552000</v>
      </c>
      <c r="AB5" s="294"/>
      <c r="AC5" s="294"/>
      <c r="AD5" s="295"/>
      <c r="AE5" s="296"/>
      <c r="AF5" s="287" t="s">
        <v>65</v>
      </c>
      <c r="AG5" s="294" t="s">
        <v>48</v>
      </c>
      <c r="AH5" s="478"/>
      <c r="AI5" s="286" t="s">
        <v>918</v>
      </c>
      <c r="AJ5" s="297">
        <f>VLOOKUP(D5,[1]Hoja1!$G$6:$I$225,3,0)</f>
        <v>518903.44</v>
      </c>
      <c r="AK5" s="298">
        <f t="shared" si="7"/>
        <v>0</v>
      </c>
      <c r="AL5" s="588">
        <f t="shared" ca="1" si="8"/>
        <v>151</v>
      </c>
    </row>
    <row r="6" spans="1:38" s="300" customFormat="1" ht="12" customHeight="1">
      <c r="A6" s="278" t="s">
        <v>447</v>
      </c>
      <c r="B6" s="278" t="s">
        <v>58</v>
      </c>
      <c r="C6" s="278" t="s">
        <v>451</v>
      </c>
      <c r="D6" s="260" t="str">
        <f t="shared" si="0"/>
        <v>KG557703</v>
      </c>
      <c r="E6" s="279">
        <v>518903.44</v>
      </c>
      <c r="F6" s="279">
        <v>518903.44</v>
      </c>
      <c r="G6" s="280" t="s">
        <v>158</v>
      </c>
      <c r="H6" s="278" t="s">
        <v>33</v>
      </c>
      <c r="I6" s="281" t="s">
        <v>79</v>
      </c>
      <c r="J6" s="278" t="s">
        <v>160</v>
      </c>
      <c r="K6" s="282" t="str">
        <f t="shared" si="1"/>
        <v>11/05/2019</v>
      </c>
      <c r="L6" s="283">
        <f t="shared" si="2"/>
        <v>43619</v>
      </c>
      <c r="M6" s="284">
        <f t="shared" ca="1" si="3"/>
        <v>126</v>
      </c>
      <c r="N6" s="468">
        <f t="shared" ca="1" si="4"/>
        <v>149</v>
      </c>
      <c r="O6" s="282"/>
      <c r="P6" s="286">
        <f t="shared" si="5"/>
        <v>518903.44</v>
      </c>
      <c r="Q6" s="287"/>
      <c r="R6" s="288"/>
      <c r="S6" s="287" t="s">
        <v>1337</v>
      </c>
      <c r="T6" s="287" t="s">
        <v>1335</v>
      </c>
      <c r="U6" s="325" t="s">
        <v>202</v>
      </c>
      <c r="V6" s="595">
        <v>43738</v>
      </c>
      <c r="W6" s="290"/>
      <c r="X6" s="290"/>
      <c r="Y6" s="326">
        <v>552000</v>
      </c>
      <c r="Z6" s="292"/>
      <c r="AA6" s="293">
        <f>+Y6-Z6</f>
        <v>552000</v>
      </c>
      <c r="AB6" s="294"/>
      <c r="AC6" s="294"/>
      <c r="AD6" s="295"/>
      <c r="AE6" s="296"/>
      <c r="AF6" s="287" t="s">
        <v>65</v>
      </c>
      <c r="AG6" s="294" t="s">
        <v>48</v>
      </c>
      <c r="AH6" s="478"/>
      <c r="AI6" s="286" t="s">
        <v>918</v>
      </c>
      <c r="AJ6" s="297">
        <f>VLOOKUP(D6,[1]Hoja1!$G$6:$I$225,3,0)</f>
        <v>518903.44</v>
      </c>
      <c r="AK6" s="298">
        <f t="shared" si="7"/>
        <v>0</v>
      </c>
      <c r="AL6" s="588">
        <f t="shared" ca="1" si="8"/>
        <v>149</v>
      </c>
    </row>
    <row r="7" spans="1:38" s="300" customFormat="1" ht="12" customHeight="1">
      <c r="A7" s="278" t="s">
        <v>454</v>
      </c>
      <c r="B7" s="278" t="s">
        <v>58</v>
      </c>
      <c r="C7" s="278" t="s">
        <v>455</v>
      </c>
      <c r="D7" s="260" t="str">
        <f t="shared" si="0"/>
        <v>KG557701</v>
      </c>
      <c r="E7" s="279">
        <v>518903.44</v>
      </c>
      <c r="F7" s="279">
        <v>518903.44</v>
      </c>
      <c r="G7" s="280" t="s">
        <v>158</v>
      </c>
      <c r="H7" s="278" t="s">
        <v>33</v>
      </c>
      <c r="I7" s="281" t="s">
        <v>80</v>
      </c>
      <c r="J7" s="278" t="s">
        <v>160</v>
      </c>
      <c r="K7" s="282" t="str">
        <f t="shared" si="1"/>
        <v>14/05/2019</v>
      </c>
      <c r="L7" s="283">
        <f t="shared" si="2"/>
        <v>43622</v>
      </c>
      <c r="M7" s="284">
        <f t="shared" ca="1" si="3"/>
        <v>123</v>
      </c>
      <c r="N7" s="468">
        <f t="shared" ca="1" si="4"/>
        <v>146</v>
      </c>
      <c r="O7" s="282"/>
      <c r="P7" s="286">
        <f t="shared" si="5"/>
        <v>518903.44</v>
      </c>
      <c r="Q7" s="287"/>
      <c r="R7" s="288"/>
      <c r="S7" s="287" t="s">
        <v>1338</v>
      </c>
      <c r="T7" s="287" t="s">
        <v>1335</v>
      </c>
      <c r="U7" s="325" t="s">
        <v>202</v>
      </c>
      <c r="V7" s="595">
        <v>43738</v>
      </c>
      <c r="W7" s="290"/>
      <c r="X7" s="290"/>
      <c r="Y7" s="326">
        <v>552000</v>
      </c>
      <c r="Z7" s="292"/>
      <c r="AA7" s="293">
        <f>+Y7-Z7</f>
        <v>552000</v>
      </c>
      <c r="AB7" s="294"/>
      <c r="AC7" s="294"/>
      <c r="AD7" s="295"/>
      <c r="AE7" s="296"/>
      <c r="AF7" s="287" t="s">
        <v>65</v>
      </c>
      <c r="AG7" s="294" t="s">
        <v>48</v>
      </c>
      <c r="AH7" s="478"/>
      <c r="AI7" s="286" t="s">
        <v>918</v>
      </c>
      <c r="AJ7" s="297">
        <f>VLOOKUP(D7,[1]Hoja1!$G$6:$I$225,3,0)</f>
        <v>518903.44</v>
      </c>
      <c r="AK7" s="298">
        <f t="shared" si="7"/>
        <v>0</v>
      </c>
      <c r="AL7" s="588">
        <f t="shared" ca="1" si="8"/>
        <v>146</v>
      </c>
    </row>
    <row r="8" spans="1:38" s="300" customFormat="1" ht="12" customHeight="1">
      <c r="A8" s="278" t="s">
        <v>454</v>
      </c>
      <c r="B8" s="278" t="s">
        <v>58</v>
      </c>
      <c r="C8" s="278" t="s">
        <v>456</v>
      </c>
      <c r="D8" s="260" t="str">
        <f t="shared" si="0"/>
        <v>KG557702</v>
      </c>
      <c r="E8" s="279">
        <v>518903.44</v>
      </c>
      <c r="F8" s="279">
        <v>518903.44</v>
      </c>
      <c r="G8" s="280" t="s">
        <v>158</v>
      </c>
      <c r="H8" s="278" t="s">
        <v>33</v>
      </c>
      <c r="I8" s="281" t="s">
        <v>79</v>
      </c>
      <c r="J8" s="278" t="s">
        <v>160</v>
      </c>
      <c r="K8" s="282" t="str">
        <f t="shared" si="1"/>
        <v>14/05/2019</v>
      </c>
      <c r="L8" s="283">
        <f t="shared" si="2"/>
        <v>43622</v>
      </c>
      <c r="M8" s="284">
        <f t="shared" ca="1" si="3"/>
        <v>123</v>
      </c>
      <c r="N8" s="468">
        <f t="shared" ca="1" si="4"/>
        <v>146</v>
      </c>
      <c r="O8" s="282"/>
      <c r="P8" s="286">
        <f t="shared" si="5"/>
        <v>518903.44</v>
      </c>
      <c r="Q8" s="287"/>
      <c r="R8" s="288"/>
      <c r="S8" s="287" t="s">
        <v>1339</v>
      </c>
      <c r="T8" s="287" t="s">
        <v>1335</v>
      </c>
      <c r="U8" s="325" t="s">
        <v>202</v>
      </c>
      <c r="V8" s="595">
        <v>43738</v>
      </c>
      <c r="W8" s="290"/>
      <c r="X8" s="290"/>
      <c r="Y8" s="326">
        <v>552000</v>
      </c>
      <c r="Z8" s="292"/>
      <c r="AA8" s="293">
        <f>+Y8-Z8</f>
        <v>552000</v>
      </c>
      <c r="AB8" s="294"/>
      <c r="AC8" s="294"/>
      <c r="AD8" s="295"/>
      <c r="AE8" s="296"/>
      <c r="AF8" s="287" t="s">
        <v>65</v>
      </c>
      <c r="AG8" s="294" t="s">
        <v>48</v>
      </c>
      <c r="AH8" s="478"/>
      <c r="AI8" s="286" t="s">
        <v>918</v>
      </c>
      <c r="AJ8" s="297">
        <f>VLOOKUP(D8,[1]Hoja1!$G$6:$I$225,3,0)</f>
        <v>518903.44</v>
      </c>
      <c r="AK8" s="298">
        <f t="shared" si="7"/>
        <v>0</v>
      </c>
      <c r="AL8" s="588">
        <f t="shared" ca="1" si="8"/>
        <v>146</v>
      </c>
    </row>
    <row r="9" spans="1:38" s="300" customFormat="1" ht="12" customHeight="1">
      <c r="A9" s="278" t="s">
        <v>471</v>
      </c>
      <c r="B9" s="278" t="s">
        <v>58</v>
      </c>
      <c r="C9" s="278" t="s">
        <v>477</v>
      </c>
      <c r="D9" s="260" t="str">
        <f t="shared" si="0"/>
        <v>KG561566</v>
      </c>
      <c r="E9" s="279">
        <v>518903.44</v>
      </c>
      <c r="F9" s="279">
        <v>518903.44</v>
      </c>
      <c r="G9" s="280" t="s">
        <v>158</v>
      </c>
      <c r="H9" s="278" t="s">
        <v>33</v>
      </c>
      <c r="I9" s="281" t="s">
        <v>55</v>
      </c>
      <c r="J9" s="278" t="s">
        <v>160</v>
      </c>
      <c r="K9" s="282" t="str">
        <f t="shared" si="1"/>
        <v>29/05/2019</v>
      </c>
      <c r="L9" s="283">
        <f t="shared" si="2"/>
        <v>43637</v>
      </c>
      <c r="M9" s="284">
        <f t="shared" ca="1" si="3"/>
        <v>108</v>
      </c>
      <c r="N9" s="468">
        <f t="shared" ca="1" si="4"/>
        <v>131</v>
      </c>
      <c r="O9" s="282"/>
      <c r="P9" s="286">
        <f t="shared" si="5"/>
        <v>518903.44</v>
      </c>
      <c r="Q9" s="287"/>
      <c r="R9" s="288"/>
      <c r="S9" s="287" t="s">
        <v>1340</v>
      </c>
      <c r="T9" s="287" t="s">
        <v>1335</v>
      </c>
      <c r="U9" s="325" t="s">
        <v>202</v>
      </c>
      <c r="V9" s="595">
        <v>43738</v>
      </c>
      <c r="W9" s="290"/>
      <c r="X9" s="290"/>
      <c r="Y9" s="326">
        <v>552000</v>
      </c>
      <c r="Z9" s="292"/>
      <c r="AA9" s="293">
        <f>+Y9-Z9</f>
        <v>552000</v>
      </c>
      <c r="AB9" s="294"/>
      <c r="AC9" s="294"/>
      <c r="AD9" s="295"/>
      <c r="AE9" s="296"/>
      <c r="AF9" s="287" t="s">
        <v>65</v>
      </c>
      <c r="AG9" s="294" t="s">
        <v>48</v>
      </c>
      <c r="AH9" s="478"/>
      <c r="AI9" s="286" t="s">
        <v>918</v>
      </c>
      <c r="AJ9" s="297">
        <f>VLOOKUP(D9,[1]Hoja1!$G$6:$I$225,3,0)</f>
        <v>518903.44</v>
      </c>
      <c r="AK9" s="298">
        <f t="shared" si="7"/>
        <v>0</v>
      </c>
      <c r="AL9" s="588">
        <f t="shared" ca="1" si="8"/>
        <v>131</v>
      </c>
    </row>
    <row r="10" spans="1:38" s="300" customFormat="1" ht="12" customHeight="1">
      <c r="A10" s="305" t="s">
        <v>571</v>
      </c>
      <c r="B10" s="305" t="s">
        <v>489</v>
      </c>
      <c r="C10" s="305" t="s">
        <v>572</v>
      </c>
      <c r="D10" s="260" t="str">
        <f t="shared" ref="D10:D11" si="9">+RIGHT(C10,8)</f>
        <v>KG603124</v>
      </c>
      <c r="E10" s="279">
        <v>671255.17</v>
      </c>
      <c r="F10" s="279">
        <v>671255.17</v>
      </c>
      <c r="G10" s="280" t="s">
        <v>158</v>
      </c>
      <c r="H10" s="278" t="s">
        <v>33</v>
      </c>
      <c r="I10" s="281"/>
      <c r="J10" s="278" t="s">
        <v>160</v>
      </c>
      <c r="K10" s="282" t="str">
        <f t="shared" ref="K10:K11" si="10">A10</f>
        <v>19/06/2019</v>
      </c>
      <c r="L10" s="283">
        <f t="shared" ref="L10:L11" si="11">K10+23</f>
        <v>43658</v>
      </c>
      <c r="M10" s="284">
        <f t="shared" ref="M10:M11" ca="1" si="12">$A$1-L10</f>
        <v>87</v>
      </c>
      <c r="N10" s="468">
        <f t="shared" ref="N10:N11" ca="1" si="13">+$A$1-A10</f>
        <v>110</v>
      </c>
      <c r="O10" s="282"/>
      <c r="P10" s="286">
        <f t="shared" ref="P10:P11" si="14">+F10</f>
        <v>671255.17</v>
      </c>
      <c r="Q10" s="287"/>
      <c r="R10" s="288"/>
      <c r="S10" s="287"/>
      <c r="T10" s="287"/>
      <c r="U10" s="287" t="s">
        <v>52</v>
      </c>
      <c r="V10" s="502"/>
      <c r="W10" s="290"/>
      <c r="X10" s="290"/>
      <c r="Y10" s="326"/>
      <c r="Z10" s="292"/>
      <c r="AA10" s="293">
        <f t="shared" ref="AA10:AA11" si="15">+Y10-Z10</f>
        <v>0</v>
      </c>
      <c r="AB10" s="294"/>
      <c r="AC10" s="294"/>
      <c r="AD10" s="295"/>
      <c r="AE10" s="296"/>
      <c r="AF10" s="287"/>
      <c r="AG10" s="294" t="s">
        <v>48</v>
      </c>
      <c r="AH10" s="478"/>
      <c r="AI10" s="286" t="s">
        <v>918</v>
      </c>
      <c r="AJ10" s="297">
        <f>VLOOKUP(D10,[1]Hoja1!$G$6:$I$225,3,0)</f>
        <v>671255.17</v>
      </c>
      <c r="AK10" s="298">
        <f t="shared" ref="AK10:AK11" si="16">+AJ10-F10</f>
        <v>0</v>
      </c>
      <c r="AL10" s="588">
        <f t="shared" ca="1" si="8"/>
        <v>110</v>
      </c>
    </row>
    <row r="11" spans="1:38" s="300" customFormat="1" ht="12" customHeight="1">
      <c r="A11" s="305" t="s">
        <v>571</v>
      </c>
      <c r="B11" s="305" t="s">
        <v>489</v>
      </c>
      <c r="C11" s="305" t="s">
        <v>573</v>
      </c>
      <c r="D11" s="260" t="str">
        <f t="shared" si="9"/>
        <v>KG603125</v>
      </c>
      <c r="E11" s="279">
        <v>671255.17</v>
      </c>
      <c r="F11" s="279">
        <v>671255.17</v>
      </c>
      <c r="G11" s="280" t="s">
        <v>158</v>
      </c>
      <c r="H11" s="278" t="s">
        <v>33</v>
      </c>
      <c r="I11" s="281"/>
      <c r="J11" s="278" t="s">
        <v>160</v>
      </c>
      <c r="K11" s="282" t="str">
        <f t="shared" si="10"/>
        <v>19/06/2019</v>
      </c>
      <c r="L11" s="283">
        <f t="shared" si="11"/>
        <v>43658</v>
      </c>
      <c r="M11" s="284">
        <f t="shared" ca="1" si="12"/>
        <v>87</v>
      </c>
      <c r="N11" s="468">
        <f t="shared" ca="1" si="13"/>
        <v>110</v>
      </c>
      <c r="O11" s="282"/>
      <c r="P11" s="286">
        <f t="shared" si="14"/>
        <v>671255.17</v>
      </c>
      <c r="Q11" s="287"/>
      <c r="R11" s="288"/>
      <c r="S11" s="287"/>
      <c r="T11" s="287"/>
      <c r="U11" s="287" t="s">
        <v>52</v>
      </c>
      <c r="V11" s="502"/>
      <c r="W11" s="290"/>
      <c r="X11" s="290"/>
      <c r="Y11" s="326"/>
      <c r="Z11" s="292"/>
      <c r="AA11" s="293">
        <f t="shared" si="15"/>
        <v>0</v>
      </c>
      <c r="AB11" s="294"/>
      <c r="AC11" s="294"/>
      <c r="AD11" s="295"/>
      <c r="AE11" s="296"/>
      <c r="AF11" s="287"/>
      <c r="AG11" s="294" t="s">
        <v>48</v>
      </c>
      <c r="AH11" s="478"/>
      <c r="AI11" s="286" t="s">
        <v>918</v>
      </c>
      <c r="AJ11" s="297">
        <f>VLOOKUP(D11,[1]Hoja1!$G$6:$I$225,3,0)</f>
        <v>671255.17</v>
      </c>
      <c r="AK11" s="298">
        <f t="shared" si="16"/>
        <v>0</v>
      </c>
      <c r="AL11" s="588">
        <f t="shared" ca="1" si="8"/>
        <v>110</v>
      </c>
    </row>
    <row r="12" spans="1:38" s="300" customFormat="1" ht="12" customHeight="1">
      <c r="A12" s="278" t="s">
        <v>678</v>
      </c>
      <c r="B12" s="278" t="s">
        <v>58</v>
      </c>
      <c r="C12" s="278" t="s">
        <v>681</v>
      </c>
      <c r="D12" s="260" t="str">
        <f t="shared" ref="D12:D17" si="17">+RIGHT(C12,8)</f>
        <v>KG575792</v>
      </c>
      <c r="E12" s="279">
        <v>509107.35</v>
      </c>
      <c r="F12" s="279">
        <v>509107.35</v>
      </c>
      <c r="G12" s="280" t="s">
        <v>158</v>
      </c>
      <c r="H12" s="278" t="s">
        <v>33</v>
      </c>
      <c r="I12" s="281" t="s">
        <v>80</v>
      </c>
      <c r="J12" s="278" t="s">
        <v>160</v>
      </c>
      <c r="K12" s="282" t="str">
        <f t="shared" ref="K12:K17" si="18">A12</f>
        <v>16/07/2019</v>
      </c>
      <c r="L12" s="283">
        <f t="shared" ref="L12:L17" si="19">K12+23</f>
        <v>43685</v>
      </c>
      <c r="M12" s="284">
        <f t="shared" ref="M12:M17" ca="1" si="20">$A$1-L12</f>
        <v>60</v>
      </c>
      <c r="N12" s="468">
        <f t="shared" ref="N12:N17" ca="1" si="21">+$A$1-A12</f>
        <v>83</v>
      </c>
      <c r="O12" s="282"/>
      <c r="P12" s="286">
        <f t="shared" ref="P12:P17" si="22">+F12</f>
        <v>509107.35</v>
      </c>
      <c r="Q12" s="287"/>
      <c r="R12" s="288"/>
      <c r="S12" s="287"/>
      <c r="T12" s="287"/>
      <c r="U12" s="287" t="s">
        <v>52</v>
      </c>
      <c r="V12" s="502"/>
      <c r="W12" s="290"/>
      <c r="X12" s="290"/>
      <c r="Y12" s="326"/>
      <c r="Z12" s="292"/>
      <c r="AA12" s="293">
        <f t="shared" ref="AA12:AA17" si="23">+Y12-Z12</f>
        <v>0</v>
      </c>
      <c r="AB12" s="294"/>
      <c r="AC12" s="294"/>
      <c r="AD12" s="295"/>
      <c r="AE12" s="296"/>
      <c r="AF12" s="287"/>
      <c r="AG12" s="294" t="s">
        <v>48</v>
      </c>
      <c r="AH12" s="478"/>
      <c r="AI12" s="286" t="s">
        <v>918</v>
      </c>
      <c r="AJ12" s="297">
        <f>VLOOKUP(D12,[1]Hoja1!$G$6:$I$225,3,0)</f>
        <v>509107.35</v>
      </c>
      <c r="AK12" s="298">
        <f t="shared" ref="AK12:AK17" si="24">+AJ12-F12</f>
        <v>0</v>
      </c>
      <c r="AL12" s="588">
        <f t="shared" ref="AL12:AL20" ca="1" si="25">+$A$1-A12</f>
        <v>83</v>
      </c>
    </row>
    <row r="13" spans="1:38" s="300" customFormat="1" ht="12" customHeight="1">
      <c r="A13" s="278" t="s">
        <v>798</v>
      </c>
      <c r="B13" s="278" t="s">
        <v>58</v>
      </c>
      <c r="C13" s="278" t="s">
        <v>799</v>
      </c>
      <c r="D13" s="260" t="str">
        <f t="shared" si="17"/>
        <v>KG575791</v>
      </c>
      <c r="E13" s="279">
        <v>509107.35</v>
      </c>
      <c r="F13" s="279">
        <v>509107.35</v>
      </c>
      <c r="G13" s="280" t="s">
        <v>158</v>
      </c>
      <c r="H13" s="278" t="s">
        <v>33</v>
      </c>
      <c r="I13" s="281" t="s">
        <v>55</v>
      </c>
      <c r="J13" s="278" t="s">
        <v>160</v>
      </c>
      <c r="K13" s="282" t="str">
        <f t="shared" si="18"/>
        <v>03/08/2019</v>
      </c>
      <c r="L13" s="283">
        <f t="shared" si="19"/>
        <v>43703</v>
      </c>
      <c r="M13" s="284">
        <f t="shared" ca="1" si="20"/>
        <v>42</v>
      </c>
      <c r="N13" s="468">
        <f t="shared" ca="1" si="21"/>
        <v>65</v>
      </c>
      <c r="O13" s="282"/>
      <c r="P13" s="286">
        <f t="shared" si="22"/>
        <v>509107.35</v>
      </c>
      <c r="Q13" s="287"/>
      <c r="R13" s="288"/>
      <c r="S13" s="287"/>
      <c r="T13" s="287"/>
      <c r="U13" s="287" t="s">
        <v>52</v>
      </c>
      <c r="V13" s="502"/>
      <c r="W13" s="290"/>
      <c r="X13" s="290"/>
      <c r="Y13" s="326"/>
      <c r="Z13" s="292"/>
      <c r="AA13" s="293">
        <f t="shared" si="23"/>
        <v>0</v>
      </c>
      <c r="AB13" s="294"/>
      <c r="AC13" s="294"/>
      <c r="AD13" s="295"/>
      <c r="AE13" s="296"/>
      <c r="AF13" s="287"/>
      <c r="AG13" s="294" t="s">
        <v>48</v>
      </c>
      <c r="AH13" s="478"/>
      <c r="AI13" s="286" t="s">
        <v>918</v>
      </c>
      <c r="AJ13" s="297">
        <f>VLOOKUP(D13,[1]Hoja1!$G$6:$I$225,3,0)</f>
        <v>509107.35</v>
      </c>
      <c r="AK13" s="298">
        <f t="shared" si="24"/>
        <v>0</v>
      </c>
      <c r="AL13" s="588">
        <f t="shared" ca="1" si="25"/>
        <v>65</v>
      </c>
    </row>
    <row r="14" spans="1:38" s="300" customFormat="1" ht="12" customHeight="1">
      <c r="A14" s="278" t="s">
        <v>805</v>
      </c>
      <c r="B14" s="278" t="s">
        <v>58</v>
      </c>
      <c r="C14" s="278" t="s">
        <v>806</v>
      </c>
      <c r="D14" s="260" t="str">
        <f t="shared" si="17"/>
        <v>KG575788</v>
      </c>
      <c r="E14" s="279">
        <v>509107.35</v>
      </c>
      <c r="F14" s="279">
        <v>509107.35</v>
      </c>
      <c r="G14" s="280" t="s">
        <v>158</v>
      </c>
      <c r="H14" s="278" t="s">
        <v>33</v>
      </c>
      <c r="I14" s="281" t="s">
        <v>80</v>
      </c>
      <c r="J14" s="278" t="s">
        <v>160</v>
      </c>
      <c r="K14" s="282" t="str">
        <f t="shared" si="18"/>
        <v>07/08/2019</v>
      </c>
      <c r="L14" s="283">
        <f t="shared" si="19"/>
        <v>43707</v>
      </c>
      <c r="M14" s="284">
        <f t="shared" ca="1" si="20"/>
        <v>38</v>
      </c>
      <c r="N14" s="468">
        <f t="shared" ca="1" si="21"/>
        <v>61</v>
      </c>
      <c r="O14" s="282"/>
      <c r="P14" s="286">
        <f t="shared" si="22"/>
        <v>509107.35</v>
      </c>
      <c r="Q14" s="287"/>
      <c r="R14" s="288"/>
      <c r="S14" s="287"/>
      <c r="T14" s="287"/>
      <c r="U14" s="287" t="s">
        <v>52</v>
      </c>
      <c r="V14" s="502"/>
      <c r="W14" s="290"/>
      <c r="X14" s="290"/>
      <c r="Y14" s="326"/>
      <c r="Z14" s="292"/>
      <c r="AA14" s="293">
        <f t="shared" si="23"/>
        <v>0</v>
      </c>
      <c r="AB14" s="294"/>
      <c r="AC14" s="294"/>
      <c r="AD14" s="295"/>
      <c r="AE14" s="296"/>
      <c r="AF14" s="287"/>
      <c r="AG14" s="294" t="s">
        <v>48</v>
      </c>
      <c r="AH14" s="478"/>
      <c r="AI14" s="286" t="s">
        <v>918</v>
      </c>
      <c r="AJ14" s="297">
        <f>VLOOKUP(D14,[1]Hoja1!$G$6:$I$225,3,0)</f>
        <v>509107.35</v>
      </c>
      <c r="AK14" s="298">
        <f t="shared" si="24"/>
        <v>0</v>
      </c>
      <c r="AL14" s="588">
        <f t="shared" ca="1" si="25"/>
        <v>61</v>
      </c>
    </row>
    <row r="15" spans="1:38" s="300" customFormat="1" ht="12" customHeight="1">
      <c r="A15" s="278" t="s">
        <v>805</v>
      </c>
      <c r="B15" s="278" t="s">
        <v>58</v>
      </c>
      <c r="C15" s="278" t="s">
        <v>807</v>
      </c>
      <c r="D15" s="260" t="str">
        <f t="shared" si="17"/>
        <v>KG575795</v>
      </c>
      <c r="E15" s="279">
        <v>509107.35</v>
      </c>
      <c r="F15" s="279">
        <v>509107.35</v>
      </c>
      <c r="G15" s="280" t="s">
        <v>158</v>
      </c>
      <c r="H15" s="278" t="s">
        <v>33</v>
      </c>
      <c r="I15" s="281" t="s">
        <v>55</v>
      </c>
      <c r="J15" s="278" t="s">
        <v>160</v>
      </c>
      <c r="K15" s="282" t="str">
        <f t="shared" si="18"/>
        <v>07/08/2019</v>
      </c>
      <c r="L15" s="283">
        <f t="shared" si="19"/>
        <v>43707</v>
      </c>
      <c r="M15" s="284">
        <f t="shared" ca="1" si="20"/>
        <v>38</v>
      </c>
      <c r="N15" s="468">
        <f t="shared" ca="1" si="21"/>
        <v>61</v>
      </c>
      <c r="O15" s="282"/>
      <c r="P15" s="286">
        <f t="shared" si="22"/>
        <v>509107.35</v>
      </c>
      <c r="Q15" s="287"/>
      <c r="R15" s="288"/>
      <c r="S15" s="287"/>
      <c r="T15" s="287"/>
      <c r="U15" s="287" t="s">
        <v>52</v>
      </c>
      <c r="V15" s="502"/>
      <c r="W15" s="290"/>
      <c r="X15" s="290"/>
      <c r="Y15" s="326"/>
      <c r="Z15" s="292"/>
      <c r="AA15" s="293">
        <f t="shared" si="23"/>
        <v>0</v>
      </c>
      <c r="AB15" s="294"/>
      <c r="AC15" s="294"/>
      <c r="AD15" s="295"/>
      <c r="AE15" s="296"/>
      <c r="AF15" s="287"/>
      <c r="AG15" s="294" t="s">
        <v>48</v>
      </c>
      <c r="AH15" s="478"/>
      <c r="AI15" s="286" t="s">
        <v>918</v>
      </c>
      <c r="AJ15" s="297">
        <f>VLOOKUP(D15,[1]Hoja1!$G$6:$I$225,3,0)</f>
        <v>509107.35</v>
      </c>
      <c r="AK15" s="298">
        <f t="shared" si="24"/>
        <v>0</v>
      </c>
      <c r="AL15" s="588">
        <f t="shared" ca="1" si="25"/>
        <v>61</v>
      </c>
    </row>
    <row r="16" spans="1:38" s="300" customFormat="1" ht="12" customHeight="1">
      <c r="A16" s="278" t="s">
        <v>805</v>
      </c>
      <c r="B16" s="278" t="s">
        <v>58</v>
      </c>
      <c r="C16" s="278" t="s">
        <v>808</v>
      </c>
      <c r="D16" s="260" t="str">
        <f t="shared" si="17"/>
        <v>KG575796</v>
      </c>
      <c r="E16" s="279">
        <v>524706.86</v>
      </c>
      <c r="F16" s="279">
        <v>524706.86</v>
      </c>
      <c r="G16" s="280" t="s">
        <v>158</v>
      </c>
      <c r="H16" s="278" t="s">
        <v>33</v>
      </c>
      <c r="I16" s="281" t="s">
        <v>80</v>
      </c>
      <c r="J16" s="278" t="s">
        <v>160</v>
      </c>
      <c r="K16" s="282" t="str">
        <f t="shared" si="18"/>
        <v>07/08/2019</v>
      </c>
      <c r="L16" s="283">
        <f t="shared" si="19"/>
        <v>43707</v>
      </c>
      <c r="M16" s="284">
        <f t="shared" ca="1" si="20"/>
        <v>38</v>
      </c>
      <c r="N16" s="468">
        <f t="shared" ca="1" si="21"/>
        <v>61</v>
      </c>
      <c r="O16" s="282"/>
      <c r="P16" s="286">
        <f t="shared" si="22"/>
        <v>524706.86</v>
      </c>
      <c r="Q16" s="287"/>
      <c r="R16" s="288"/>
      <c r="S16" s="287" t="s">
        <v>1341</v>
      </c>
      <c r="T16" s="287" t="s">
        <v>1335</v>
      </c>
      <c r="U16" s="287" t="s">
        <v>1342</v>
      </c>
      <c r="V16" s="502">
        <v>43738</v>
      </c>
      <c r="W16" s="290"/>
      <c r="X16" s="290"/>
      <c r="Y16" s="326">
        <v>552000</v>
      </c>
      <c r="Z16" s="292"/>
      <c r="AA16" s="293">
        <f t="shared" si="23"/>
        <v>552000</v>
      </c>
      <c r="AB16" s="294"/>
      <c r="AC16" s="294"/>
      <c r="AD16" s="295"/>
      <c r="AE16" s="296"/>
      <c r="AF16" s="287" t="s">
        <v>65</v>
      </c>
      <c r="AG16" s="294" t="s">
        <v>48</v>
      </c>
      <c r="AH16" s="478"/>
      <c r="AI16" s="286" t="s">
        <v>918</v>
      </c>
      <c r="AJ16" s="297">
        <f>VLOOKUP(D16,[1]Hoja1!$G$6:$I$225,3,0)</f>
        <v>524706.86</v>
      </c>
      <c r="AK16" s="298">
        <f t="shared" si="24"/>
        <v>0</v>
      </c>
      <c r="AL16" s="588">
        <f t="shared" ca="1" si="25"/>
        <v>61</v>
      </c>
    </row>
    <row r="17" spans="1:38" s="300" customFormat="1" ht="12" customHeight="1">
      <c r="A17" s="278" t="s">
        <v>805</v>
      </c>
      <c r="B17" s="278" t="s">
        <v>58</v>
      </c>
      <c r="C17" s="278" t="s">
        <v>809</v>
      </c>
      <c r="D17" s="260" t="str">
        <f t="shared" si="17"/>
        <v>KG585902</v>
      </c>
      <c r="E17" s="279">
        <v>509107.35</v>
      </c>
      <c r="F17" s="279">
        <v>509107.35</v>
      </c>
      <c r="G17" s="280" t="s">
        <v>158</v>
      </c>
      <c r="H17" s="278" t="s">
        <v>33</v>
      </c>
      <c r="I17" s="281" t="s">
        <v>55</v>
      </c>
      <c r="J17" s="278" t="s">
        <v>160</v>
      </c>
      <c r="K17" s="282" t="str">
        <f t="shared" si="18"/>
        <v>07/08/2019</v>
      </c>
      <c r="L17" s="283">
        <f t="shared" si="19"/>
        <v>43707</v>
      </c>
      <c r="M17" s="284">
        <f t="shared" ca="1" si="20"/>
        <v>38</v>
      </c>
      <c r="N17" s="468">
        <f t="shared" ca="1" si="21"/>
        <v>61</v>
      </c>
      <c r="O17" s="282"/>
      <c r="P17" s="286">
        <f t="shared" si="22"/>
        <v>509107.35</v>
      </c>
      <c r="Q17" s="287"/>
      <c r="R17" s="288"/>
      <c r="S17" s="287"/>
      <c r="T17" s="287"/>
      <c r="U17" s="287" t="s">
        <v>52</v>
      </c>
      <c r="V17" s="502"/>
      <c r="W17" s="290"/>
      <c r="X17" s="290"/>
      <c r="Y17" s="326"/>
      <c r="Z17" s="292"/>
      <c r="AA17" s="293">
        <f t="shared" si="23"/>
        <v>0</v>
      </c>
      <c r="AB17" s="294"/>
      <c r="AC17" s="294"/>
      <c r="AD17" s="295"/>
      <c r="AE17" s="296"/>
      <c r="AF17" s="287"/>
      <c r="AG17" s="294" t="s">
        <v>48</v>
      </c>
      <c r="AH17" s="478"/>
      <c r="AI17" s="286" t="s">
        <v>918</v>
      </c>
      <c r="AJ17" s="297">
        <f>VLOOKUP(D17,[1]Hoja1!$G$6:$I$225,3,0)</f>
        <v>509107.35</v>
      </c>
      <c r="AK17" s="298">
        <f t="shared" si="24"/>
        <v>0</v>
      </c>
      <c r="AL17" s="588">
        <f t="shared" ca="1" si="25"/>
        <v>61</v>
      </c>
    </row>
    <row r="18" spans="1:38" s="300" customFormat="1" ht="12" customHeight="1">
      <c r="A18" s="287" t="s">
        <v>910</v>
      </c>
      <c r="B18" s="278" t="s">
        <v>58</v>
      </c>
      <c r="C18" s="278" t="s">
        <v>912</v>
      </c>
      <c r="D18" s="260" t="str">
        <f t="shared" ref="D18:D21" si="26">+RIGHT(C18,8)</f>
        <v>KG594340</v>
      </c>
      <c r="E18" s="321">
        <v>509107.35</v>
      </c>
      <c r="F18" s="321">
        <v>509107.35</v>
      </c>
      <c r="G18" s="280" t="s">
        <v>158</v>
      </c>
      <c r="H18" s="278" t="s">
        <v>33</v>
      </c>
      <c r="I18" s="281"/>
      <c r="J18" s="278" t="s">
        <v>160</v>
      </c>
      <c r="K18" s="282" t="str">
        <f t="shared" ref="K18:K28" si="27">A18</f>
        <v>27/08/2019</v>
      </c>
      <c r="L18" s="283">
        <f t="shared" ref="L18:L28" si="28">K18+23</f>
        <v>43727</v>
      </c>
      <c r="M18" s="284">
        <f t="shared" ref="M18:M28" ca="1" si="29">$A$1-L18</f>
        <v>18</v>
      </c>
      <c r="N18" s="468">
        <f t="shared" ref="N18:N28" ca="1" si="30">+$A$1-A18</f>
        <v>41</v>
      </c>
      <c r="O18" s="282"/>
      <c r="P18" s="286">
        <f t="shared" ref="P18:P28" si="31">+F18</f>
        <v>509107.35</v>
      </c>
      <c r="Q18" s="287"/>
      <c r="R18" s="288"/>
      <c r="S18" s="287"/>
      <c r="T18" s="287"/>
      <c r="U18" s="287" t="s">
        <v>52</v>
      </c>
      <c r="V18" s="502"/>
      <c r="W18" s="290"/>
      <c r="X18" s="290"/>
      <c r="Y18" s="326"/>
      <c r="Z18" s="292"/>
      <c r="AA18" s="293">
        <f t="shared" ref="AA18:AA43" si="32">+Y18-Z18</f>
        <v>0</v>
      </c>
      <c r="AB18" s="294"/>
      <c r="AC18" s="294"/>
      <c r="AD18" s="295"/>
      <c r="AE18" s="296"/>
      <c r="AF18" s="287"/>
      <c r="AG18" s="294" t="s">
        <v>48</v>
      </c>
      <c r="AH18" s="478"/>
      <c r="AI18" s="286" t="s">
        <v>918</v>
      </c>
      <c r="AJ18" s="297">
        <f>VLOOKUP(D18,[1]Hoja1!$G$6:$I$225,3,0)</f>
        <v>509107.35</v>
      </c>
      <c r="AK18" s="298">
        <f t="shared" ref="AK18:AK21" si="33">+AJ18-F18</f>
        <v>0</v>
      </c>
      <c r="AL18" s="588">
        <f t="shared" ca="1" si="25"/>
        <v>41</v>
      </c>
    </row>
    <row r="19" spans="1:38" s="300" customFormat="1" ht="12" customHeight="1">
      <c r="A19" s="287" t="s">
        <v>920</v>
      </c>
      <c r="B19" s="278" t="s">
        <v>58</v>
      </c>
      <c r="C19" s="278" t="s">
        <v>921</v>
      </c>
      <c r="D19" s="260" t="str">
        <f t="shared" si="26"/>
        <v>KG595957</v>
      </c>
      <c r="E19" s="321">
        <v>509107.35</v>
      </c>
      <c r="F19" s="321">
        <v>509107.35</v>
      </c>
      <c r="G19" s="280" t="s">
        <v>158</v>
      </c>
      <c r="H19" s="278" t="s">
        <v>33</v>
      </c>
      <c r="I19" s="281"/>
      <c r="J19" s="278" t="s">
        <v>160</v>
      </c>
      <c r="K19" s="282" t="str">
        <f t="shared" si="27"/>
        <v>29/08/2019</v>
      </c>
      <c r="L19" s="283">
        <f t="shared" si="28"/>
        <v>43729</v>
      </c>
      <c r="M19" s="284">
        <f t="shared" ca="1" si="29"/>
        <v>16</v>
      </c>
      <c r="N19" s="468">
        <f t="shared" ca="1" si="30"/>
        <v>39</v>
      </c>
      <c r="O19" s="282"/>
      <c r="P19" s="286">
        <f t="shared" si="31"/>
        <v>509107.35</v>
      </c>
      <c r="Q19" s="287"/>
      <c r="R19" s="288"/>
      <c r="S19" s="287"/>
      <c r="T19" s="287"/>
      <c r="U19" s="287" t="s">
        <v>52</v>
      </c>
      <c r="V19" s="502"/>
      <c r="W19" s="290"/>
      <c r="X19" s="290"/>
      <c r="Y19" s="326"/>
      <c r="Z19" s="292"/>
      <c r="AA19" s="293">
        <f t="shared" si="32"/>
        <v>0</v>
      </c>
      <c r="AB19" s="294"/>
      <c r="AC19" s="294"/>
      <c r="AD19" s="295"/>
      <c r="AE19" s="296"/>
      <c r="AF19" s="287"/>
      <c r="AG19" s="294" t="s">
        <v>48</v>
      </c>
      <c r="AH19" s="478"/>
      <c r="AI19" s="286" t="s">
        <v>918</v>
      </c>
      <c r="AJ19" s="297">
        <f>VLOOKUP(D19,[1]Hoja1!$G$6:$I$225,3,0)</f>
        <v>509107.35</v>
      </c>
      <c r="AK19" s="298">
        <f t="shared" si="33"/>
        <v>0</v>
      </c>
      <c r="AL19" s="588">
        <f t="shared" ca="1" si="25"/>
        <v>39</v>
      </c>
    </row>
    <row r="20" spans="1:38" s="300" customFormat="1" ht="12" customHeight="1">
      <c r="A20" s="287" t="s">
        <v>920</v>
      </c>
      <c r="B20" s="278" t="s">
        <v>71</v>
      </c>
      <c r="C20" s="278" t="s">
        <v>922</v>
      </c>
      <c r="D20" s="260" t="str">
        <f t="shared" si="26"/>
        <v>KH008713</v>
      </c>
      <c r="E20" s="321">
        <v>195996.94</v>
      </c>
      <c r="F20" s="321">
        <v>195996.94</v>
      </c>
      <c r="G20" s="280" t="s">
        <v>158</v>
      </c>
      <c r="H20" s="278" t="s">
        <v>33</v>
      </c>
      <c r="I20" s="281" t="s">
        <v>44</v>
      </c>
      <c r="J20" s="278" t="s">
        <v>160</v>
      </c>
      <c r="K20" s="282" t="str">
        <f t="shared" si="27"/>
        <v>29/08/2019</v>
      </c>
      <c r="L20" s="283">
        <f t="shared" si="28"/>
        <v>43729</v>
      </c>
      <c r="M20" s="284">
        <f t="shared" ca="1" si="29"/>
        <v>16</v>
      </c>
      <c r="N20" s="468">
        <f t="shared" ca="1" si="30"/>
        <v>39</v>
      </c>
      <c r="O20" s="282"/>
      <c r="P20" s="286">
        <f t="shared" si="31"/>
        <v>195996.94</v>
      </c>
      <c r="Q20" s="287"/>
      <c r="R20" s="288"/>
      <c r="S20" s="287" t="s">
        <v>989</v>
      </c>
      <c r="T20" s="287" t="s">
        <v>990</v>
      </c>
      <c r="U20" s="287" t="s">
        <v>40</v>
      </c>
      <c r="V20" s="502">
        <v>43711</v>
      </c>
      <c r="W20" s="290"/>
      <c r="X20" s="290"/>
      <c r="Y20" s="326">
        <v>197900</v>
      </c>
      <c r="Z20" s="292">
        <f>45000+10000+4370+138530</f>
        <v>197900</v>
      </c>
      <c r="AA20" s="293">
        <f t="shared" si="32"/>
        <v>0</v>
      </c>
      <c r="AB20" s="294" t="s">
        <v>197</v>
      </c>
      <c r="AC20" s="294" t="s">
        <v>1470</v>
      </c>
      <c r="AD20" s="295" t="s">
        <v>1471</v>
      </c>
      <c r="AE20" s="296"/>
      <c r="AF20" s="287" t="s">
        <v>193</v>
      </c>
      <c r="AG20" s="294" t="s">
        <v>82</v>
      </c>
      <c r="AH20" s="478"/>
      <c r="AI20" s="286" t="s">
        <v>918</v>
      </c>
      <c r="AJ20" s="297">
        <f>VLOOKUP(D20,[1]Hoja1!$G$6:$I$225,3,0)</f>
        <v>195996.94</v>
      </c>
      <c r="AK20" s="298">
        <f t="shared" si="33"/>
        <v>0</v>
      </c>
      <c r="AL20" s="588">
        <f t="shared" ca="1" si="25"/>
        <v>39</v>
      </c>
    </row>
    <row r="21" spans="1:38" s="300" customFormat="1" ht="12" customHeight="1">
      <c r="A21" s="287" t="s">
        <v>920</v>
      </c>
      <c r="B21" s="278" t="s">
        <v>71</v>
      </c>
      <c r="C21" s="278" t="s">
        <v>924</v>
      </c>
      <c r="D21" s="260" t="str">
        <f t="shared" si="26"/>
        <v>KH008719</v>
      </c>
      <c r="E21" s="321">
        <v>195996.94</v>
      </c>
      <c r="F21" s="321">
        <v>195996.94</v>
      </c>
      <c r="G21" s="280" t="s">
        <v>158</v>
      </c>
      <c r="H21" s="278" t="s">
        <v>33</v>
      </c>
      <c r="I21" s="281" t="s">
        <v>80</v>
      </c>
      <c r="J21" s="278" t="s">
        <v>160</v>
      </c>
      <c r="K21" s="282" t="str">
        <f t="shared" si="27"/>
        <v>29/08/2019</v>
      </c>
      <c r="L21" s="283">
        <f t="shared" si="28"/>
        <v>43729</v>
      </c>
      <c r="M21" s="284">
        <f t="shared" ca="1" si="29"/>
        <v>16</v>
      </c>
      <c r="N21" s="468">
        <f t="shared" ca="1" si="30"/>
        <v>39</v>
      </c>
      <c r="O21" s="282"/>
      <c r="P21" s="286">
        <f t="shared" si="31"/>
        <v>195996.94</v>
      </c>
      <c r="Q21" s="287"/>
      <c r="R21" s="288"/>
      <c r="S21" s="287" t="s">
        <v>987</v>
      </c>
      <c r="T21" s="287" t="s">
        <v>984</v>
      </c>
      <c r="U21" s="287" t="s">
        <v>37</v>
      </c>
      <c r="V21" s="502">
        <v>43711</v>
      </c>
      <c r="W21" s="290"/>
      <c r="X21" s="290"/>
      <c r="Y21" s="326">
        <v>189900</v>
      </c>
      <c r="Z21" s="292"/>
      <c r="AA21" s="293">
        <f t="shared" si="32"/>
        <v>189900</v>
      </c>
      <c r="AB21" s="294"/>
      <c r="AC21" s="294"/>
      <c r="AD21" s="295"/>
      <c r="AE21" s="296"/>
      <c r="AF21" s="287" t="s">
        <v>222</v>
      </c>
      <c r="AG21" s="294" t="s">
        <v>48</v>
      </c>
      <c r="AH21" s="478"/>
      <c r="AI21" s="286" t="s">
        <v>918</v>
      </c>
      <c r="AJ21" s="297">
        <f>VLOOKUP(D21,[1]Hoja1!$G$6:$I$225,3,0)</f>
        <v>195996.94</v>
      </c>
      <c r="AK21" s="298">
        <f t="shared" si="33"/>
        <v>0</v>
      </c>
      <c r="AL21" s="588">
        <f t="shared" ref="AL21:AL36" ca="1" si="34">+$A$1-A21</f>
        <v>39</v>
      </c>
    </row>
    <row r="22" spans="1:38" s="300" customFormat="1" ht="12" customHeight="1">
      <c r="A22" s="287" t="s">
        <v>955</v>
      </c>
      <c r="B22" s="278" t="s">
        <v>865</v>
      </c>
      <c r="C22" s="278" t="s">
        <v>959</v>
      </c>
      <c r="D22" s="260" t="str">
        <f t="shared" ref="D22:D82" si="35">+RIGHT(C22,8)</f>
        <v>L6P01688</v>
      </c>
      <c r="E22" s="321">
        <v>239527.2</v>
      </c>
      <c r="F22" s="321">
        <v>239527.2</v>
      </c>
      <c r="G22" s="280" t="s">
        <v>158</v>
      </c>
      <c r="H22" s="278" t="s">
        <v>33</v>
      </c>
      <c r="I22" s="281"/>
      <c r="J22" s="278" t="s">
        <v>160</v>
      </c>
      <c r="K22" s="282" t="str">
        <f t="shared" si="27"/>
        <v>30/08/2019</v>
      </c>
      <c r="L22" s="283">
        <f t="shared" si="28"/>
        <v>43730</v>
      </c>
      <c r="M22" s="284">
        <f t="shared" ca="1" si="29"/>
        <v>15</v>
      </c>
      <c r="N22" s="468">
        <f t="shared" ca="1" si="30"/>
        <v>38</v>
      </c>
      <c r="O22" s="282"/>
      <c r="P22" s="286">
        <f t="shared" si="31"/>
        <v>239527.2</v>
      </c>
      <c r="Q22" s="287"/>
      <c r="R22" s="288"/>
      <c r="S22" s="287" t="s">
        <v>991</v>
      </c>
      <c r="T22" s="287" t="s">
        <v>992</v>
      </c>
      <c r="U22" s="287" t="s">
        <v>37</v>
      </c>
      <c r="V22" s="502">
        <v>43711</v>
      </c>
      <c r="W22" s="290"/>
      <c r="X22" s="290"/>
      <c r="Y22" s="326">
        <v>265400</v>
      </c>
      <c r="Z22" s="292"/>
      <c r="AA22" s="293">
        <f t="shared" si="32"/>
        <v>265400</v>
      </c>
      <c r="AB22" s="294"/>
      <c r="AC22" s="294"/>
      <c r="AD22" s="295"/>
      <c r="AE22" s="296"/>
      <c r="AF22" s="287" t="s">
        <v>193</v>
      </c>
      <c r="AG22" s="294" t="s">
        <v>48</v>
      </c>
      <c r="AH22" s="478"/>
      <c r="AI22" s="286" t="s">
        <v>918</v>
      </c>
      <c r="AJ22" s="297">
        <f>VLOOKUP(D22,[1]Hoja1!$G$6:$I$225,3,0)</f>
        <v>239527.2</v>
      </c>
      <c r="AK22" s="298">
        <f t="shared" ref="AK22:AK34" si="36">+AJ22-F22</f>
        <v>0</v>
      </c>
      <c r="AL22" s="588">
        <f t="shared" ca="1" si="34"/>
        <v>38</v>
      </c>
    </row>
    <row r="23" spans="1:38" s="300" customFormat="1" ht="12" customHeight="1">
      <c r="A23" s="287" t="s">
        <v>997</v>
      </c>
      <c r="B23" s="278" t="s">
        <v>211</v>
      </c>
      <c r="C23" s="278" t="s">
        <v>999</v>
      </c>
      <c r="D23" s="260" t="str">
        <f t="shared" si="35"/>
        <v>KR748589</v>
      </c>
      <c r="E23" s="321">
        <v>491760.21</v>
      </c>
      <c r="F23" s="321">
        <v>491760.21</v>
      </c>
      <c r="G23" s="280" t="s">
        <v>158</v>
      </c>
      <c r="H23" s="278" t="s">
        <v>33</v>
      </c>
      <c r="I23" s="281" t="s">
        <v>69</v>
      </c>
      <c r="J23" s="278" t="s">
        <v>160</v>
      </c>
      <c r="K23" s="282" t="str">
        <f t="shared" si="27"/>
        <v>04/09/2019</v>
      </c>
      <c r="L23" s="283">
        <f t="shared" si="28"/>
        <v>43735</v>
      </c>
      <c r="M23" s="284">
        <f t="shared" ca="1" si="29"/>
        <v>10</v>
      </c>
      <c r="N23" s="468">
        <f t="shared" ca="1" si="30"/>
        <v>33</v>
      </c>
      <c r="O23" s="282"/>
      <c r="P23" s="286">
        <f t="shared" si="31"/>
        <v>491760.21</v>
      </c>
      <c r="Q23" s="287"/>
      <c r="R23" s="288"/>
      <c r="S23" s="287"/>
      <c r="T23" s="287"/>
      <c r="U23" s="287" t="s">
        <v>52</v>
      </c>
      <c r="V23" s="502"/>
      <c r="W23" s="290"/>
      <c r="X23" s="290"/>
      <c r="Y23" s="326"/>
      <c r="Z23" s="292"/>
      <c r="AA23" s="293">
        <f t="shared" si="32"/>
        <v>0</v>
      </c>
      <c r="AB23" s="294"/>
      <c r="AC23" s="294"/>
      <c r="AD23" s="295"/>
      <c r="AE23" s="296"/>
      <c r="AF23" s="287"/>
      <c r="AG23" s="294" t="s">
        <v>217</v>
      </c>
      <c r="AH23" s="478"/>
      <c r="AI23" s="286" t="s">
        <v>918</v>
      </c>
      <c r="AJ23" s="297">
        <f>VLOOKUP(D23,[1]Hoja1!$G$6:$I$225,3,0)</f>
        <v>491760.21</v>
      </c>
      <c r="AK23" s="298">
        <f t="shared" si="36"/>
        <v>0</v>
      </c>
      <c r="AL23" s="588">
        <f t="shared" ca="1" si="34"/>
        <v>33</v>
      </c>
    </row>
    <row r="24" spans="1:38" s="300" customFormat="1" ht="12" customHeight="1">
      <c r="A24" s="287" t="s">
        <v>997</v>
      </c>
      <c r="B24" s="278" t="s">
        <v>72</v>
      </c>
      <c r="C24" s="278" t="s">
        <v>1000</v>
      </c>
      <c r="D24" s="260" t="str">
        <f t="shared" si="35"/>
        <v>KH009831</v>
      </c>
      <c r="E24" s="321">
        <v>214208.06</v>
      </c>
      <c r="F24" s="321">
        <v>214208.06</v>
      </c>
      <c r="G24" s="280" t="s">
        <v>158</v>
      </c>
      <c r="H24" s="278" t="s">
        <v>33</v>
      </c>
      <c r="I24" s="281" t="s">
        <v>80</v>
      </c>
      <c r="J24" s="278" t="s">
        <v>160</v>
      </c>
      <c r="K24" s="282" t="str">
        <f t="shared" si="27"/>
        <v>04/09/2019</v>
      </c>
      <c r="L24" s="283">
        <f t="shared" si="28"/>
        <v>43735</v>
      </c>
      <c r="M24" s="284">
        <f t="shared" ca="1" si="29"/>
        <v>10</v>
      </c>
      <c r="N24" s="468">
        <f t="shared" ca="1" si="30"/>
        <v>33</v>
      </c>
      <c r="O24" s="282"/>
      <c r="P24" s="286">
        <f t="shared" si="31"/>
        <v>214208.06</v>
      </c>
      <c r="Q24" s="287"/>
      <c r="R24" s="288"/>
      <c r="S24" s="287"/>
      <c r="T24" s="287"/>
      <c r="U24" s="287" t="s">
        <v>52</v>
      </c>
      <c r="V24" s="502"/>
      <c r="W24" s="290"/>
      <c r="X24" s="290"/>
      <c r="Y24" s="326"/>
      <c r="Z24" s="292"/>
      <c r="AA24" s="293">
        <f t="shared" si="32"/>
        <v>0</v>
      </c>
      <c r="AB24" s="294"/>
      <c r="AC24" s="294"/>
      <c r="AD24" s="295"/>
      <c r="AE24" s="296"/>
      <c r="AF24" s="287"/>
      <c r="AG24" s="294" t="s">
        <v>217</v>
      </c>
      <c r="AH24" s="478"/>
      <c r="AI24" s="286" t="s">
        <v>918</v>
      </c>
      <c r="AJ24" s="297">
        <f>VLOOKUP(D24,[1]Hoja1!$G$6:$I$225,3,0)</f>
        <v>214208.06</v>
      </c>
      <c r="AK24" s="298">
        <f t="shared" si="36"/>
        <v>0</v>
      </c>
      <c r="AL24" s="588">
        <f t="shared" ca="1" si="34"/>
        <v>33</v>
      </c>
    </row>
    <row r="25" spans="1:38" s="300" customFormat="1" ht="12" customHeight="1">
      <c r="A25" s="287" t="s">
        <v>997</v>
      </c>
      <c r="B25" s="278" t="s">
        <v>72</v>
      </c>
      <c r="C25" s="278" t="s">
        <v>1001</v>
      </c>
      <c r="D25" s="260" t="str">
        <f t="shared" si="35"/>
        <v>KH009832</v>
      </c>
      <c r="E25" s="321">
        <v>214208.06</v>
      </c>
      <c r="F25" s="321">
        <v>214208.06</v>
      </c>
      <c r="G25" s="280" t="s">
        <v>158</v>
      </c>
      <c r="H25" s="278" t="s">
        <v>33</v>
      </c>
      <c r="I25" s="281" t="s">
        <v>32</v>
      </c>
      <c r="J25" s="278" t="s">
        <v>160</v>
      </c>
      <c r="K25" s="282" t="str">
        <f t="shared" si="27"/>
        <v>04/09/2019</v>
      </c>
      <c r="L25" s="283">
        <f t="shared" si="28"/>
        <v>43735</v>
      </c>
      <c r="M25" s="284">
        <f t="shared" ca="1" si="29"/>
        <v>10</v>
      </c>
      <c r="N25" s="468">
        <f t="shared" ca="1" si="30"/>
        <v>33</v>
      </c>
      <c r="O25" s="282"/>
      <c r="P25" s="286">
        <f t="shared" si="31"/>
        <v>214208.06</v>
      </c>
      <c r="Q25" s="287"/>
      <c r="R25" s="288"/>
      <c r="S25" s="287"/>
      <c r="T25" s="287"/>
      <c r="U25" s="287" t="s">
        <v>52</v>
      </c>
      <c r="V25" s="502"/>
      <c r="W25" s="290"/>
      <c r="X25" s="290"/>
      <c r="Y25" s="326"/>
      <c r="Z25" s="292"/>
      <c r="AA25" s="293">
        <f t="shared" si="32"/>
        <v>0</v>
      </c>
      <c r="AB25" s="294"/>
      <c r="AC25" s="294"/>
      <c r="AD25" s="295"/>
      <c r="AE25" s="296"/>
      <c r="AF25" s="287"/>
      <c r="AG25" s="294" t="s">
        <v>217</v>
      </c>
      <c r="AH25" s="478"/>
      <c r="AI25" s="286" t="s">
        <v>918</v>
      </c>
      <c r="AJ25" s="297">
        <f>VLOOKUP(D25,[1]Hoja1!$G$6:$I$225,3,0)</f>
        <v>214208.06</v>
      </c>
      <c r="AK25" s="298">
        <f t="shared" si="36"/>
        <v>0</v>
      </c>
      <c r="AL25" s="588">
        <f t="shared" ca="1" si="34"/>
        <v>33</v>
      </c>
    </row>
    <row r="26" spans="1:38" s="300" customFormat="1" ht="12" customHeight="1">
      <c r="A26" s="287" t="s">
        <v>1003</v>
      </c>
      <c r="B26" s="278" t="s">
        <v>169</v>
      </c>
      <c r="C26" s="278" t="s">
        <v>1004</v>
      </c>
      <c r="D26" s="260" t="str">
        <f t="shared" si="35"/>
        <v>LT110446</v>
      </c>
      <c r="E26" s="321">
        <v>546853.94999999995</v>
      </c>
      <c r="F26" s="321">
        <v>546853.94999999995</v>
      </c>
      <c r="G26" s="280" t="s">
        <v>158</v>
      </c>
      <c r="H26" s="278" t="s">
        <v>33</v>
      </c>
      <c r="I26" s="281" t="s">
        <v>55</v>
      </c>
      <c r="J26" s="278" t="s">
        <v>160</v>
      </c>
      <c r="K26" s="282" t="str">
        <f t="shared" si="27"/>
        <v>05/09/2019</v>
      </c>
      <c r="L26" s="283">
        <f t="shared" si="28"/>
        <v>43736</v>
      </c>
      <c r="M26" s="284">
        <f t="shared" ca="1" si="29"/>
        <v>9</v>
      </c>
      <c r="N26" s="468">
        <f t="shared" ca="1" si="30"/>
        <v>32</v>
      </c>
      <c r="O26" s="282"/>
      <c r="P26" s="286">
        <f t="shared" si="31"/>
        <v>546853.94999999995</v>
      </c>
      <c r="Q26" s="287"/>
      <c r="R26" s="288"/>
      <c r="S26" s="287"/>
      <c r="T26" s="287"/>
      <c r="U26" s="287" t="s">
        <v>52</v>
      </c>
      <c r="V26" s="502"/>
      <c r="W26" s="290"/>
      <c r="X26" s="290"/>
      <c r="Y26" s="326"/>
      <c r="Z26" s="292"/>
      <c r="AA26" s="293">
        <f t="shared" si="32"/>
        <v>0</v>
      </c>
      <c r="AB26" s="294"/>
      <c r="AC26" s="294"/>
      <c r="AD26" s="295"/>
      <c r="AE26" s="296"/>
      <c r="AF26" s="287"/>
      <c r="AG26" s="294" t="s">
        <v>217</v>
      </c>
      <c r="AH26" s="478"/>
      <c r="AI26" s="286" t="s">
        <v>918</v>
      </c>
      <c r="AJ26" s="297">
        <f>VLOOKUP(D26,[1]Hoja1!$G$6:$I$225,3,0)</f>
        <v>546853.94999999995</v>
      </c>
      <c r="AK26" s="298">
        <f t="shared" si="36"/>
        <v>0</v>
      </c>
      <c r="AL26" s="588">
        <f t="shared" ca="1" si="34"/>
        <v>32</v>
      </c>
    </row>
    <row r="27" spans="1:38" s="300" customFormat="1" ht="12" customHeight="1">
      <c r="A27" s="287" t="s">
        <v>1003</v>
      </c>
      <c r="B27" s="278" t="s">
        <v>169</v>
      </c>
      <c r="C27" s="278" t="s">
        <v>1005</v>
      </c>
      <c r="D27" s="260" t="str">
        <f t="shared" si="35"/>
        <v>LT110447</v>
      </c>
      <c r="E27" s="321">
        <v>546853.94999999995</v>
      </c>
      <c r="F27" s="321">
        <v>546853.94999999995</v>
      </c>
      <c r="G27" s="280" t="s">
        <v>158</v>
      </c>
      <c r="H27" s="278" t="s">
        <v>33</v>
      </c>
      <c r="I27" s="281" t="s">
        <v>44</v>
      </c>
      <c r="J27" s="278" t="s">
        <v>160</v>
      </c>
      <c r="K27" s="282" t="str">
        <f t="shared" si="27"/>
        <v>05/09/2019</v>
      </c>
      <c r="L27" s="283">
        <f t="shared" si="28"/>
        <v>43736</v>
      </c>
      <c r="M27" s="284">
        <f t="shared" ca="1" si="29"/>
        <v>9</v>
      </c>
      <c r="N27" s="468">
        <f t="shared" ca="1" si="30"/>
        <v>32</v>
      </c>
      <c r="O27" s="282"/>
      <c r="P27" s="286">
        <f t="shared" si="31"/>
        <v>546853.94999999995</v>
      </c>
      <c r="Q27" s="287"/>
      <c r="R27" s="288"/>
      <c r="S27" s="287"/>
      <c r="T27" s="287"/>
      <c r="U27" s="287" t="s">
        <v>52</v>
      </c>
      <c r="V27" s="502"/>
      <c r="W27" s="290"/>
      <c r="X27" s="290"/>
      <c r="Y27" s="326"/>
      <c r="Z27" s="292"/>
      <c r="AA27" s="293">
        <f t="shared" si="32"/>
        <v>0</v>
      </c>
      <c r="AB27" s="294"/>
      <c r="AC27" s="294"/>
      <c r="AD27" s="295"/>
      <c r="AE27" s="296"/>
      <c r="AF27" s="287"/>
      <c r="AG27" s="294" t="s">
        <v>217</v>
      </c>
      <c r="AH27" s="478"/>
      <c r="AI27" s="286" t="s">
        <v>918</v>
      </c>
      <c r="AJ27" s="297">
        <f>VLOOKUP(D27,[1]Hoja1!$G$6:$I$225,3,0)</f>
        <v>546853.94999999995</v>
      </c>
      <c r="AK27" s="298">
        <f t="shared" si="36"/>
        <v>0</v>
      </c>
      <c r="AL27" s="588">
        <f t="shared" ca="1" si="34"/>
        <v>32</v>
      </c>
    </row>
    <row r="28" spans="1:38" s="300" customFormat="1" ht="12" customHeight="1">
      <c r="A28" s="287" t="s">
        <v>1010</v>
      </c>
      <c r="B28" s="278" t="s">
        <v>73</v>
      </c>
      <c r="C28" s="278" t="s">
        <v>1011</v>
      </c>
      <c r="D28" s="260" t="str">
        <f t="shared" si="35"/>
        <v>LH001571</v>
      </c>
      <c r="E28" s="321">
        <v>241526.48</v>
      </c>
      <c r="F28" s="321">
        <v>241526.48</v>
      </c>
      <c r="G28" s="280" t="s">
        <v>158</v>
      </c>
      <c r="H28" s="278" t="s">
        <v>33</v>
      </c>
      <c r="I28" s="281" t="s">
        <v>69</v>
      </c>
      <c r="J28" s="278" t="s">
        <v>160</v>
      </c>
      <c r="K28" s="282" t="str">
        <f t="shared" si="27"/>
        <v>09/09/2019</v>
      </c>
      <c r="L28" s="283">
        <f t="shared" si="28"/>
        <v>43740</v>
      </c>
      <c r="M28" s="284">
        <f t="shared" ca="1" si="29"/>
        <v>5</v>
      </c>
      <c r="N28" s="468">
        <f t="shared" ca="1" si="30"/>
        <v>28</v>
      </c>
      <c r="O28" s="282"/>
      <c r="P28" s="286">
        <f t="shared" si="31"/>
        <v>241526.48</v>
      </c>
      <c r="Q28" s="287"/>
      <c r="R28" s="288"/>
      <c r="S28" s="287"/>
      <c r="T28" s="287"/>
      <c r="U28" s="287" t="s">
        <v>52</v>
      </c>
      <c r="V28" s="502"/>
      <c r="W28" s="290"/>
      <c r="X28" s="290"/>
      <c r="Y28" s="326"/>
      <c r="Z28" s="292"/>
      <c r="AA28" s="293">
        <f t="shared" si="32"/>
        <v>0</v>
      </c>
      <c r="AB28" s="294"/>
      <c r="AC28" s="294"/>
      <c r="AD28" s="295"/>
      <c r="AE28" s="296"/>
      <c r="AF28" s="287"/>
      <c r="AG28" s="294" t="s">
        <v>217</v>
      </c>
      <c r="AH28" s="478"/>
      <c r="AI28" s="286" t="s">
        <v>918</v>
      </c>
      <c r="AJ28" s="297">
        <f>VLOOKUP(D28,[1]Hoja1!$G$6:$I$225,3,0)</f>
        <v>241526.48</v>
      </c>
      <c r="AK28" s="298">
        <f t="shared" si="36"/>
        <v>0</v>
      </c>
      <c r="AL28" s="588">
        <f t="shared" ca="1" si="34"/>
        <v>28</v>
      </c>
    </row>
    <row r="29" spans="1:38" s="300" customFormat="1" ht="12" customHeight="1">
      <c r="A29" s="287" t="s">
        <v>1009</v>
      </c>
      <c r="B29" s="278" t="s">
        <v>191</v>
      </c>
      <c r="C29" s="278" t="s">
        <v>1016</v>
      </c>
      <c r="D29" s="260" t="str">
        <f t="shared" si="35"/>
        <v>KG651791</v>
      </c>
      <c r="E29" s="321">
        <v>496518.43</v>
      </c>
      <c r="F29" s="321">
        <v>496518.43</v>
      </c>
      <c r="G29" s="280" t="s">
        <v>158</v>
      </c>
      <c r="H29" s="278" t="s">
        <v>33</v>
      </c>
      <c r="I29" s="281" t="s">
        <v>1165</v>
      </c>
      <c r="J29" s="278" t="s">
        <v>160</v>
      </c>
      <c r="K29" s="282" t="str">
        <f t="shared" ref="K29:K34" si="37">A29</f>
        <v>11/09/2019</v>
      </c>
      <c r="L29" s="283">
        <f t="shared" ref="L29:L34" si="38">K29+23</f>
        <v>43742</v>
      </c>
      <c r="M29" s="284">
        <f t="shared" ref="M29:M34" ca="1" si="39">$A$1-L29</f>
        <v>3</v>
      </c>
      <c r="N29" s="468">
        <f t="shared" ref="N29:N34" ca="1" si="40">+$A$1-A29</f>
        <v>26</v>
      </c>
      <c r="O29" s="282"/>
      <c r="P29" s="286">
        <f t="shared" ref="P29:P34" si="41">+F29</f>
        <v>496518.43</v>
      </c>
      <c r="Q29" s="287"/>
      <c r="R29" s="288"/>
      <c r="S29" s="287" t="s">
        <v>1038</v>
      </c>
      <c r="T29" s="287" t="s">
        <v>679</v>
      </c>
      <c r="U29" s="287" t="s">
        <v>202</v>
      </c>
      <c r="V29" s="502">
        <v>43721</v>
      </c>
      <c r="W29" s="290" t="s">
        <v>919</v>
      </c>
      <c r="X29" s="503">
        <f>+AE29+30</f>
        <v>43757</v>
      </c>
      <c r="Y29" s="326">
        <v>522600</v>
      </c>
      <c r="Z29" s="292"/>
      <c r="AA29" s="293">
        <f t="shared" si="32"/>
        <v>522600</v>
      </c>
      <c r="AB29" s="294"/>
      <c r="AC29" s="294"/>
      <c r="AD29" s="295"/>
      <c r="AE29" s="296">
        <v>43727</v>
      </c>
      <c r="AF29" s="287" t="s">
        <v>65</v>
      </c>
      <c r="AG29" s="294" t="s">
        <v>48</v>
      </c>
      <c r="AH29" s="478"/>
      <c r="AI29" s="286" t="s">
        <v>918</v>
      </c>
      <c r="AJ29" s="297">
        <f>VLOOKUP(D29,[1]Hoja1!$G$6:$I$225,3,0)</f>
        <v>496518.43</v>
      </c>
      <c r="AK29" s="298">
        <f t="shared" si="36"/>
        <v>0</v>
      </c>
      <c r="AL29" s="588">
        <f t="shared" ca="1" si="34"/>
        <v>26</v>
      </c>
    </row>
    <row r="30" spans="1:38" s="300" customFormat="1" ht="12" customHeight="1">
      <c r="A30" s="287" t="s">
        <v>1009</v>
      </c>
      <c r="B30" s="278" t="s">
        <v>191</v>
      </c>
      <c r="C30" s="278" t="s">
        <v>1017</v>
      </c>
      <c r="D30" s="260" t="str">
        <f t="shared" si="35"/>
        <v>KG651792</v>
      </c>
      <c r="E30" s="321">
        <v>496518.43</v>
      </c>
      <c r="F30" s="321">
        <v>496518.43</v>
      </c>
      <c r="G30" s="280" t="s">
        <v>158</v>
      </c>
      <c r="H30" s="278" t="s">
        <v>33</v>
      </c>
      <c r="I30" s="281" t="s">
        <v>1165</v>
      </c>
      <c r="J30" s="278" t="s">
        <v>160</v>
      </c>
      <c r="K30" s="282" t="str">
        <f t="shared" si="37"/>
        <v>11/09/2019</v>
      </c>
      <c r="L30" s="283">
        <f t="shared" si="38"/>
        <v>43742</v>
      </c>
      <c r="M30" s="284">
        <f t="shared" ca="1" si="39"/>
        <v>3</v>
      </c>
      <c r="N30" s="468">
        <f t="shared" ca="1" si="40"/>
        <v>26</v>
      </c>
      <c r="O30" s="282"/>
      <c r="P30" s="286">
        <f t="shared" si="41"/>
        <v>496518.43</v>
      </c>
      <c r="Q30" s="287"/>
      <c r="R30" s="288"/>
      <c r="S30" s="287" t="s">
        <v>1037</v>
      </c>
      <c r="T30" s="287" t="s">
        <v>679</v>
      </c>
      <c r="U30" s="287" t="s">
        <v>202</v>
      </c>
      <c r="V30" s="502">
        <v>43721</v>
      </c>
      <c r="W30" s="290" t="s">
        <v>919</v>
      </c>
      <c r="X30" s="503">
        <f>+AE30+30</f>
        <v>43757</v>
      </c>
      <c r="Y30" s="326">
        <v>522600</v>
      </c>
      <c r="Z30" s="292"/>
      <c r="AA30" s="293">
        <f t="shared" si="32"/>
        <v>522600</v>
      </c>
      <c r="AB30" s="294"/>
      <c r="AC30" s="294"/>
      <c r="AD30" s="295"/>
      <c r="AE30" s="296">
        <v>43727</v>
      </c>
      <c r="AF30" s="287" t="s">
        <v>65</v>
      </c>
      <c r="AG30" s="294" t="s">
        <v>48</v>
      </c>
      <c r="AH30" s="478"/>
      <c r="AI30" s="286" t="s">
        <v>918</v>
      </c>
      <c r="AJ30" s="297">
        <f>VLOOKUP(D30,[1]Hoja1!$G$6:$I$225,3,0)</f>
        <v>496518.43</v>
      </c>
      <c r="AK30" s="298">
        <f t="shared" si="36"/>
        <v>0</v>
      </c>
      <c r="AL30" s="588">
        <f t="shared" ca="1" si="34"/>
        <v>26</v>
      </c>
    </row>
    <row r="31" spans="1:38" s="300" customFormat="1" ht="12" customHeight="1">
      <c r="A31" s="287" t="s">
        <v>1009</v>
      </c>
      <c r="B31" s="278" t="s">
        <v>191</v>
      </c>
      <c r="C31" s="278" t="s">
        <v>1018</v>
      </c>
      <c r="D31" s="260" t="str">
        <f t="shared" si="35"/>
        <v>KG657952</v>
      </c>
      <c r="E31" s="321">
        <v>496518.43</v>
      </c>
      <c r="F31" s="321">
        <v>496518.43</v>
      </c>
      <c r="G31" s="280" t="s">
        <v>158</v>
      </c>
      <c r="H31" s="278" t="s">
        <v>33</v>
      </c>
      <c r="I31" s="281" t="s">
        <v>1165</v>
      </c>
      <c r="J31" s="278" t="s">
        <v>160</v>
      </c>
      <c r="K31" s="282" t="str">
        <f t="shared" si="37"/>
        <v>11/09/2019</v>
      </c>
      <c r="L31" s="283">
        <f t="shared" si="38"/>
        <v>43742</v>
      </c>
      <c r="M31" s="284">
        <f t="shared" ca="1" si="39"/>
        <v>3</v>
      </c>
      <c r="N31" s="468">
        <f t="shared" ca="1" si="40"/>
        <v>26</v>
      </c>
      <c r="O31" s="282"/>
      <c r="P31" s="286">
        <f t="shared" si="41"/>
        <v>496518.43</v>
      </c>
      <c r="Q31" s="287"/>
      <c r="R31" s="288"/>
      <c r="S31" s="287" t="s">
        <v>1036</v>
      </c>
      <c r="T31" s="287" t="s">
        <v>679</v>
      </c>
      <c r="U31" s="287" t="s">
        <v>202</v>
      </c>
      <c r="V31" s="502">
        <v>43721</v>
      </c>
      <c r="W31" s="290" t="s">
        <v>919</v>
      </c>
      <c r="X31" s="503">
        <f>+AE31+30</f>
        <v>43757</v>
      </c>
      <c r="Y31" s="326">
        <v>522600</v>
      </c>
      <c r="Z31" s="292"/>
      <c r="AA31" s="293">
        <f t="shared" si="32"/>
        <v>522600</v>
      </c>
      <c r="AB31" s="294"/>
      <c r="AC31" s="294"/>
      <c r="AD31" s="295"/>
      <c r="AE31" s="296">
        <v>43727</v>
      </c>
      <c r="AF31" s="287" t="s">
        <v>65</v>
      </c>
      <c r="AG31" s="294" t="s">
        <v>48</v>
      </c>
      <c r="AH31" s="478"/>
      <c r="AI31" s="286" t="s">
        <v>918</v>
      </c>
      <c r="AJ31" s="297">
        <f>VLOOKUP(D31,[1]Hoja1!$G$6:$I$225,3,0)</f>
        <v>496518.43</v>
      </c>
      <c r="AK31" s="298">
        <f t="shared" si="36"/>
        <v>0</v>
      </c>
      <c r="AL31" s="588">
        <f t="shared" ca="1" si="34"/>
        <v>26</v>
      </c>
    </row>
    <row r="32" spans="1:38" s="300" customFormat="1" ht="12" customHeight="1">
      <c r="A32" s="287" t="s">
        <v>1009</v>
      </c>
      <c r="B32" s="278" t="s">
        <v>191</v>
      </c>
      <c r="C32" s="278" t="s">
        <v>1019</v>
      </c>
      <c r="D32" s="260" t="str">
        <f t="shared" si="35"/>
        <v>KG657953</v>
      </c>
      <c r="E32" s="321">
        <v>496518.43</v>
      </c>
      <c r="F32" s="321">
        <v>496518.43</v>
      </c>
      <c r="G32" s="280" t="s">
        <v>158</v>
      </c>
      <c r="H32" s="278" t="s">
        <v>33</v>
      </c>
      <c r="I32" s="281" t="s">
        <v>1165</v>
      </c>
      <c r="J32" s="278" t="s">
        <v>160</v>
      </c>
      <c r="K32" s="282" t="str">
        <f t="shared" si="37"/>
        <v>11/09/2019</v>
      </c>
      <c r="L32" s="283">
        <f t="shared" si="38"/>
        <v>43742</v>
      </c>
      <c r="M32" s="284">
        <f t="shared" ca="1" si="39"/>
        <v>3</v>
      </c>
      <c r="N32" s="468">
        <f t="shared" ca="1" si="40"/>
        <v>26</v>
      </c>
      <c r="O32" s="282"/>
      <c r="P32" s="286">
        <f t="shared" si="41"/>
        <v>496518.43</v>
      </c>
      <c r="Q32" s="287"/>
      <c r="R32" s="288"/>
      <c r="S32" s="287" t="s">
        <v>1035</v>
      </c>
      <c r="T32" s="287" t="s">
        <v>679</v>
      </c>
      <c r="U32" s="287" t="s">
        <v>202</v>
      </c>
      <c r="V32" s="502">
        <v>43721</v>
      </c>
      <c r="W32" s="290" t="s">
        <v>919</v>
      </c>
      <c r="X32" s="503">
        <f>+AE32+30</f>
        <v>43757</v>
      </c>
      <c r="Y32" s="326">
        <v>522600</v>
      </c>
      <c r="Z32" s="292"/>
      <c r="AA32" s="293">
        <f t="shared" si="32"/>
        <v>522600</v>
      </c>
      <c r="AB32" s="294"/>
      <c r="AC32" s="294"/>
      <c r="AD32" s="295"/>
      <c r="AE32" s="296">
        <v>43727</v>
      </c>
      <c r="AF32" s="287" t="s">
        <v>65</v>
      </c>
      <c r="AG32" s="294" t="s">
        <v>48</v>
      </c>
      <c r="AH32" s="478"/>
      <c r="AI32" s="286" t="s">
        <v>918</v>
      </c>
      <c r="AJ32" s="297">
        <f>VLOOKUP(D32,[1]Hoja1!$G$6:$I$225,3,0)</f>
        <v>496518.43</v>
      </c>
      <c r="AK32" s="298">
        <f t="shared" si="36"/>
        <v>0</v>
      </c>
      <c r="AL32" s="588">
        <f t="shared" ca="1" si="34"/>
        <v>26</v>
      </c>
    </row>
    <row r="33" spans="1:38" s="300" customFormat="1" ht="12" customHeight="1">
      <c r="A33" s="287" t="s">
        <v>1009</v>
      </c>
      <c r="B33" s="278" t="s">
        <v>191</v>
      </c>
      <c r="C33" s="278" t="s">
        <v>1020</v>
      </c>
      <c r="D33" s="260" t="str">
        <f t="shared" si="35"/>
        <v>KG657954</v>
      </c>
      <c r="E33" s="321">
        <v>496518.43</v>
      </c>
      <c r="F33" s="321">
        <v>496518.43</v>
      </c>
      <c r="G33" s="280" t="s">
        <v>158</v>
      </c>
      <c r="H33" s="278" t="s">
        <v>33</v>
      </c>
      <c r="I33" s="281" t="s">
        <v>1165</v>
      </c>
      <c r="J33" s="278" t="s">
        <v>160</v>
      </c>
      <c r="K33" s="282" t="str">
        <f t="shared" si="37"/>
        <v>11/09/2019</v>
      </c>
      <c r="L33" s="283">
        <f t="shared" si="38"/>
        <v>43742</v>
      </c>
      <c r="M33" s="284">
        <f t="shared" ca="1" si="39"/>
        <v>3</v>
      </c>
      <c r="N33" s="468">
        <f t="shared" ca="1" si="40"/>
        <v>26</v>
      </c>
      <c r="O33" s="282"/>
      <c r="P33" s="286">
        <f t="shared" si="41"/>
        <v>496518.43</v>
      </c>
      <c r="Q33" s="287"/>
      <c r="R33" s="288"/>
      <c r="S33" s="287" t="s">
        <v>1034</v>
      </c>
      <c r="T33" s="287" t="s">
        <v>679</v>
      </c>
      <c r="U33" s="287" t="s">
        <v>202</v>
      </c>
      <c r="V33" s="502">
        <v>43721</v>
      </c>
      <c r="W33" s="290" t="s">
        <v>919</v>
      </c>
      <c r="X33" s="503">
        <f>+AE33+30</f>
        <v>43757</v>
      </c>
      <c r="Y33" s="326">
        <v>522600</v>
      </c>
      <c r="Z33" s="292"/>
      <c r="AA33" s="293">
        <f t="shared" si="32"/>
        <v>522600</v>
      </c>
      <c r="AB33" s="294"/>
      <c r="AC33" s="294"/>
      <c r="AD33" s="295"/>
      <c r="AE33" s="296">
        <v>43727</v>
      </c>
      <c r="AF33" s="287" t="s">
        <v>65</v>
      </c>
      <c r="AG33" s="294" t="s">
        <v>48</v>
      </c>
      <c r="AH33" s="478"/>
      <c r="AI33" s="286" t="s">
        <v>918</v>
      </c>
      <c r="AJ33" s="297">
        <f>VLOOKUP(D33,[1]Hoja1!$G$6:$I$225,3,0)</f>
        <v>496518.43</v>
      </c>
      <c r="AK33" s="298">
        <f t="shared" si="36"/>
        <v>0</v>
      </c>
      <c r="AL33" s="588">
        <f t="shared" ca="1" si="34"/>
        <v>26</v>
      </c>
    </row>
    <row r="34" spans="1:38" s="300" customFormat="1" ht="12" customHeight="1">
      <c r="A34" s="287" t="s">
        <v>1009</v>
      </c>
      <c r="B34" s="278" t="s">
        <v>258</v>
      </c>
      <c r="C34" s="278" t="s">
        <v>1021</v>
      </c>
      <c r="D34" s="260" t="str">
        <f t="shared" si="35"/>
        <v>LW117981</v>
      </c>
      <c r="E34" s="321">
        <v>825226.38</v>
      </c>
      <c r="F34" s="321">
        <v>825226.38</v>
      </c>
      <c r="G34" s="280" t="s">
        <v>158</v>
      </c>
      <c r="H34" s="278" t="s">
        <v>33</v>
      </c>
      <c r="I34" s="281" t="s">
        <v>69</v>
      </c>
      <c r="J34" s="278" t="s">
        <v>160</v>
      </c>
      <c r="K34" s="282" t="str">
        <f t="shared" si="37"/>
        <v>11/09/2019</v>
      </c>
      <c r="L34" s="283">
        <f t="shared" si="38"/>
        <v>43742</v>
      </c>
      <c r="M34" s="284">
        <f t="shared" ca="1" si="39"/>
        <v>3</v>
      </c>
      <c r="N34" s="468">
        <f t="shared" ca="1" si="40"/>
        <v>26</v>
      </c>
      <c r="O34" s="282"/>
      <c r="P34" s="286">
        <f t="shared" si="41"/>
        <v>825226.38</v>
      </c>
      <c r="Q34" s="287"/>
      <c r="R34" s="288"/>
      <c r="S34" s="287"/>
      <c r="T34" s="287"/>
      <c r="U34" s="287" t="s">
        <v>52</v>
      </c>
      <c r="V34" s="502"/>
      <c r="W34" s="290"/>
      <c r="X34" s="290"/>
      <c r="Y34" s="326"/>
      <c r="Z34" s="292"/>
      <c r="AA34" s="293">
        <f t="shared" si="32"/>
        <v>0</v>
      </c>
      <c r="AB34" s="294"/>
      <c r="AC34" s="294"/>
      <c r="AD34" s="295"/>
      <c r="AE34" s="296"/>
      <c r="AF34" s="287"/>
      <c r="AG34" s="294" t="s">
        <v>48</v>
      </c>
      <c r="AH34" s="478"/>
      <c r="AI34" s="286" t="s">
        <v>918</v>
      </c>
      <c r="AJ34" s="297">
        <f>VLOOKUP(D34,[1]Hoja1!$G$6:$I$225,3,0)</f>
        <v>825226.38</v>
      </c>
      <c r="AK34" s="298">
        <f t="shared" si="36"/>
        <v>0</v>
      </c>
      <c r="AL34" s="588">
        <f t="shared" ca="1" si="34"/>
        <v>26</v>
      </c>
    </row>
    <row r="35" spans="1:38" s="300" customFormat="1" ht="12" customHeight="1">
      <c r="A35" s="287" t="s">
        <v>1079</v>
      </c>
      <c r="B35" s="278" t="s">
        <v>57</v>
      </c>
      <c r="C35" s="278" t="s">
        <v>1081</v>
      </c>
      <c r="D35" s="260" t="str">
        <f t="shared" si="35"/>
        <v>LC105790</v>
      </c>
      <c r="E35" s="321">
        <v>797720.99</v>
      </c>
      <c r="F35" s="321">
        <v>797720.99</v>
      </c>
      <c r="G35" s="280" t="s">
        <v>158</v>
      </c>
      <c r="H35" s="278" t="s">
        <v>33</v>
      </c>
      <c r="I35" s="281" t="s">
        <v>80</v>
      </c>
      <c r="J35" s="278" t="s">
        <v>160</v>
      </c>
      <c r="K35" s="282" t="str">
        <f t="shared" ref="K35:K43" si="42">A35</f>
        <v>17/09/2019</v>
      </c>
      <c r="L35" s="283">
        <f t="shared" ref="L35:L43" si="43">K35+23</f>
        <v>43748</v>
      </c>
      <c r="M35" s="284">
        <f t="shared" ref="M35:M43" ca="1" si="44">$A$1-L35</f>
        <v>-3</v>
      </c>
      <c r="N35" s="468">
        <f t="shared" ref="N35:N43" ca="1" si="45">+$A$1-A35</f>
        <v>20</v>
      </c>
      <c r="O35" s="282"/>
      <c r="P35" s="286">
        <f t="shared" ref="P35:P43" si="46">+F35</f>
        <v>797720.99</v>
      </c>
      <c r="Q35" s="287"/>
      <c r="R35" s="288"/>
      <c r="S35" s="287"/>
      <c r="T35" s="287"/>
      <c r="U35" s="287" t="s">
        <v>52</v>
      </c>
      <c r="V35" s="502"/>
      <c r="W35" s="290"/>
      <c r="X35" s="290"/>
      <c r="Y35" s="326"/>
      <c r="Z35" s="292"/>
      <c r="AA35" s="293">
        <f t="shared" si="32"/>
        <v>0</v>
      </c>
      <c r="AB35" s="294"/>
      <c r="AC35" s="294"/>
      <c r="AD35" s="295"/>
      <c r="AE35" s="296"/>
      <c r="AF35" s="287"/>
      <c r="AG35" s="294" t="s">
        <v>48</v>
      </c>
      <c r="AH35" s="478"/>
      <c r="AI35" s="286" t="s">
        <v>918</v>
      </c>
      <c r="AJ35" s="297">
        <f>VLOOKUP(D35,[1]Hoja1!$G$6:$I$225,3,0)</f>
        <v>797720.99</v>
      </c>
      <c r="AK35" s="298">
        <f t="shared" ref="AK35:AK43" si="47">+AJ35-F35</f>
        <v>0</v>
      </c>
      <c r="AL35" s="588">
        <f t="shared" ca="1" si="34"/>
        <v>20</v>
      </c>
    </row>
    <row r="36" spans="1:38" s="300" customFormat="1" ht="12" customHeight="1">
      <c r="A36" s="287" t="s">
        <v>1079</v>
      </c>
      <c r="B36" s="278" t="s">
        <v>1080</v>
      </c>
      <c r="C36" s="278" t="s">
        <v>1082</v>
      </c>
      <c r="D36" s="260" t="str">
        <f t="shared" si="35"/>
        <v>LC113704</v>
      </c>
      <c r="E36" s="321">
        <v>736501.96</v>
      </c>
      <c r="F36" s="321">
        <v>736501.96</v>
      </c>
      <c r="G36" s="280" t="s">
        <v>158</v>
      </c>
      <c r="H36" s="278" t="s">
        <v>33</v>
      </c>
      <c r="I36" s="281" t="s">
        <v>80</v>
      </c>
      <c r="J36" s="278" t="s">
        <v>160</v>
      </c>
      <c r="K36" s="282" t="str">
        <f t="shared" si="42"/>
        <v>17/09/2019</v>
      </c>
      <c r="L36" s="283">
        <f t="shared" si="43"/>
        <v>43748</v>
      </c>
      <c r="M36" s="284">
        <f t="shared" ca="1" si="44"/>
        <v>-3</v>
      </c>
      <c r="N36" s="468">
        <f t="shared" ca="1" si="45"/>
        <v>20</v>
      </c>
      <c r="O36" s="282"/>
      <c r="P36" s="286">
        <f t="shared" si="46"/>
        <v>736501.96</v>
      </c>
      <c r="Q36" s="287"/>
      <c r="R36" s="288"/>
      <c r="S36" s="287"/>
      <c r="T36" s="287"/>
      <c r="U36" s="287" t="s">
        <v>52</v>
      </c>
      <c r="V36" s="502"/>
      <c r="W36" s="290"/>
      <c r="X36" s="290"/>
      <c r="Y36" s="326"/>
      <c r="Z36" s="292"/>
      <c r="AA36" s="293">
        <f t="shared" si="32"/>
        <v>0</v>
      </c>
      <c r="AB36" s="294"/>
      <c r="AC36" s="294"/>
      <c r="AD36" s="295"/>
      <c r="AE36" s="296"/>
      <c r="AF36" s="287"/>
      <c r="AG36" s="294" t="s">
        <v>48</v>
      </c>
      <c r="AH36" s="478"/>
      <c r="AI36" s="286" t="s">
        <v>918</v>
      </c>
      <c r="AJ36" s="297">
        <f>VLOOKUP(D36,[1]Hoja1!$G$6:$I$225,3,0)</f>
        <v>736501.96</v>
      </c>
      <c r="AK36" s="298">
        <f t="shared" si="47"/>
        <v>0</v>
      </c>
      <c r="AL36" s="588">
        <f t="shared" ca="1" si="34"/>
        <v>20</v>
      </c>
    </row>
    <row r="37" spans="1:38" s="300" customFormat="1" ht="12" customHeight="1">
      <c r="A37" s="595">
        <v>43727</v>
      </c>
      <c r="B37" s="278" t="s">
        <v>363</v>
      </c>
      <c r="C37" s="278" t="s">
        <v>1091</v>
      </c>
      <c r="D37" s="260" t="str">
        <f t="shared" si="35"/>
        <v>LK274923</v>
      </c>
      <c r="E37" s="321">
        <v>437222.68</v>
      </c>
      <c r="F37" s="321">
        <v>437222.68</v>
      </c>
      <c r="G37" s="280" t="s">
        <v>158</v>
      </c>
      <c r="H37" s="278" t="s">
        <v>33</v>
      </c>
      <c r="I37" s="281"/>
      <c r="J37" s="278" t="s">
        <v>160</v>
      </c>
      <c r="K37" s="282">
        <f t="shared" si="42"/>
        <v>43727</v>
      </c>
      <c r="L37" s="283">
        <f t="shared" si="43"/>
        <v>43750</v>
      </c>
      <c r="M37" s="284">
        <f t="shared" ca="1" si="44"/>
        <v>-5</v>
      </c>
      <c r="N37" s="468">
        <f t="shared" ca="1" si="45"/>
        <v>18</v>
      </c>
      <c r="O37" s="282"/>
      <c r="P37" s="286">
        <f t="shared" si="46"/>
        <v>437222.68</v>
      </c>
      <c r="Q37" s="287"/>
      <c r="R37" s="288"/>
      <c r="S37" s="287"/>
      <c r="T37" s="287"/>
      <c r="U37" s="287" t="s">
        <v>52</v>
      </c>
      <c r="V37" s="502"/>
      <c r="W37" s="290"/>
      <c r="X37" s="290"/>
      <c r="Y37" s="326"/>
      <c r="Z37" s="292"/>
      <c r="AA37" s="293">
        <f t="shared" si="32"/>
        <v>0</v>
      </c>
      <c r="AB37" s="294"/>
      <c r="AC37" s="294"/>
      <c r="AD37" s="295"/>
      <c r="AE37" s="296"/>
      <c r="AF37" s="287"/>
      <c r="AG37" s="294" t="s">
        <v>48</v>
      </c>
      <c r="AH37" s="478"/>
      <c r="AI37" s="286" t="s">
        <v>918</v>
      </c>
      <c r="AJ37" s="297">
        <f>VLOOKUP(D37,[1]Hoja1!$G$6:$I$225,3,0)</f>
        <v>437222.68</v>
      </c>
      <c r="AK37" s="298">
        <f t="shared" si="47"/>
        <v>0</v>
      </c>
      <c r="AL37" s="588">
        <f t="shared" ref="AL37:AL43" ca="1" si="48">+$A$1-A37</f>
        <v>18</v>
      </c>
    </row>
    <row r="38" spans="1:38" s="300" customFormat="1" ht="12" customHeight="1">
      <c r="A38" s="595">
        <v>43727</v>
      </c>
      <c r="B38" s="278" t="s">
        <v>765</v>
      </c>
      <c r="C38" s="278" t="s">
        <v>1092</v>
      </c>
      <c r="D38" s="260" t="str">
        <f t="shared" si="35"/>
        <v>LW130080</v>
      </c>
      <c r="E38" s="321">
        <v>709936.05</v>
      </c>
      <c r="F38" s="321">
        <v>709936.05</v>
      </c>
      <c r="G38" s="280" t="s">
        <v>158</v>
      </c>
      <c r="H38" s="278" t="s">
        <v>33</v>
      </c>
      <c r="I38" s="281" t="s">
        <v>80</v>
      </c>
      <c r="J38" s="278" t="s">
        <v>160</v>
      </c>
      <c r="K38" s="282">
        <f t="shared" si="42"/>
        <v>43727</v>
      </c>
      <c r="L38" s="283">
        <f t="shared" si="43"/>
        <v>43750</v>
      </c>
      <c r="M38" s="284">
        <f t="shared" ca="1" si="44"/>
        <v>-5</v>
      </c>
      <c r="N38" s="468">
        <f t="shared" ca="1" si="45"/>
        <v>18</v>
      </c>
      <c r="O38" s="282"/>
      <c r="P38" s="286">
        <f t="shared" si="46"/>
        <v>709936.05</v>
      </c>
      <c r="Q38" s="287"/>
      <c r="R38" s="288"/>
      <c r="S38" s="287"/>
      <c r="T38" s="287"/>
      <c r="U38" s="287" t="s">
        <v>52</v>
      </c>
      <c r="V38" s="502"/>
      <c r="W38" s="290"/>
      <c r="X38" s="290"/>
      <c r="Y38" s="326"/>
      <c r="Z38" s="292"/>
      <c r="AA38" s="293">
        <f t="shared" si="32"/>
        <v>0</v>
      </c>
      <c r="AB38" s="294"/>
      <c r="AC38" s="294"/>
      <c r="AD38" s="295"/>
      <c r="AE38" s="296"/>
      <c r="AF38" s="287"/>
      <c r="AG38" s="294" t="s">
        <v>48</v>
      </c>
      <c r="AH38" s="478"/>
      <c r="AI38" s="286" t="s">
        <v>918</v>
      </c>
      <c r="AJ38" s="297">
        <f>VLOOKUP(D38,[1]Hoja1!$G$6:$I$225,3,0)</f>
        <v>709936.05</v>
      </c>
      <c r="AK38" s="298">
        <f t="shared" si="47"/>
        <v>0</v>
      </c>
      <c r="AL38" s="588">
        <f t="shared" ca="1" si="48"/>
        <v>18</v>
      </c>
    </row>
    <row r="39" spans="1:38" s="300" customFormat="1" ht="12" customHeight="1">
      <c r="A39" s="595" t="s">
        <v>1098</v>
      </c>
      <c r="B39" s="278" t="s">
        <v>258</v>
      </c>
      <c r="C39" s="278" t="s">
        <v>1099</v>
      </c>
      <c r="D39" s="260" t="str">
        <f t="shared" si="35"/>
        <v>LW117988</v>
      </c>
      <c r="E39" s="321">
        <v>825226.38</v>
      </c>
      <c r="F39" s="321">
        <v>825226.38</v>
      </c>
      <c r="G39" s="280" t="s">
        <v>158</v>
      </c>
      <c r="H39" s="278" t="s">
        <v>33</v>
      </c>
      <c r="I39" s="281" t="s">
        <v>69</v>
      </c>
      <c r="J39" s="278" t="s">
        <v>160</v>
      </c>
      <c r="K39" s="282" t="str">
        <f t="shared" si="42"/>
        <v>20/09/2019</v>
      </c>
      <c r="L39" s="283">
        <f t="shared" si="43"/>
        <v>43751</v>
      </c>
      <c r="M39" s="284">
        <f t="shared" ca="1" si="44"/>
        <v>-6</v>
      </c>
      <c r="N39" s="468">
        <f t="shared" ca="1" si="45"/>
        <v>17</v>
      </c>
      <c r="O39" s="282"/>
      <c r="P39" s="286">
        <f t="shared" si="46"/>
        <v>825226.38</v>
      </c>
      <c r="Q39" s="287"/>
      <c r="R39" s="288"/>
      <c r="S39" s="287"/>
      <c r="T39" s="287"/>
      <c r="U39" s="287" t="s">
        <v>52</v>
      </c>
      <c r="V39" s="502"/>
      <c r="W39" s="290"/>
      <c r="X39" s="290"/>
      <c r="Y39" s="326"/>
      <c r="Z39" s="292"/>
      <c r="AA39" s="293">
        <f t="shared" si="32"/>
        <v>0</v>
      </c>
      <c r="AB39" s="294"/>
      <c r="AC39" s="294"/>
      <c r="AD39" s="295"/>
      <c r="AE39" s="296"/>
      <c r="AF39" s="287"/>
      <c r="AG39" s="294" t="s">
        <v>48</v>
      </c>
      <c r="AH39" s="478"/>
      <c r="AI39" s="286" t="s">
        <v>918</v>
      </c>
      <c r="AJ39" s="297">
        <f>VLOOKUP(D39,[1]Hoja1!$G$6:$I$225,3,0)</f>
        <v>825226.38</v>
      </c>
      <c r="AK39" s="298">
        <f t="shared" si="47"/>
        <v>0</v>
      </c>
      <c r="AL39" s="588">
        <f t="shared" ca="1" si="48"/>
        <v>17</v>
      </c>
    </row>
    <row r="40" spans="1:38" s="300" customFormat="1" ht="12" customHeight="1">
      <c r="A40" s="595" t="s">
        <v>1144</v>
      </c>
      <c r="B40" s="278" t="s">
        <v>1080</v>
      </c>
      <c r="C40" s="278" t="s">
        <v>1146</v>
      </c>
      <c r="D40" s="260" t="str">
        <f t="shared" si="35"/>
        <v>LC145190</v>
      </c>
      <c r="E40" s="321">
        <v>736501.96</v>
      </c>
      <c r="F40" s="321">
        <v>736501.96</v>
      </c>
      <c r="G40" s="280" t="s">
        <v>158</v>
      </c>
      <c r="H40" s="278" t="s">
        <v>33</v>
      </c>
      <c r="I40" s="281"/>
      <c r="J40" s="278" t="s">
        <v>160</v>
      </c>
      <c r="K40" s="282" t="str">
        <f t="shared" si="42"/>
        <v>24/09/2019</v>
      </c>
      <c r="L40" s="283">
        <f t="shared" si="43"/>
        <v>43755</v>
      </c>
      <c r="M40" s="284">
        <f t="shared" ca="1" si="44"/>
        <v>-10</v>
      </c>
      <c r="N40" s="468">
        <f t="shared" ca="1" si="45"/>
        <v>13</v>
      </c>
      <c r="O40" s="282"/>
      <c r="P40" s="286">
        <f t="shared" si="46"/>
        <v>736501.96</v>
      </c>
      <c r="Q40" s="287"/>
      <c r="R40" s="288"/>
      <c r="S40" s="287"/>
      <c r="T40" s="287"/>
      <c r="U40" s="287" t="s">
        <v>52</v>
      </c>
      <c r="V40" s="502"/>
      <c r="W40" s="290"/>
      <c r="X40" s="290"/>
      <c r="Y40" s="326"/>
      <c r="Z40" s="292"/>
      <c r="AA40" s="293">
        <f t="shared" si="32"/>
        <v>0</v>
      </c>
      <c r="AB40" s="294"/>
      <c r="AC40" s="294"/>
      <c r="AD40" s="295"/>
      <c r="AE40" s="296"/>
      <c r="AF40" s="287"/>
      <c r="AG40" s="294" t="s">
        <v>48</v>
      </c>
      <c r="AH40" s="478"/>
      <c r="AI40" s="286" t="s">
        <v>918</v>
      </c>
      <c r="AJ40" s="297">
        <f>VLOOKUP(D40,[1]Hoja1!$G$6:$I$225,3,0)</f>
        <v>736501.96</v>
      </c>
      <c r="AK40" s="298">
        <f t="shared" si="47"/>
        <v>0</v>
      </c>
      <c r="AL40" s="588">
        <f t="shared" ca="1" si="48"/>
        <v>13</v>
      </c>
    </row>
    <row r="41" spans="1:38" s="300" customFormat="1" ht="12" customHeight="1">
      <c r="A41" s="595" t="s">
        <v>1144</v>
      </c>
      <c r="B41" s="278" t="s">
        <v>1145</v>
      </c>
      <c r="C41" s="278" t="s">
        <v>1147</v>
      </c>
      <c r="D41" s="260" t="str">
        <f t="shared" si="35"/>
        <v>LW125250</v>
      </c>
      <c r="E41" s="321">
        <v>853850.02</v>
      </c>
      <c r="F41" s="321">
        <v>853850.02</v>
      </c>
      <c r="G41" s="280" t="s">
        <v>158</v>
      </c>
      <c r="H41" s="278" t="s">
        <v>33</v>
      </c>
      <c r="I41" s="281" t="s">
        <v>69</v>
      </c>
      <c r="J41" s="278" t="s">
        <v>160</v>
      </c>
      <c r="K41" s="282" t="str">
        <f t="shared" si="42"/>
        <v>24/09/2019</v>
      </c>
      <c r="L41" s="283">
        <f t="shared" si="43"/>
        <v>43755</v>
      </c>
      <c r="M41" s="284">
        <f t="shared" ca="1" si="44"/>
        <v>-10</v>
      </c>
      <c r="N41" s="468">
        <f t="shared" ca="1" si="45"/>
        <v>13</v>
      </c>
      <c r="O41" s="282"/>
      <c r="P41" s="286">
        <f t="shared" si="46"/>
        <v>853850.02</v>
      </c>
      <c r="Q41" s="287"/>
      <c r="R41" s="288"/>
      <c r="S41" s="287" t="s">
        <v>1466</v>
      </c>
      <c r="T41" s="287" t="s">
        <v>1467</v>
      </c>
      <c r="U41" s="287" t="s">
        <v>40</v>
      </c>
      <c r="V41" s="502">
        <v>43741</v>
      </c>
      <c r="W41" s="290"/>
      <c r="X41" s="290"/>
      <c r="Y41" s="326">
        <v>947900</v>
      </c>
      <c r="Z41" s="326">
        <v>947900</v>
      </c>
      <c r="AA41" s="293">
        <f t="shared" si="32"/>
        <v>0</v>
      </c>
      <c r="AB41" s="294" t="s">
        <v>197</v>
      </c>
      <c r="AC41" s="294" t="s">
        <v>1472</v>
      </c>
      <c r="AD41" s="295">
        <v>43741</v>
      </c>
      <c r="AE41" s="296"/>
      <c r="AF41" s="287" t="s">
        <v>188</v>
      </c>
      <c r="AG41" s="294" t="s">
        <v>82</v>
      </c>
      <c r="AH41" s="478"/>
      <c r="AI41" s="286" t="s">
        <v>918</v>
      </c>
      <c r="AJ41" s="297">
        <f>VLOOKUP(D41,[1]Hoja1!$G$6:$I$225,3,0)</f>
        <v>853850.02</v>
      </c>
      <c r="AK41" s="298">
        <f t="shared" si="47"/>
        <v>0</v>
      </c>
      <c r="AL41" s="588">
        <f t="shared" ca="1" si="48"/>
        <v>13</v>
      </c>
    </row>
    <row r="42" spans="1:38" s="300" customFormat="1" ht="12" customHeight="1">
      <c r="A42" s="595" t="s">
        <v>1156</v>
      </c>
      <c r="B42" s="278" t="s">
        <v>58</v>
      </c>
      <c r="C42" s="278" t="s">
        <v>1157</v>
      </c>
      <c r="D42" s="260" t="str">
        <f t="shared" si="35"/>
        <v>KG575797</v>
      </c>
      <c r="E42" s="321">
        <v>524706.86</v>
      </c>
      <c r="F42" s="321">
        <v>524706.86</v>
      </c>
      <c r="G42" s="280" t="s">
        <v>158</v>
      </c>
      <c r="H42" s="278" t="s">
        <v>33</v>
      </c>
      <c r="I42" s="281"/>
      <c r="J42" s="278" t="s">
        <v>160</v>
      </c>
      <c r="K42" s="282" t="str">
        <f t="shared" si="42"/>
        <v>25/09/2019</v>
      </c>
      <c r="L42" s="283">
        <f t="shared" si="43"/>
        <v>43756</v>
      </c>
      <c r="M42" s="284">
        <f t="shared" ca="1" si="44"/>
        <v>-11</v>
      </c>
      <c r="N42" s="468">
        <f t="shared" ca="1" si="45"/>
        <v>12</v>
      </c>
      <c r="O42" s="282"/>
      <c r="P42" s="286">
        <f t="shared" si="46"/>
        <v>524706.86</v>
      </c>
      <c r="Q42" s="287"/>
      <c r="R42" s="288"/>
      <c r="S42" s="287" t="s">
        <v>1408</v>
      </c>
      <c r="T42" s="287" t="s">
        <v>1335</v>
      </c>
      <c r="U42" s="287" t="s">
        <v>202</v>
      </c>
      <c r="V42" s="502">
        <v>43739</v>
      </c>
      <c r="W42" s="290"/>
      <c r="X42" s="290"/>
      <c r="Y42" s="326">
        <v>552000</v>
      </c>
      <c r="Z42" s="292"/>
      <c r="AA42" s="293">
        <f t="shared" si="32"/>
        <v>552000</v>
      </c>
      <c r="AB42" s="294"/>
      <c r="AC42" s="294"/>
      <c r="AD42" s="295"/>
      <c r="AE42" s="296"/>
      <c r="AF42" s="287" t="s">
        <v>65</v>
      </c>
      <c r="AG42" s="294" t="s">
        <v>48</v>
      </c>
      <c r="AH42" s="478"/>
      <c r="AI42" s="286" t="s">
        <v>918</v>
      </c>
      <c r="AJ42" s="297">
        <f>VLOOKUP(D42,[1]Hoja1!$G$6:$I$225,3,0)</f>
        <v>524706.86</v>
      </c>
      <c r="AK42" s="298">
        <f t="shared" si="47"/>
        <v>0</v>
      </c>
      <c r="AL42" s="588">
        <f t="shared" ca="1" si="48"/>
        <v>12</v>
      </c>
    </row>
    <row r="43" spans="1:38" s="300" customFormat="1" ht="12" customHeight="1">
      <c r="A43" s="595" t="s">
        <v>1156</v>
      </c>
      <c r="B43" s="278" t="s">
        <v>172</v>
      </c>
      <c r="C43" s="278" t="s">
        <v>1158</v>
      </c>
      <c r="D43" s="260" t="str">
        <f t="shared" si="35"/>
        <v>KT819926</v>
      </c>
      <c r="E43" s="321">
        <v>494559.95</v>
      </c>
      <c r="F43" s="321">
        <v>494559.95</v>
      </c>
      <c r="G43" s="280" t="s">
        <v>158</v>
      </c>
      <c r="H43" s="278" t="s">
        <v>33</v>
      </c>
      <c r="I43" s="281"/>
      <c r="J43" s="278" t="s">
        <v>160</v>
      </c>
      <c r="K43" s="282" t="str">
        <f t="shared" si="42"/>
        <v>25/09/2019</v>
      </c>
      <c r="L43" s="283">
        <f t="shared" si="43"/>
        <v>43756</v>
      </c>
      <c r="M43" s="284">
        <f t="shared" ca="1" si="44"/>
        <v>-11</v>
      </c>
      <c r="N43" s="468">
        <f t="shared" ca="1" si="45"/>
        <v>12</v>
      </c>
      <c r="O43" s="282"/>
      <c r="P43" s="286">
        <f t="shared" si="46"/>
        <v>494559.95</v>
      </c>
      <c r="Q43" s="287"/>
      <c r="R43" s="288"/>
      <c r="S43" s="287" t="s">
        <v>1197</v>
      </c>
      <c r="T43" s="287" t="s">
        <v>1198</v>
      </c>
      <c r="U43" s="287" t="s">
        <v>36</v>
      </c>
      <c r="V43" s="502">
        <v>43735</v>
      </c>
      <c r="W43" s="290"/>
      <c r="X43" s="290"/>
      <c r="Y43" s="326">
        <v>485400</v>
      </c>
      <c r="Z43" s="292"/>
      <c r="AA43" s="293">
        <f t="shared" si="32"/>
        <v>485400</v>
      </c>
      <c r="AB43" s="294"/>
      <c r="AC43" s="294"/>
      <c r="AD43" s="295"/>
      <c r="AE43" s="296"/>
      <c r="AF43" s="287" t="s">
        <v>65</v>
      </c>
      <c r="AG43" s="294" t="s">
        <v>48</v>
      </c>
      <c r="AH43" s="478"/>
      <c r="AI43" s="286" t="s">
        <v>918</v>
      </c>
      <c r="AJ43" s="297">
        <f>VLOOKUP(D43,[1]Hoja1!$G$6:$I$225,3,0)</f>
        <v>494559.95</v>
      </c>
      <c r="AK43" s="298">
        <f t="shared" si="47"/>
        <v>0</v>
      </c>
      <c r="AL43" s="588">
        <f t="shared" ca="1" si="48"/>
        <v>12</v>
      </c>
    </row>
    <row r="44" spans="1:38" s="300" customFormat="1" ht="12" customHeight="1">
      <c r="A44" s="595" t="s">
        <v>1169</v>
      </c>
      <c r="B44" s="278" t="s">
        <v>71</v>
      </c>
      <c r="C44" s="278" t="s">
        <v>1178</v>
      </c>
      <c r="D44" s="260" t="str">
        <f t="shared" si="35"/>
        <v>KH008547</v>
      </c>
      <c r="E44" s="321">
        <v>195996.94</v>
      </c>
      <c r="F44" s="321">
        <v>195996.94</v>
      </c>
      <c r="G44" s="280" t="s">
        <v>158</v>
      </c>
      <c r="H44" s="278" t="s">
        <v>33</v>
      </c>
      <c r="I44" s="281"/>
      <c r="J44" s="278" t="s">
        <v>160</v>
      </c>
      <c r="K44" s="282" t="str">
        <f t="shared" ref="K44:K58" si="49">A44</f>
        <v>26/09/2019</v>
      </c>
      <c r="L44" s="283">
        <f t="shared" ref="L44:L58" si="50">K44+23</f>
        <v>43757</v>
      </c>
      <c r="M44" s="284">
        <f t="shared" ref="M44:M58" ca="1" si="51">$A$1-L44</f>
        <v>-12</v>
      </c>
      <c r="N44" s="468">
        <f t="shared" ref="N44:N58" ca="1" si="52">+$A$1-A44</f>
        <v>11</v>
      </c>
      <c r="O44" s="282"/>
      <c r="P44" s="286">
        <f t="shared" ref="P44:P58" si="53">+F44</f>
        <v>195996.94</v>
      </c>
      <c r="Q44" s="287"/>
      <c r="R44" s="288"/>
      <c r="S44" s="287"/>
      <c r="T44" s="287"/>
      <c r="U44" s="287" t="s">
        <v>52</v>
      </c>
      <c r="V44" s="502"/>
      <c r="W44" s="290"/>
      <c r="X44" s="290"/>
      <c r="Y44" s="326"/>
      <c r="Z44" s="292"/>
      <c r="AA44" s="293">
        <f t="shared" ref="AA44:AA58" si="54">+Y44-Z44</f>
        <v>0</v>
      </c>
      <c r="AB44" s="294"/>
      <c r="AC44" s="294"/>
      <c r="AD44" s="295"/>
      <c r="AE44" s="296"/>
      <c r="AF44" s="287"/>
      <c r="AG44" s="294" t="s">
        <v>48</v>
      </c>
      <c r="AH44" s="478"/>
      <c r="AI44" s="286" t="s">
        <v>918</v>
      </c>
      <c r="AJ44" s="297">
        <f>VLOOKUP(D44,[1]Hoja1!$G$6:$I$225,3,0)</f>
        <v>195996.94</v>
      </c>
      <c r="AK44" s="298">
        <f t="shared" ref="AK44:AK58" si="55">+AJ44-F44</f>
        <v>0</v>
      </c>
      <c r="AL44" s="588">
        <f t="shared" ref="AL44:AL58" ca="1" si="56">+$A$1-A44</f>
        <v>11</v>
      </c>
    </row>
    <row r="45" spans="1:38" s="300" customFormat="1" ht="12" customHeight="1">
      <c r="A45" s="595" t="s">
        <v>1169</v>
      </c>
      <c r="B45" s="278" t="s">
        <v>71</v>
      </c>
      <c r="C45" s="278" t="s">
        <v>1179</v>
      </c>
      <c r="D45" s="260" t="str">
        <f t="shared" si="35"/>
        <v>KH008548</v>
      </c>
      <c r="E45" s="321">
        <v>195996.94</v>
      </c>
      <c r="F45" s="321">
        <v>195996.94</v>
      </c>
      <c r="G45" s="280" t="s">
        <v>158</v>
      </c>
      <c r="H45" s="278" t="s">
        <v>33</v>
      </c>
      <c r="I45" s="281"/>
      <c r="J45" s="278" t="s">
        <v>160</v>
      </c>
      <c r="K45" s="282" t="str">
        <f t="shared" si="49"/>
        <v>26/09/2019</v>
      </c>
      <c r="L45" s="283">
        <f t="shared" si="50"/>
        <v>43757</v>
      </c>
      <c r="M45" s="284">
        <f t="shared" ca="1" si="51"/>
        <v>-12</v>
      </c>
      <c r="N45" s="468">
        <f t="shared" ca="1" si="52"/>
        <v>11</v>
      </c>
      <c r="O45" s="282"/>
      <c r="P45" s="286">
        <f t="shared" si="53"/>
        <v>195996.94</v>
      </c>
      <c r="Q45" s="287"/>
      <c r="R45" s="288"/>
      <c r="S45" s="287"/>
      <c r="T45" s="287"/>
      <c r="U45" s="287" t="s">
        <v>52</v>
      </c>
      <c r="V45" s="502"/>
      <c r="W45" s="290"/>
      <c r="X45" s="290"/>
      <c r="Y45" s="326"/>
      <c r="Z45" s="292"/>
      <c r="AA45" s="293">
        <f t="shared" si="54"/>
        <v>0</v>
      </c>
      <c r="AB45" s="294"/>
      <c r="AC45" s="294"/>
      <c r="AD45" s="295"/>
      <c r="AE45" s="296"/>
      <c r="AF45" s="287"/>
      <c r="AG45" s="294" t="s">
        <v>48</v>
      </c>
      <c r="AH45" s="478"/>
      <c r="AI45" s="286" t="s">
        <v>918</v>
      </c>
      <c r="AJ45" s="297">
        <f>VLOOKUP(D45,[1]Hoja1!$G$6:$I$225,3,0)</f>
        <v>195996.94</v>
      </c>
      <c r="AK45" s="298">
        <f t="shared" si="55"/>
        <v>0</v>
      </c>
      <c r="AL45" s="588">
        <f t="shared" ca="1" si="56"/>
        <v>11</v>
      </c>
    </row>
    <row r="46" spans="1:38" s="300" customFormat="1" ht="12" customHeight="1">
      <c r="A46" s="595" t="s">
        <v>1169</v>
      </c>
      <c r="B46" s="278" t="s">
        <v>71</v>
      </c>
      <c r="C46" s="278" t="s">
        <v>1180</v>
      </c>
      <c r="D46" s="260" t="str">
        <f t="shared" si="35"/>
        <v>KH008549</v>
      </c>
      <c r="E46" s="321">
        <v>195996.94</v>
      </c>
      <c r="F46" s="321">
        <v>195996.94</v>
      </c>
      <c r="G46" s="280" t="s">
        <v>158</v>
      </c>
      <c r="H46" s="278" t="s">
        <v>33</v>
      </c>
      <c r="I46" s="281"/>
      <c r="J46" s="278" t="s">
        <v>160</v>
      </c>
      <c r="K46" s="282" t="str">
        <f t="shared" si="49"/>
        <v>26/09/2019</v>
      </c>
      <c r="L46" s="283">
        <f t="shared" si="50"/>
        <v>43757</v>
      </c>
      <c r="M46" s="284">
        <f t="shared" ca="1" si="51"/>
        <v>-12</v>
      </c>
      <c r="N46" s="468">
        <f t="shared" ca="1" si="52"/>
        <v>11</v>
      </c>
      <c r="O46" s="282"/>
      <c r="P46" s="286">
        <f t="shared" si="53"/>
        <v>195996.94</v>
      </c>
      <c r="Q46" s="287"/>
      <c r="R46" s="288"/>
      <c r="S46" s="287"/>
      <c r="T46" s="287"/>
      <c r="U46" s="287" t="s">
        <v>52</v>
      </c>
      <c r="V46" s="502"/>
      <c r="W46" s="290"/>
      <c r="X46" s="290"/>
      <c r="Y46" s="326"/>
      <c r="Z46" s="292"/>
      <c r="AA46" s="293">
        <f t="shared" si="54"/>
        <v>0</v>
      </c>
      <c r="AB46" s="294"/>
      <c r="AC46" s="294"/>
      <c r="AD46" s="295"/>
      <c r="AE46" s="296"/>
      <c r="AF46" s="287"/>
      <c r="AG46" s="294" t="s">
        <v>48</v>
      </c>
      <c r="AH46" s="478"/>
      <c r="AI46" s="286" t="s">
        <v>918</v>
      </c>
      <c r="AJ46" s="297">
        <f>VLOOKUP(D46,[1]Hoja1!$G$6:$I$225,3,0)</f>
        <v>195996.94</v>
      </c>
      <c r="AK46" s="298">
        <f t="shared" si="55"/>
        <v>0</v>
      </c>
      <c r="AL46" s="588">
        <f t="shared" ca="1" si="56"/>
        <v>11</v>
      </c>
    </row>
    <row r="47" spans="1:38" s="300" customFormat="1" ht="12" customHeight="1">
      <c r="A47" s="595" t="s">
        <v>1169</v>
      </c>
      <c r="B47" s="278" t="s">
        <v>71</v>
      </c>
      <c r="C47" s="278" t="s">
        <v>1181</v>
      </c>
      <c r="D47" s="260" t="str">
        <f t="shared" si="35"/>
        <v>KH008550</v>
      </c>
      <c r="E47" s="321">
        <v>195996.94</v>
      </c>
      <c r="F47" s="321">
        <v>195996.94</v>
      </c>
      <c r="G47" s="280" t="s">
        <v>158</v>
      </c>
      <c r="H47" s="278" t="s">
        <v>33</v>
      </c>
      <c r="I47" s="281"/>
      <c r="J47" s="278" t="s">
        <v>160</v>
      </c>
      <c r="K47" s="282" t="str">
        <f t="shared" si="49"/>
        <v>26/09/2019</v>
      </c>
      <c r="L47" s="283">
        <f t="shared" si="50"/>
        <v>43757</v>
      </c>
      <c r="M47" s="284">
        <f t="shared" ca="1" si="51"/>
        <v>-12</v>
      </c>
      <c r="N47" s="468">
        <f t="shared" ca="1" si="52"/>
        <v>11</v>
      </c>
      <c r="O47" s="282"/>
      <c r="P47" s="286">
        <f t="shared" si="53"/>
        <v>195996.94</v>
      </c>
      <c r="Q47" s="287"/>
      <c r="R47" s="288"/>
      <c r="S47" s="287"/>
      <c r="T47" s="287"/>
      <c r="U47" s="287" t="s">
        <v>52</v>
      </c>
      <c r="V47" s="502"/>
      <c r="W47" s="290"/>
      <c r="X47" s="290"/>
      <c r="Y47" s="326"/>
      <c r="Z47" s="292"/>
      <c r="AA47" s="293">
        <f t="shared" si="54"/>
        <v>0</v>
      </c>
      <c r="AB47" s="294"/>
      <c r="AC47" s="294"/>
      <c r="AD47" s="295"/>
      <c r="AE47" s="296"/>
      <c r="AF47" s="287"/>
      <c r="AG47" s="294" t="s">
        <v>48</v>
      </c>
      <c r="AH47" s="478"/>
      <c r="AI47" s="286" t="s">
        <v>918</v>
      </c>
      <c r="AJ47" s="297">
        <f>VLOOKUP(D47,[1]Hoja1!$G$6:$I$225,3,0)</f>
        <v>195996.94</v>
      </c>
      <c r="AK47" s="298">
        <f t="shared" si="55"/>
        <v>0</v>
      </c>
      <c r="AL47" s="588">
        <f t="shared" ca="1" si="56"/>
        <v>11</v>
      </c>
    </row>
    <row r="48" spans="1:38" s="300" customFormat="1" ht="12" customHeight="1">
      <c r="A48" s="595" t="s">
        <v>1169</v>
      </c>
      <c r="B48" s="278" t="s">
        <v>71</v>
      </c>
      <c r="C48" s="278" t="s">
        <v>1182</v>
      </c>
      <c r="D48" s="260" t="str">
        <f t="shared" si="35"/>
        <v>KH009075</v>
      </c>
      <c r="E48" s="321">
        <v>195996.94</v>
      </c>
      <c r="F48" s="321">
        <v>195996.94</v>
      </c>
      <c r="G48" s="280" t="s">
        <v>158</v>
      </c>
      <c r="H48" s="278" t="s">
        <v>33</v>
      </c>
      <c r="I48" s="281"/>
      <c r="J48" s="278" t="s">
        <v>160</v>
      </c>
      <c r="K48" s="282" t="str">
        <f t="shared" si="49"/>
        <v>26/09/2019</v>
      </c>
      <c r="L48" s="283">
        <f t="shared" si="50"/>
        <v>43757</v>
      </c>
      <c r="M48" s="284">
        <f t="shared" ca="1" si="51"/>
        <v>-12</v>
      </c>
      <c r="N48" s="468">
        <f t="shared" ca="1" si="52"/>
        <v>11</v>
      </c>
      <c r="O48" s="282"/>
      <c r="P48" s="286">
        <f t="shared" si="53"/>
        <v>195996.94</v>
      </c>
      <c r="Q48" s="287"/>
      <c r="R48" s="288"/>
      <c r="S48" s="287"/>
      <c r="T48" s="287"/>
      <c r="U48" s="287" t="s">
        <v>52</v>
      </c>
      <c r="V48" s="502"/>
      <c r="W48" s="290"/>
      <c r="X48" s="290"/>
      <c r="Y48" s="326"/>
      <c r="Z48" s="292"/>
      <c r="AA48" s="293">
        <f t="shared" si="54"/>
        <v>0</v>
      </c>
      <c r="AB48" s="294"/>
      <c r="AC48" s="294"/>
      <c r="AD48" s="295"/>
      <c r="AE48" s="296"/>
      <c r="AF48" s="287"/>
      <c r="AG48" s="294" t="s">
        <v>48</v>
      </c>
      <c r="AH48" s="478"/>
      <c r="AI48" s="286" t="s">
        <v>918</v>
      </c>
      <c r="AJ48" s="297">
        <f>VLOOKUP(D48,[1]Hoja1!$G$6:$I$225,3,0)</f>
        <v>195996.94</v>
      </c>
      <c r="AK48" s="298">
        <f t="shared" si="55"/>
        <v>0</v>
      </c>
      <c r="AL48" s="588">
        <f t="shared" ca="1" si="56"/>
        <v>11</v>
      </c>
    </row>
    <row r="49" spans="1:38" s="300" customFormat="1" ht="12" customHeight="1">
      <c r="A49" s="595" t="s">
        <v>1169</v>
      </c>
      <c r="B49" s="278" t="s">
        <v>71</v>
      </c>
      <c r="C49" s="278" t="s">
        <v>1183</v>
      </c>
      <c r="D49" s="260" t="str">
        <f t="shared" si="35"/>
        <v>KH009076</v>
      </c>
      <c r="E49" s="321">
        <v>195996.94</v>
      </c>
      <c r="F49" s="321">
        <v>195996.94</v>
      </c>
      <c r="G49" s="280" t="s">
        <v>158</v>
      </c>
      <c r="H49" s="278" t="s">
        <v>33</v>
      </c>
      <c r="I49" s="281"/>
      <c r="J49" s="278" t="s">
        <v>160</v>
      </c>
      <c r="K49" s="282" t="str">
        <f t="shared" si="49"/>
        <v>26/09/2019</v>
      </c>
      <c r="L49" s="283">
        <f t="shared" si="50"/>
        <v>43757</v>
      </c>
      <c r="M49" s="284">
        <f t="shared" ca="1" si="51"/>
        <v>-12</v>
      </c>
      <c r="N49" s="468">
        <f t="shared" ca="1" si="52"/>
        <v>11</v>
      </c>
      <c r="O49" s="282"/>
      <c r="P49" s="286">
        <f t="shared" si="53"/>
        <v>195996.94</v>
      </c>
      <c r="Q49" s="287"/>
      <c r="R49" s="288"/>
      <c r="S49" s="287"/>
      <c r="T49" s="287"/>
      <c r="U49" s="287" t="s">
        <v>52</v>
      </c>
      <c r="V49" s="502"/>
      <c r="W49" s="290"/>
      <c r="X49" s="290"/>
      <c r="Y49" s="326"/>
      <c r="Z49" s="292"/>
      <c r="AA49" s="293">
        <f t="shared" si="54"/>
        <v>0</v>
      </c>
      <c r="AB49" s="294"/>
      <c r="AC49" s="294"/>
      <c r="AD49" s="295"/>
      <c r="AE49" s="296"/>
      <c r="AF49" s="287"/>
      <c r="AG49" s="294" t="s">
        <v>48</v>
      </c>
      <c r="AH49" s="478"/>
      <c r="AI49" s="286" t="s">
        <v>918</v>
      </c>
      <c r="AJ49" s="297">
        <f>VLOOKUP(D49,[1]Hoja1!$G$6:$I$225,3,0)</f>
        <v>195996.94</v>
      </c>
      <c r="AK49" s="298">
        <f t="shared" si="55"/>
        <v>0</v>
      </c>
      <c r="AL49" s="588">
        <f t="shared" ca="1" si="56"/>
        <v>11</v>
      </c>
    </row>
    <row r="50" spans="1:38" s="300" customFormat="1" ht="12" customHeight="1">
      <c r="A50" s="595" t="s">
        <v>1169</v>
      </c>
      <c r="B50" s="278" t="s">
        <v>71</v>
      </c>
      <c r="C50" s="278" t="s">
        <v>1184</v>
      </c>
      <c r="D50" s="260" t="str">
        <f t="shared" si="35"/>
        <v>KH009077</v>
      </c>
      <c r="E50" s="321">
        <v>195996.94</v>
      </c>
      <c r="F50" s="321">
        <v>195996.94</v>
      </c>
      <c r="G50" s="280" t="s">
        <v>158</v>
      </c>
      <c r="H50" s="278" t="s">
        <v>33</v>
      </c>
      <c r="I50" s="281"/>
      <c r="J50" s="278" t="s">
        <v>160</v>
      </c>
      <c r="K50" s="282" t="str">
        <f t="shared" si="49"/>
        <v>26/09/2019</v>
      </c>
      <c r="L50" s="283">
        <f t="shared" si="50"/>
        <v>43757</v>
      </c>
      <c r="M50" s="284">
        <f t="shared" ca="1" si="51"/>
        <v>-12</v>
      </c>
      <c r="N50" s="468">
        <f t="shared" ca="1" si="52"/>
        <v>11</v>
      </c>
      <c r="O50" s="282"/>
      <c r="P50" s="286">
        <f t="shared" si="53"/>
        <v>195996.94</v>
      </c>
      <c r="Q50" s="287"/>
      <c r="R50" s="288"/>
      <c r="S50" s="287"/>
      <c r="T50" s="287"/>
      <c r="U50" s="287" t="s">
        <v>52</v>
      </c>
      <c r="V50" s="502"/>
      <c r="W50" s="290"/>
      <c r="X50" s="290"/>
      <c r="Y50" s="326"/>
      <c r="Z50" s="292"/>
      <c r="AA50" s="293">
        <f t="shared" si="54"/>
        <v>0</v>
      </c>
      <c r="AB50" s="294"/>
      <c r="AC50" s="294"/>
      <c r="AD50" s="295"/>
      <c r="AE50" s="296"/>
      <c r="AF50" s="287"/>
      <c r="AG50" s="294" t="s">
        <v>48</v>
      </c>
      <c r="AH50" s="478"/>
      <c r="AI50" s="286" t="s">
        <v>918</v>
      </c>
      <c r="AJ50" s="297">
        <f>VLOOKUP(D50,[1]Hoja1!$G$6:$I$225,3,0)</f>
        <v>195996.94</v>
      </c>
      <c r="AK50" s="298">
        <f t="shared" si="55"/>
        <v>0</v>
      </c>
      <c r="AL50" s="588">
        <f t="shared" ca="1" si="56"/>
        <v>11</v>
      </c>
    </row>
    <row r="51" spans="1:38" s="300" customFormat="1" ht="12" customHeight="1">
      <c r="A51" s="595" t="s">
        <v>1169</v>
      </c>
      <c r="B51" s="278" t="s">
        <v>71</v>
      </c>
      <c r="C51" s="278" t="s">
        <v>1185</v>
      </c>
      <c r="D51" s="260" t="str">
        <f t="shared" si="35"/>
        <v>KH009078</v>
      </c>
      <c r="E51" s="321">
        <v>195996.94</v>
      </c>
      <c r="F51" s="321">
        <v>195996.94</v>
      </c>
      <c r="G51" s="280" t="s">
        <v>158</v>
      </c>
      <c r="H51" s="278" t="s">
        <v>33</v>
      </c>
      <c r="I51" s="281"/>
      <c r="J51" s="278" t="s">
        <v>160</v>
      </c>
      <c r="K51" s="282" t="str">
        <f t="shared" si="49"/>
        <v>26/09/2019</v>
      </c>
      <c r="L51" s="283">
        <f t="shared" si="50"/>
        <v>43757</v>
      </c>
      <c r="M51" s="284">
        <f t="shared" ca="1" si="51"/>
        <v>-12</v>
      </c>
      <c r="N51" s="468">
        <f t="shared" ca="1" si="52"/>
        <v>11</v>
      </c>
      <c r="O51" s="282"/>
      <c r="P51" s="286">
        <f t="shared" si="53"/>
        <v>195996.94</v>
      </c>
      <c r="Q51" s="287"/>
      <c r="R51" s="288"/>
      <c r="S51" s="287"/>
      <c r="T51" s="287"/>
      <c r="U51" s="287" t="s">
        <v>52</v>
      </c>
      <c r="V51" s="502"/>
      <c r="W51" s="290"/>
      <c r="X51" s="290"/>
      <c r="Y51" s="326"/>
      <c r="Z51" s="292"/>
      <c r="AA51" s="293">
        <f t="shared" si="54"/>
        <v>0</v>
      </c>
      <c r="AB51" s="294"/>
      <c r="AC51" s="294"/>
      <c r="AD51" s="295"/>
      <c r="AE51" s="296"/>
      <c r="AF51" s="287"/>
      <c r="AG51" s="294" t="s">
        <v>48</v>
      </c>
      <c r="AH51" s="478"/>
      <c r="AI51" s="286" t="s">
        <v>918</v>
      </c>
      <c r="AJ51" s="297">
        <f>VLOOKUP(D51,[1]Hoja1!$G$6:$I$225,3,0)</f>
        <v>195996.94</v>
      </c>
      <c r="AK51" s="298">
        <f t="shared" si="55"/>
        <v>0</v>
      </c>
      <c r="AL51" s="588">
        <f t="shared" ca="1" si="56"/>
        <v>11</v>
      </c>
    </row>
    <row r="52" spans="1:38" s="300" customFormat="1" ht="12" customHeight="1">
      <c r="A52" s="595" t="s">
        <v>1169</v>
      </c>
      <c r="B52" s="278" t="s">
        <v>71</v>
      </c>
      <c r="C52" s="278" t="s">
        <v>1186</v>
      </c>
      <c r="D52" s="260" t="str">
        <f t="shared" si="35"/>
        <v>KH009079</v>
      </c>
      <c r="E52" s="321">
        <v>195996.94</v>
      </c>
      <c r="F52" s="321">
        <v>195996.94</v>
      </c>
      <c r="G52" s="280" t="s">
        <v>158</v>
      </c>
      <c r="H52" s="278" t="s">
        <v>33</v>
      </c>
      <c r="I52" s="281"/>
      <c r="J52" s="278" t="s">
        <v>160</v>
      </c>
      <c r="K52" s="282" t="str">
        <f t="shared" si="49"/>
        <v>26/09/2019</v>
      </c>
      <c r="L52" s="283">
        <f t="shared" si="50"/>
        <v>43757</v>
      </c>
      <c r="M52" s="284">
        <f t="shared" ca="1" si="51"/>
        <v>-12</v>
      </c>
      <c r="N52" s="468">
        <f t="shared" ca="1" si="52"/>
        <v>11</v>
      </c>
      <c r="O52" s="282"/>
      <c r="P52" s="286">
        <f t="shared" si="53"/>
        <v>195996.94</v>
      </c>
      <c r="Q52" s="287"/>
      <c r="R52" s="288"/>
      <c r="S52" s="287"/>
      <c r="T52" s="287"/>
      <c r="U52" s="287" t="s">
        <v>52</v>
      </c>
      <c r="V52" s="502"/>
      <c r="W52" s="290"/>
      <c r="X52" s="290"/>
      <c r="Y52" s="326"/>
      <c r="Z52" s="292"/>
      <c r="AA52" s="293">
        <f t="shared" si="54"/>
        <v>0</v>
      </c>
      <c r="AB52" s="294"/>
      <c r="AC52" s="294"/>
      <c r="AD52" s="295"/>
      <c r="AE52" s="296"/>
      <c r="AF52" s="287"/>
      <c r="AG52" s="294" t="s">
        <v>48</v>
      </c>
      <c r="AH52" s="478"/>
      <c r="AI52" s="286" t="s">
        <v>918</v>
      </c>
      <c r="AJ52" s="297">
        <f>VLOOKUP(D52,[1]Hoja1!$G$6:$I$225,3,0)</f>
        <v>195996.94</v>
      </c>
      <c r="AK52" s="298">
        <f t="shared" si="55"/>
        <v>0</v>
      </c>
      <c r="AL52" s="588">
        <f t="shared" ca="1" si="56"/>
        <v>11</v>
      </c>
    </row>
    <row r="53" spans="1:38" s="300" customFormat="1" ht="12" customHeight="1">
      <c r="A53" s="595" t="s">
        <v>1169</v>
      </c>
      <c r="B53" s="278" t="s">
        <v>71</v>
      </c>
      <c r="C53" s="278" t="s">
        <v>1187</v>
      </c>
      <c r="D53" s="260" t="str">
        <f t="shared" si="35"/>
        <v>KH009401</v>
      </c>
      <c r="E53" s="321">
        <v>195996.94</v>
      </c>
      <c r="F53" s="321">
        <v>195996.94</v>
      </c>
      <c r="G53" s="280" t="s">
        <v>158</v>
      </c>
      <c r="H53" s="278" t="s">
        <v>33</v>
      </c>
      <c r="I53" s="281"/>
      <c r="J53" s="278" t="s">
        <v>160</v>
      </c>
      <c r="K53" s="282" t="str">
        <f t="shared" si="49"/>
        <v>26/09/2019</v>
      </c>
      <c r="L53" s="283">
        <f t="shared" si="50"/>
        <v>43757</v>
      </c>
      <c r="M53" s="284">
        <f t="shared" ca="1" si="51"/>
        <v>-12</v>
      </c>
      <c r="N53" s="468">
        <f t="shared" ca="1" si="52"/>
        <v>11</v>
      </c>
      <c r="O53" s="282"/>
      <c r="P53" s="286">
        <f t="shared" si="53"/>
        <v>195996.94</v>
      </c>
      <c r="Q53" s="287"/>
      <c r="R53" s="288"/>
      <c r="S53" s="287"/>
      <c r="T53" s="287"/>
      <c r="U53" s="287" t="s">
        <v>52</v>
      </c>
      <c r="V53" s="502"/>
      <c r="W53" s="290"/>
      <c r="X53" s="290"/>
      <c r="Y53" s="326"/>
      <c r="Z53" s="292"/>
      <c r="AA53" s="293">
        <f t="shared" si="54"/>
        <v>0</v>
      </c>
      <c r="AB53" s="294"/>
      <c r="AC53" s="294"/>
      <c r="AD53" s="295"/>
      <c r="AE53" s="296"/>
      <c r="AF53" s="287"/>
      <c r="AG53" s="294" t="s">
        <v>48</v>
      </c>
      <c r="AH53" s="478"/>
      <c r="AI53" s="286" t="s">
        <v>918</v>
      </c>
      <c r="AJ53" s="297">
        <f>VLOOKUP(D53,[1]Hoja1!$G$6:$I$225,3,0)</f>
        <v>195996.94</v>
      </c>
      <c r="AK53" s="298">
        <f t="shared" si="55"/>
        <v>0</v>
      </c>
      <c r="AL53" s="588">
        <f t="shared" ca="1" si="56"/>
        <v>11</v>
      </c>
    </row>
    <row r="54" spans="1:38" s="300" customFormat="1" ht="12" customHeight="1">
      <c r="A54" s="595" t="s">
        <v>1169</v>
      </c>
      <c r="B54" s="278" t="s">
        <v>71</v>
      </c>
      <c r="C54" s="278" t="s">
        <v>1188</v>
      </c>
      <c r="D54" s="260" t="str">
        <f t="shared" si="35"/>
        <v>KH009402</v>
      </c>
      <c r="E54" s="321">
        <v>195996.94</v>
      </c>
      <c r="F54" s="321">
        <v>195996.94</v>
      </c>
      <c r="G54" s="280" t="s">
        <v>158</v>
      </c>
      <c r="H54" s="278" t="s">
        <v>33</v>
      </c>
      <c r="I54" s="281"/>
      <c r="J54" s="278" t="s">
        <v>160</v>
      </c>
      <c r="K54" s="282" t="str">
        <f t="shared" si="49"/>
        <v>26/09/2019</v>
      </c>
      <c r="L54" s="283">
        <f t="shared" si="50"/>
        <v>43757</v>
      </c>
      <c r="M54" s="284">
        <f t="shared" ca="1" si="51"/>
        <v>-12</v>
      </c>
      <c r="N54" s="468">
        <f t="shared" ca="1" si="52"/>
        <v>11</v>
      </c>
      <c r="O54" s="282"/>
      <c r="P54" s="286">
        <f t="shared" si="53"/>
        <v>195996.94</v>
      </c>
      <c r="Q54" s="287"/>
      <c r="R54" s="288"/>
      <c r="S54" s="287"/>
      <c r="T54" s="287"/>
      <c r="U54" s="287" t="s">
        <v>52</v>
      </c>
      <c r="V54" s="502"/>
      <c r="W54" s="290"/>
      <c r="X54" s="290"/>
      <c r="Y54" s="326"/>
      <c r="Z54" s="292"/>
      <c r="AA54" s="293">
        <f t="shared" si="54"/>
        <v>0</v>
      </c>
      <c r="AB54" s="294"/>
      <c r="AC54" s="294"/>
      <c r="AD54" s="295"/>
      <c r="AE54" s="296"/>
      <c r="AF54" s="287"/>
      <c r="AG54" s="294" t="s">
        <v>48</v>
      </c>
      <c r="AH54" s="478"/>
      <c r="AI54" s="286" t="s">
        <v>918</v>
      </c>
      <c r="AJ54" s="297">
        <f>VLOOKUP(D54,[1]Hoja1!$G$6:$I$225,3,0)</f>
        <v>195996.94</v>
      </c>
      <c r="AK54" s="298">
        <f t="shared" si="55"/>
        <v>0</v>
      </c>
      <c r="AL54" s="588">
        <f t="shared" ca="1" si="56"/>
        <v>11</v>
      </c>
    </row>
    <row r="55" spans="1:38" s="300" customFormat="1" ht="12" customHeight="1">
      <c r="A55" s="595" t="s">
        <v>1169</v>
      </c>
      <c r="B55" s="278" t="s">
        <v>71</v>
      </c>
      <c r="C55" s="278" t="s">
        <v>1189</v>
      </c>
      <c r="D55" s="260" t="str">
        <f t="shared" si="35"/>
        <v>KH009403</v>
      </c>
      <c r="E55" s="321">
        <v>195996.94</v>
      </c>
      <c r="F55" s="321">
        <v>195996.94</v>
      </c>
      <c r="G55" s="280" t="s">
        <v>158</v>
      </c>
      <c r="H55" s="278" t="s">
        <v>33</v>
      </c>
      <c r="I55" s="281"/>
      <c r="J55" s="278" t="s">
        <v>160</v>
      </c>
      <c r="K55" s="282" t="str">
        <f t="shared" si="49"/>
        <v>26/09/2019</v>
      </c>
      <c r="L55" s="283">
        <f t="shared" si="50"/>
        <v>43757</v>
      </c>
      <c r="M55" s="284">
        <f t="shared" ca="1" si="51"/>
        <v>-12</v>
      </c>
      <c r="N55" s="468">
        <f t="shared" ca="1" si="52"/>
        <v>11</v>
      </c>
      <c r="O55" s="282"/>
      <c r="P55" s="286">
        <f t="shared" si="53"/>
        <v>195996.94</v>
      </c>
      <c r="Q55" s="287"/>
      <c r="R55" s="288"/>
      <c r="S55" s="287"/>
      <c r="T55" s="287"/>
      <c r="U55" s="287" t="s">
        <v>52</v>
      </c>
      <c r="V55" s="502"/>
      <c r="W55" s="290"/>
      <c r="X55" s="290"/>
      <c r="Y55" s="326"/>
      <c r="Z55" s="292"/>
      <c r="AA55" s="293">
        <f t="shared" si="54"/>
        <v>0</v>
      </c>
      <c r="AB55" s="294"/>
      <c r="AC55" s="294"/>
      <c r="AD55" s="295"/>
      <c r="AE55" s="296"/>
      <c r="AF55" s="287"/>
      <c r="AG55" s="294" t="s">
        <v>48</v>
      </c>
      <c r="AH55" s="478"/>
      <c r="AI55" s="286" t="s">
        <v>918</v>
      </c>
      <c r="AJ55" s="297">
        <f>VLOOKUP(D55,[1]Hoja1!$G$6:$I$225,3,0)</f>
        <v>195996.94</v>
      </c>
      <c r="AK55" s="298">
        <f t="shared" si="55"/>
        <v>0</v>
      </c>
      <c r="AL55" s="588">
        <f t="shared" ca="1" si="56"/>
        <v>11</v>
      </c>
    </row>
    <row r="56" spans="1:38" s="300" customFormat="1" ht="12" customHeight="1">
      <c r="A56" s="595" t="s">
        <v>1169</v>
      </c>
      <c r="B56" s="278" t="s">
        <v>71</v>
      </c>
      <c r="C56" s="278" t="s">
        <v>1190</v>
      </c>
      <c r="D56" s="260" t="str">
        <f t="shared" si="35"/>
        <v>KH009404</v>
      </c>
      <c r="E56" s="321">
        <v>195996.94</v>
      </c>
      <c r="F56" s="321">
        <v>195996.94</v>
      </c>
      <c r="G56" s="280" t="s">
        <v>158</v>
      </c>
      <c r="H56" s="278" t="s">
        <v>33</v>
      </c>
      <c r="I56" s="281"/>
      <c r="J56" s="278" t="s">
        <v>160</v>
      </c>
      <c r="K56" s="282" t="str">
        <f t="shared" si="49"/>
        <v>26/09/2019</v>
      </c>
      <c r="L56" s="283">
        <f t="shared" si="50"/>
        <v>43757</v>
      </c>
      <c r="M56" s="284">
        <f t="shared" ca="1" si="51"/>
        <v>-12</v>
      </c>
      <c r="N56" s="468">
        <f t="shared" ca="1" si="52"/>
        <v>11</v>
      </c>
      <c r="O56" s="282"/>
      <c r="P56" s="286">
        <f t="shared" si="53"/>
        <v>195996.94</v>
      </c>
      <c r="Q56" s="287"/>
      <c r="R56" s="288"/>
      <c r="S56" s="287"/>
      <c r="T56" s="287"/>
      <c r="U56" s="287" t="s">
        <v>52</v>
      </c>
      <c r="V56" s="502"/>
      <c r="W56" s="290"/>
      <c r="X56" s="290"/>
      <c r="Y56" s="326"/>
      <c r="Z56" s="292"/>
      <c r="AA56" s="293">
        <f t="shared" si="54"/>
        <v>0</v>
      </c>
      <c r="AB56" s="294"/>
      <c r="AC56" s="294"/>
      <c r="AD56" s="295"/>
      <c r="AE56" s="296"/>
      <c r="AF56" s="287"/>
      <c r="AG56" s="294" t="s">
        <v>48</v>
      </c>
      <c r="AH56" s="478"/>
      <c r="AI56" s="286" t="s">
        <v>918</v>
      </c>
      <c r="AJ56" s="297">
        <f>VLOOKUP(D56,[1]Hoja1!$G$6:$I$225,3,0)</f>
        <v>195996.94</v>
      </c>
      <c r="AK56" s="298">
        <f t="shared" si="55"/>
        <v>0</v>
      </c>
      <c r="AL56" s="588">
        <f t="shared" ca="1" si="56"/>
        <v>11</v>
      </c>
    </row>
    <row r="57" spans="1:38" s="300" customFormat="1" ht="12" customHeight="1">
      <c r="A57" s="595" t="s">
        <v>1169</v>
      </c>
      <c r="B57" s="278" t="s">
        <v>71</v>
      </c>
      <c r="C57" s="278" t="s">
        <v>1191</v>
      </c>
      <c r="D57" s="260" t="str">
        <f t="shared" si="35"/>
        <v>KH009405</v>
      </c>
      <c r="E57" s="321">
        <v>195996.94</v>
      </c>
      <c r="F57" s="321">
        <v>195996.94</v>
      </c>
      <c r="G57" s="280" t="s">
        <v>158</v>
      </c>
      <c r="H57" s="278" t="s">
        <v>33</v>
      </c>
      <c r="I57" s="281"/>
      <c r="J57" s="278" t="s">
        <v>160</v>
      </c>
      <c r="K57" s="282" t="str">
        <f t="shared" si="49"/>
        <v>26/09/2019</v>
      </c>
      <c r="L57" s="283">
        <f t="shared" si="50"/>
        <v>43757</v>
      </c>
      <c r="M57" s="284">
        <f t="shared" ca="1" si="51"/>
        <v>-12</v>
      </c>
      <c r="N57" s="468">
        <f t="shared" ca="1" si="52"/>
        <v>11</v>
      </c>
      <c r="O57" s="282"/>
      <c r="P57" s="286">
        <f t="shared" si="53"/>
        <v>195996.94</v>
      </c>
      <c r="Q57" s="287"/>
      <c r="R57" s="288"/>
      <c r="S57" s="287"/>
      <c r="T57" s="287"/>
      <c r="U57" s="287" t="s">
        <v>52</v>
      </c>
      <c r="V57" s="502"/>
      <c r="W57" s="290"/>
      <c r="X57" s="290"/>
      <c r="Y57" s="326"/>
      <c r="Z57" s="292"/>
      <c r="AA57" s="293">
        <f t="shared" si="54"/>
        <v>0</v>
      </c>
      <c r="AB57" s="294"/>
      <c r="AC57" s="294"/>
      <c r="AD57" s="295"/>
      <c r="AE57" s="296"/>
      <c r="AF57" s="287"/>
      <c r="AG57" s="294" t="s">
        <v>48</v>
      </c>
      <c r="AH57" s="478"/>
      <c r="AI57" s="286" t="s">
        <v>918</v>
      </c>
      <c r="AJ57" s="297">
        <f>VLOOKUP(D57,[1]Hoja1!$G$6:$I$225,3,0)</f>
        <v>195996.94</v>
      </c>
      <c r="AK57" s="298">
        <f t="shared" si="55"/>
        <v>0</v>
      </c>
      <c r="AL57" s="588">
        <f t="shared" ca="1" si="56"/>
        <v>11</v>
      </c>
    </row>
    <row r="58" spans="1:38" s="300" customFormat="1" ht="12" customHeight="1">
      <c r="A58" s="595" t="s">
        <v>1169</v>
      </c>
      <c r="B58" s="278" t="s">
        <v>1176</v>
      </c>
      <c r="C58" s="278" t="s">
        <v>1192</v>
      </c>
      <c r="D58" s="260" t="str">
        <f t="shared" si="35"/>
        <v>LN139761</v>
      </c>
      <c r="E58" s="321">
        <v>1067218.17</v>
      </c>
      <c r="F58" s="321">
        <v>1067218.17</v>
      </c>
      <c r="G58" s="280" t="s">
        <v>158</v>
      </c>
      <c r="H58" s="278" t="s">
        <v>33</v>
      </c>
      <c r="I58" s="281" t="s">
        <v>80</v>
      </c>
      <c r="J58" s="278" t="s">
        <v>160</v>
      </c>
      <c r="K58" s="282" t="str">
        <f t="shared" si="49"/>
        <v>26/09/2019</v>
      </c>
      <c r="L58" s="283">
        <f t="shared" si="50"/>
        <v>43757</v>
      </c>
      <c r="M58" s="284">
        <f t="shared" ca="1" si="51"/>
        <v>-12</v>
      </c>
      <c r="N58" s="468">
        <f t="shared" ca="1" si="52"/>
        <v>11</v>
      </c>
      <c r="O58" s="282"/>
      <c r="P58" s="286">
        <f t="shared" si="53"/>
        <v>1067218.17</v>
      </c>
      <c r="Q58" s="287"/>
      <c r="R58" s="288"/>
      <c r="S58" s="287" t="s">
        <v>1468</v>
      </c>
      <c r="T58" s="287" t="s">
        <v>1469</v>
      </c>
      <c r="U58" s="287" t="s">
        <v>31</v>
      </c>
      <c r="V58" s="502">
        <v>43741</v>
      </c>
      <c r="W58" s="290"/>
      <c r="X58" s="290"/>
      <c r="Y58" s="326">
        <v>1184900</v>
      </c>
      <c r="Z58" s="292">
        <f>1134900+50000</f>
        <v>1184900</v>
      </c>
      <c r="AA58" s="293">
        <f t="shared" si="54"/>
        <v>0</v>
      </c>
      <c r="AB58" s="294" t="s">
        <v>197</v>
      </c>
      <c r="AC58" s="294" t="s">
        <v>1473</v>
      </c>
      <c r="AD58" s="295">
        <v>43741</v>
      </c>
      <c r="AE58" s="296"/>
      <c r="AF58" s="287" t="s">
        <v>180</v>
      </c>
      <c r="AG58" s="294" t="s">
        <v>82</v>
      </c>
      <c r="AH58" s="478"/>
      <c r="AI58" s="286" t="s">
        <v>918</v>
      </c>
      <c r="AJ58" s="297">
        <f>VLOOKUP(D58,[1]Hoja1!$G$6:$I$225,3,0)</f>
        <v>1067218.17</v>
      </c>
      <c r="AK58" s="298">
        <f t="shared" si="55"/>
        <v>0</v>
      </c>
      <c r="AL58" s="588">
        <f t="shared" ca="1" si="56"/>
        <v>11</v>
      </c>
    </row>
    <row r="59" spans="1:38" s="300" customFormat="1" ht="12" customHeight="1">
      <c r="A59" s="595" t="s">
        <v>1196</v>
      </c>
      <c r="B59" s="278" t="s">
        <v>1204</v>
      </c>
      <c r="C59" s="278" t="s">
        <v>1206</v>
      </c>
      <c r="D59" s="260" t="str">
        <f t="shared" si="35"/>
        <v>LW124442</v>
      </c>
      <c r="E59" s="321">
        <v>854954.25</v>
      </c>
      <c r="F59" s="321">
        <v>854954.25</v>
      </c>
      <c r="G59" s="280" t="s">
        <v>158</v>
      </c>
      <c r="H59" s="278" t="s">
        <v>33</v>
      </c>
      <c r="I59" s="281"/>
      <c r="J59" s="278" t="s">
        <v>160</v>
      </c>
      <c r="K59" s="282" t="str">
        <f>A59</f>
        <v>27/09/2019</v>
      </c>
      <c r="L59" s="283">
        <f>K59+23</f>
        <v>43758</v>
      </c>
      <c r="M59" s="284">
        <f ca="1">$A$1-L59</f>
        <v>-13</v>
      </c>
      <c r="N59" s="468">
        <f ca="1">+$A$1-A59</f>
        <v>10</v>
      </c>
      <c r="O59" s="282"/>
      <c r="P59" s="286">
        <f>+F59</f>
        <v>854954.25</v>
      </c>
      <c r="Q59" s="287"/>
      <c r="R59" s="288"/>
      <c r="S59" s="287"/>
      <c r="T59" s="287"/>
      <c r="U59" s="287" t="s">
        <v>52</v>
      </c>
      <c r="V59" s="502"/>
      <c r="W59" s="290"/>
      <c r="X59" s="290"/>
      <c r="Y59" s="326"/>
      <c r="Z59" s="292"/>
      <c r="AA59" s="293">
        <f>+Y59-Z59</f>
        <v>0</v>
      </c>
      <c r="AB59" s="294"/>
      <c r="AC59" s="294"/>
      <c r="AD59" s="295"/>
      <c r="AE59" s="296"/>
      <c r="AF59" s="287"/>
      <c r="AG59" s="294" t="s">
        <v>48</v>
      </c>
      <c r="AH59" s="478"/>
      <c r="AI59" s="286" t="s">
        <v>918</v>
      </c>
      <c r="AJ59" s="297">
        <f>VLOOKUP(D59,[1]Hoja1!$G$6:$I$225,3,0)</f>
        <v>854954.25</v>
      </c>
      <c r="AK59" s="298">
        <f>+AJ59-F59</f>
        <v>0</v>
      </c>
      <c r="AL59" s="588">
        <f ca="1">+$A$1-A59</f>
        <v>10</v>
      </c>
    </row>
    <row r="60" spans="1:38" s="300" customFormat="1" ht="12" customHeight="1">
      <c r="A60" s="595" t="s">
        <v>1235</v>
      </c>
      <c r="B60" s="278" t="s">
        <v>58</v>
      </c>
      <c r="C60" s="278" t="s">
        <v>1236</v>
      </c>
      <c r="D60" s="260" t="str">
        <f t="shared" si="35"/>
        <v>KG575793</v>
      </c>
      <c r="E60" s="321">
        <v>509107.35</v>
      </c>
      <c r="F60" s="321">
        <v>509107.35</v>
      </c>
      <c r="G60" s="280" t="s">
        <v>158</v>
      </c>
      <c r="H60" s="278" t="s">
        <v>33</v>
      </c>
      <c r="I60" s="281"/>
      <c r="J60" s="278" t="s">
        <v>160</v>
      </c>
      <c r="K60" s="282" t="str">
        <f>A60</f>
        <v>29/09/2019</v>
      </c>
      <c r="L60" s="283">
        <f>K60+23</f>
        <v>43760</v>
      </c>
      <c r="M60" s="284">
        <f ca="1">$A$1-L60</f>
        <v>-15</v>
      </c>
      <c r="N60" s="468">
        <f ca="1">+$A$1-A60</f>
        <v>8</v>
      </c>
      <c r="O60" s="282"/>
      <c r="P60" s="286">
        <f>+F60</f>
        <v>509107.35</v>
      </c>
      <c r="Q60" s="287"/>
      <c r="R60" s="288"/>
      <c r="S60" s="287"/>
      <c r="T60" s="287"/>
      <c r="U60" s="287" t="s">
        <v>52</v>
      </c>
      <c r="V60" s="502"/>
      <c r="W60" s="290"/>
      <c r="X60" s="290"/>
      <c r="Y60" s="326"/>
      <c r="Z60" s="292"/>
      <c r="AA60" s="293">
        <f>+Y60-Z60</f>
        <v>0</v>
      </c>
      <c r="AB60" s="294"/>
      <c r="AC60" s="294"/>
      <c r="AD60" s="295"/>
      <c r="AE60" s="296"/>
      <c r="AF60" s="287"/>
      <c r="AG60" s="294" t="s">
        <v>48</v>
      </c>
      <c r="AH60" s="478"/>
      <c r="AI60" s="286" t="s">
        <v>918</v>
      </c>
      <c r="AJ60" s="297">
        <f>VLOOKUP(D60,[1]Hoja1!$G$6:$I$225,3,0)</f>
        <v>509107.35</v>
      </c>
      <c r="AK60" s="298">
        <f>+AJ60-F60</f>
        <v>0</v>
      </c>
      <c r="AL60" s="588">
        <f ca="1">+$A$1-A60</f>
        <v>8</v>
      </c>
    </row>
    <row r="61" spans="1:38" s="300" customFormat="1" ht="12" customHeight="1">
      <c r="A61" s="595" t="s">
        <v>1212</v>
      </c>
      <c r="B61" s="278" t="s">
        <v>208</v>
      </c>
      <c r="C61" s="278" t="s">
        <v>1237</v>
      </c>
      <c r="D61" s="260" t="str">
        <f t="shared" si="35"/>
        <v>KR757415</v>
      </c>
      <c r="E61" s="321">
        <v>547903.27</v>
      </c>
      <c r="F61" s="321">
        <v>547903.27</v>
      </c>
      <c r="G61" s="280" t="s">
        <v>158</v>
      </c>
      <c r="H61" s="278" t="s">
        <v>33</v>
      </c>
      <c r="I61" s="281"/>
      <c r="J61" s="278" t="s">
        <v>160</v>
      </c>
      <c r="K61" s="282" t="str">
        <f>A61</f>
        <v>28/09/2019</v>
      </c>
      <c r="L61" s="283">
        <f>K61+23</f>
        <v>43759</v>
      </c>
      <c r="M61" s="284">
        <f ca="1">$A$1-L61</f>
        <v>-14</v>
      </c>
      <c r="N61" s="468">
        <f ca="1">+$A$1-A61</f>
        <v>9</v>
      </c>
      <c r="O61" s="282"/>
      <c r="P61" s="286">
        <f>+F61</f>
        <v>547903.27</v>
      </c>
      <c r="Q61" s="287"/>
      <c r="R61" s="288"/>
      <c r="S61" s="287"/>
      <c r="T61" s="287"/>
      <c r="U61" s="287" t="s">
        <v>52</v>
      </c>
      <c r="V61" s="502"/>
      <c r="W61" s="290"/>
      <c r="X61" s="290"/>
      <c r="Y61" s="326"/>
      <c r="Z61" s="292"/>
      <c r="AA61" s="293">
        <f>+Y61-Z61</f>
        <v>0</v>
      </c>
      <c r="AB61" s="294"/>
      <c r="AC61" s="294"/>
      <c r="AD61" s="295"/>
      <c r="AE61" s="296"/>
      <c r="AF61" s="287"/>
      <c r="AG61" s="294" t="s">
        <v>48</v>
      </c>
      <c r="AH61" s="478"/>
      <c r="AI61" s="286" t="s">
        <v>918</v>
      </c>
      <c r="AJ61" s="297">
        <f>VLOOKUP(D61,[1]Hoja1!$G$6:$I$225,3,0)</f>
        <v>547903.27</v>
      </c>
      <c r="AK61" s="298">
        <f>+AJ61-F61</f>
        <v>0</v>
      </c>
      <c r="AL61" s="588">
        <f ca="1">+$A$1-A61</f>
        <v>9</v>
      </c>
    </row>
    <row r="62" spans="1:38" s="300" customFormat="1" ht="12" customHeight="1">
      <c r="A62" s="595" t="s">
        <v>1212</v>
      </c>
      <c r="B62" s="278" t="s">
        <v>1080</v>
      </c>
      <c r="C62" s="278" t="s">
        <v>1238</v>
      </c>
      <c r="D62" s="260" t="str">
        <f t="shared" si="35"/>
        <v>LC145189</v>
      </c>
      <c r="E62" s="321">
        <v>736501.96</v>
      </c>
      <c r="F62" s="321">
        <v>736501.96</v>
      </c>
      <c r="G62" s="280" t="s">
        <v>158</v>
      </c>
      <c r="H62" s="278" t="s">
        <v>33</v>
      </c>
      <c r="I62" s="281"/>
      <c r="J62" s="278" t="s">
        <v>160</v>
      </c>
      <c r="K62" s="282" t="str">
        <f>A62</f>
        <v>28/09/2019</v>
      </c>
      <c r="L62" s="283">
        <f>K62+23</f>
        <v>43759</v>
      </c>
      <c r="M62" s="284">
        <f ca="1">$A$1-L62</f>
        <v>-14</v>
      </c>
      <c r="N62" s="468">
        <f ca="1">+$A$1-A62</f>
        <v>9</v>
      </c>
      <c r="O62" s="282"/>
      <c r="P62" s="286">
        <f>+F62</f>
        <v>736501.96</v>
      </c>
      <c r="Q62" s="287"/>
      <c r="R62" s="288"/>
      <c r="S62" s="287"/>
      <c r="T62" s="287"/>
      <c r="U62" s="287" t="s">
        <v>52</v>
      </c>
      <c r="V62" s="502"/>
      <c r="W62" s="290"/>
      <c r="X62" s="290"/>
      <c r="Y62" s="326"/>
      <c r="Z62" s="292"/>
      <c r="AA62" s="293">
        <f>+Y62-Z62</f>
        <v>0</v>
      </c>
      <c r="AB62" s="294"/>
      <c r="AC62" s="294"/>
      <c r="AD62" s="295"/>
      <c r="AE62" s="296"/>
      <c r="AF62" s="287"/>
      <c r="AG62" s="294" t="s">
        <v>48</v>
      </c>
      <c r="AH62" s="478"/>
      <c r="AI62" s="286" t="s">
        <v>918</v>
      </c>
      <c r="AJ62" s="297">
        <f>VLOOKUP(D62,[1]Hoja1!$G$6:$I$225,3,0)</f>
        <v>736501.96</v>
      </c>
      <c r="AK62" s="298">
        <f>+AJ62-F62</f>
        <v>0</v>
      </c>
      <c r="AL62" s="588">
        <f ca="1">+$A$1-A62</f>
        <v>9</v>
      </c>
    </row>
    <row r="63" spans="1:38" s="300" customFormat="1" ht="12" customHeight="1">
      <c r="A63" s="595" t="s">
        <v>1212</v>
      </c>
      <c r="B63" s="278" t="s">
        <v>1080</v>
      </c>
      <c r="C63" s="278" t="s">
        <v>1239</v>
      </c>
      <c r="D63" s="260" t="str">
        <f t="shared" si="35"/>
        <v>LC145191</v>
      </c>
      <c r="E63" s="321">
        <v>736501.96</v>
      </c>
      <c r="F63" s="321">
        <v>736501.96</v>
      </c>
      <c r="G63" s="280" t="s">
        <v>158</v>
      </c>
      <c r="H63" s="278" t="s">
        <v>33</v>
      </c>
      <c r="I63" s="281"/>
      <c r="J63" s="278" t="s">
        <v>160</v>
      </c>
      <c r="K63" s="282" t="str">
        <f>A63</f>
        <v>28/09/2019</v>
      </c>
      <c r="L63" s="283">
        <f>K63+23</f>
        <v>43759</v>
      </c>
      <c r="M63" s="284">
        <f ca="1">$A$1-L63</f>
        <v>-14</v>
      </c>
      <c r="N63" s="468">
        <f ca="1">+$A$1-A63</f>
        <v>9</v>
      </c>
      <c r="O63" s="282"/>
      <c r="P63" s="286">
        <f>+F63</f>
        <v>736501.96</v>
      </c>
      <c r="Q63" s="287"/>
      <c r="R63" s="288"/>
      <c r="S63" s="287"/>
      <c r="T63" s="287"/>
      <c r="U63" s="287" t="s">
        <v>52</v>
      </c>
      <c r="V63" s="502"/>
      <c r="W63" s="290"/>
      <c r="X63" s="290"/>
      <c r="Y63" s="326"/>
      <c r="Z63" s="292"/>
      <c r="AA63" s="293">
        <f>+Y63-Z63</f>
        <v>0</v>
      </c>
      <c r="AB63" s="294"/>
      <c r="AC63" s="294"/>
      <c r="AD63" s="295"/>
      <c r="AE63" s="296"/>
      <c r="AF63" s="287"/>
      <c r="AG63" s="294" t="s">
        <v>48</v>
      </c>
      <c r="AH63" s="478"/>
      <c r="AI63" s="286" t="s">
        <v>918</v>
      </c>
      <c r="AJ63" s="297">
        <f>VLOOKUP(D63,[1]Hoja1!$G$6:$I$225,3,0)</f>
        <v>736501.96</v>
      </c>
      <c r="AK63" s="298">
        <f>+AJ63-F63</f>
        <v>0</v>
      </c>
      <c r="AL63" s="588">
        <f ca="1">+$A$1-A63</f>
        <v>9</v>
      </c>
    </row>
    <row r="64" spans="1:38" s="300" customFormat="1" ht="12" customHeight="1">
      <c r="A64" s="595" t="s">
        <v>1242</v>
      </c>
      <c r="B64" s="278" t="s">
        <v>169</v>
      </c>
      <c r="C64" s="278" t="s">
        <v>1245</v>
      </c>
      <c r="D64" s="260" t="str">
        <f t="shared" si="35"/>
        <v>KT832340</v>
      </c>
      <c r="E64" s="321">
        <v>531490.48</v>
      </c>
      <c r="F64" s="321">
        <v>531490.48</v>
      </c>
      <c r="G64" s="280" t="s">
        <v>158</v>
      </c>
      <c r="H64" s="278" t="s">
        <v>33</v>
      </c>
      <c r="I64" s="281"/>
      <c r="J64" s="278" t="s">
        <v>160</v>
      </c>
      <c r="K64" s="282" t="str">
        <f t="shared" ref="K64:K113" si="57">A64</f>
        <v>30/09/2019</v>
      </c>
      <c r="L64" s="283">
        <f t="shared" ref="L64:L113" si="58">K64+23</f>
        <v>43761</v>
      </c>
      <c r="M64" s="284">
        <f t="shared" ref="M64:M113" ca="1" si="59">$A$1-L64</f>
        <v>-16</v>
      </c>
      <c r="N64" s="468">
        <f t="shared" ref="N64:N113" ca="1" si="60">+$A$1-A64</f>
        <v>7</v>
      </c>
      <c r="O64" s="282"/>
      <c r="P64" s="286">
        <f t="shared" ref="P64:P113" si="61">+F64</f>
        <v>531490.48</v>
      </c>
      <c r="Q64" s="287"/>
      <c r="R64" s="288"/>
      <c r="S64" s="287" t="s">
        <v>1319</v>
      </c>
      <c r="T64" s="287" t="s">
        <v>1314</v>
      </c>
      <c r="U64" s="287" t="s">
        <v>31</v>
      </c>
      <c r="V64" s="502">
        <v>43738</v>
      </c>
      <c r="W64" s="290"/>
      <c r="X64" s="290"/>
      <c r="Y64" s="326">
        <v>562900</v>
      </c>
      <c r="Z64" s="292"/>
      <c r="AA64" s="293">
        <f t="shared" ref="AA64:AA113" si="62">+Y64-Z64</f>
        <v>562900</v>
      </c>
      <c r="AB64" s="294"/>
      <c r="AC64" s="294"/>
      <c r="AD64" s="295"/>
      <c r="AE64" s="296"/>
      <c r="AF64" s="287" t="s">
        <v>779</v>
      </c>
      <c r="AG64" s="294" t="s">
        <v>48</v>
      </c>
      <c r="AH64" s="478"/>
      <c r="AI64" s="286" t="s">
        <v>918</v>
      </c>
      <c r="AJ64" s="297">
        <f>VLOOKUP(D64,[1]Hoja1!$G$6:$I$225,3,0)</f>
        <v>531490.48</v>
      </c>
      <c r="AK64" s="298">
        <f t="shared" ref="AK64:AK113" si="63">+AJ64-F64</f>
        <v>0</v>
      </c>
      <c r="AL64" s="588">
        <f t="shared" ref="AL64:AL113" ca="1" si="64">+$A$1-A64</f>
        <v>7</v>
      </c>
    </row>
    <row r="65" spans="1:38" s="300" customFormat="1" ht="12" customHeight="1">
      <c r="A65" s="595" t="s">
        <v>1242</v>
      </c>
      <c r="B65" s="278" t="s">
        <v>169</v>
      </c>
      <c r="C65" s="278" t="s">
        <v>1246</v>
      </c>
      <c r="D65" s="260" t="str">
        <f t="shared" si="35"/>
        <v>KT832341</v>
      </c>
      <c r="E65" s="321">
        <v>531490.48</v>
      </c>
      <c r="F65" s="321">
        <v>531490.48</v>
      </c>
      <c r="G65" s="280" t="s">
        <v>158</v>
      </c>
      <c r="H65" s="278" t="s">
        <v>33</v>
      </c>
      <c r="I65" s="281"/>
      <c r="J65" s="278" t="s">
        <v>160</v>
      </c>
      <c r="K65" s="282" t="str">
        <f t="shared" si="57"/>
        <v>30/09/2019</v>
      </c>
      <c r="L65" s="283">
        <f t="shared" si="58"/>
        <v>43761</v>
      </c>
      <c r="M65" s="284">
        <f t="shared" ca="1" si="59"/>
        <v>-16</v>
      </c>
      <c r="N65" s="468">
        <f t="shared" ca="1" si="60"/>
        <v>7</v>
      </c>
      <c r="O65" s="282"/>
      <c r="P65" s="286">
        <f t="shared" si="61"/>
        <v>531490.48</v>
      </c>
      <c r="Q65" s="287"/>
      <c r="R65" s="288"/>
      <c r="S65" s="287" t="s">
        <v>1313</v>
      </c>
      <c r="T65" s="287" t="s">
        <v>1314</v>
      </c>
      <c r="U65" s="287" t="s">
        <v>31</v>
      </c>
      <c r="V65" s="502">
        <v>43738</v>
      </c>
      <c r="W65" s="290"/>
      <c r="X65" s="290"/>
      <c r="Y65" s="326">
        <v>562900</v>
      </c>
      <c r="Z65" s="292"/>
      <c r="AA65" s="293">
        <f t="shared" si="62"/>
        <v>562900</v>
      </c>
      <c r="AB65" s="294"/>
      <c r="AC65" s="294"/>
      <c r="AD65" s="295"/>
      <c r="AE65" s="296"/>
      <c r="AF65" s="287" t="s">
        <v>779</v>
      </c>
      <c r="AG65" s="294" t="s">
        <v>48</v>
      </c>
      <c r="AH65" s="478"/>
      <c r="AI65" s="286" t="s">
        <v>918</v>
      </c>
      <c r="AJ65" s="297">
        <f>VLOOKUP(D65,[1]Hoja1!$G$6:$I$225,3,0)</f>
        <v>531490.48</v>
      </c>
      <c r="AK65" s="298">
        <f t="shared" si="63"/>
        <v>0</v>
      </c>
      <c r="AL65" s="588">
        <f t="shared" ca="1" si="64"/>
        <v>7</v>
      </c>
    </row>
    <row r="66" spans="1:38" s="300" customFormat="1" ht="12" customHeight="1">
      <c r="A66" s="595" t="s">
        <v>1242</v>
      </c>
      <c r="B66" s="278" t="s">
        <v>71</v>
      </c>
      <c r="C66" s="278" t="s">
        <v>1247</v>
      </c>
      <c r="D66" s="260" t="str">
        <f t="shared" si="35"/>
        <v>KH008054</v>
      </c>
      <c r="E66" s="321">
        <v>195996.94</v>
      </c>
      <c r="F66" s="321">
        <v>195996.94</v>
      </c>
      <c r="G66" s="280" t="s">
        <v>158</v>
      </c>
      <c r="H66" s="278" t="s">
        <v>33</v>
      </c>
      <c r="I66" s="281"/>
      <c r="J66" s="278" t="s">
        <v>160</v>
      </c>
      <c r="K66" s="282" t="str">
        <f t="shared" si="57"/>
        <v>30/09/2019</v>
      </c>
      <c r="L66" s="283">
        <f t="shared" si="58"/>
        <v>43761</v>
      </c>
      <c r="M66" s="284">
        <f t="shared" ca="1" si="59"/>
        <v>-16</v>
      </c>
      <c r="N66" s="468">
        <f t="shared" ca="1" si="60"/>
        <v>7</v>
      </c>
      <c r="O66" s="282"/>
      <c r="P66" s="286">
        <f t="shared" si="61"/>
        <v>195996.94</v>
      </c>
      <c r="Q66" s="287"/>
      <c r="R66" s="288"/>
      <c r="S66" s="287"/>
      <c r="T66" s="287"/>
      <c r="U66" s="287" t="s">
        <v>52</v>
      </c>
      <c r="V66" s="502"/>
      <c r="W66" s="290"/>
      <c r="X66" s="290"/>
      <c r="Y66" s="326"/>
      <c r="Z66" s="292"/>
      <c r="AA66" s="293">
        <f t="shared" si="62"/>
        <v>0</v>
      </c>
      <c r="AB66" s="294"/>
      <c r="AC66" s="294"/>
      <c r="AD66" s="295"/>
      <c r="AE66" s="296"/>
      <c r="AF66" s="287"/>
      <c r="AG66" s="294" t="s">
        <v>48</v>
      </c>
      <c r="AH66" s="478"/>
      <c r="AI66" s="286" t="s">
        <v>918</v>
      </c>
      <c r="AJ66" s="297">
        <f>VLOOKUP(D66,[1]Hoja1!$G$6:$I$225,3,0)</f>
        <v>195996.94</v>
      </c>
      <c r="AK66" s="298">
        <f t="shared" si="63"/>
        <v>0</v>
      </c>
      <c r="AL66" s="588">
        <f t="shared" ca="1" si="64"/>
        <v>7</v>
      </c>
    </row>
    <row r="67" spans="1:38" s="300" customFormat="1" ht="12" customHeight="1">
      <c r="A67" s="595" t="s">
        <v>1242</v>
      </c>
      <c r="B67" s="278" t="s">
        <v>71</v>
      </c>
      <c r="C67" s="278" t="s">
        <v>1248</v>
      </c>
      <c r="D67" s="260" t="str">
        <f t="shared" si="35"/>
        <v>KH008274</v>
      </c>
      <c r="E67" s="321">
        <v>195996.94</v>
      </c>
      <c r="F67" s="321">
        <v>195996.94</v>
      </c>
      <c r="G67" s="280" t="s">
        <v>158</v>
      </c>
      <c r="H67" s="278" t="s">
        <v>33</v>
      </c>
      <c r="I67" s="281"/>
      <c r="J67" s="278" t="s">
        <v>160</v>
      </c>
      <c r="K67" s="282" t="str">
        <f t="shared" si="57"/>
        <v>30/09/2019</v>
      </c>
      <c r="L67" s="283">
        <f t="shared" si="58"/>
        <v>43761</v>
      </c>
      <c r="M67" s="284">
        <f t="shared" ca="1" si="59"/>
        <v>-16</v>
      </c>
      <c r="N67" s="468">
        <f t="shared" ca="1" si="60"/>
        <v>7</v>
      </c>
      <c r="O67" s="282"/>
      <c r="P67" s="286">
        <f t="shared" si="61"/>
        <v>195996.94</v>
      </c>
      <c r="Q67" s="287"/>
      <c r="R67" s="288"/>
      <c r="S67" s="287"/>
      <c r="T67" s="287"/>
      <c r="U67" s="287" t="s">
        <v>52</v>
      </c>
      <c r="V67" s="502"/>
      <c r="W67" s="290"/>
      <c r="X67" s="290"/>
      <c r="Y67" s="326"/>
      <c r="Z67" s="292"/>
      <c r="AA67" s="293">
        <f t="shared" si="62"/>
        <v>0</v>
      </c>
      <c r="AB67" s="294"/>
      <c r="AC67" s="294"/>
      <c r="AD67" s="295"/>
      <c r="AE67" s="296"/>
      <c r="AF67" s="287"/>
      <c r="AG67" s="294" t="s">
        <v>48</v>
      </c>
      <c r="AH67" s="478"/>
      <c r="AI67" s="286" t="s">
        <v>918</v>
      </c>
      <c r="AJ67" s="297">
        <f>VLOOKUP(D67,[1]Hoja1!$G$6:$I$225,3,0)</f>
        <v>195996.94</v>
      </c>
      <c r="AK67" s="298">
        <f t="shared" si="63"/>
        <v>0</v>
      </c>
      <c r="AL67" s="588">
        <f t="shared" ca="1" si="64"/>
        <v>7</v>
      </c>
    </row>
    <row r="68" spans="1:38" s="300" customFormat="1" ht="12" customHeight="1">
      <c r="A68" s="595" t="s">
        <v>1242</v>
      </c>
      <c r="B68" s="278" t="s">
        <v>71</v>
      </c>
      <c r="C68" s="278" t="s">
        <v>1249</v>
      </c>
      <c r="D68" s="260" t="str">
        <f t="shared" si="35"/>
        <v>KH008569</v>
      </c>
      <c r="E68" s="321">
        <v>195996.94</v>
      </c>
      <c r="F68" s="321">
        <v>195996.94</v>
      </c>
      <c r="G68" s="280" t="s">
        <v>158</v>
      </c>
      <c r="H68" s="278" t="s">
        <v>33</v>
      </c>
      <c r="I68" s="281"/>
      <c r="J68" s="278" t="s">
        <v>160</v>
      </c>
      <c r="K68" s="282" t="str">
        <f t="shared" si="57"/>
        <v>30/09/2019</v>
      </c>
      <c r="L68" s="283">
        <f t="shared" si="58"/>
        <v>43761</v>
      </c>
      <c r="M68" s="284">
        <f t="shared" ca="1" si="59"/>
        <v>-16</v>
      </c>
      <c r="N68" s="468">
        <f t="shared" ca="1" si="60"/>
        <v>7</v>
      </c>
      <c r="O68" s="282"/>
      <c r="P68" s="286">
        <f t="shared" si="61"/>
        <v>195996.94</v>
      </c>
      <c r="Q68" s="287"/>
      <c r="R68" s="288"/>
      <c r="S68" s="287"/>
      <c r="T68" s="287"/>
      <c r="U68" s="287" t="s">
        <v>52</v>
      </c>
      <c r="V68" s="502"/>
      <c r="W68" s="290"/>
      <c r="X68" s="290"/>
      <c r="Y68" s="326"/>
      <c r="Z68" s="292"/>
      <c r="AA68" s="293">
        <f t="shared" si="62"/>
        <v>0</v>
      </c>
      <c r="AB68" s="294"/>
      <c r="AC68" s="294"/>
      <c r="AD68" s="295"/>
      <c r="AE68" s="296"/>
      <c r="AF68" s="287"/>
      <c r="AG68" s="294" t="s">
        <v>48</v>
      </c>
      <c r="AH68" s="478"/>
      <c r="AI68" s="286" t="s">
        <v>918</v>
      </c>
      <c r="AJ68" s="297">
        <f>VLOOKUP(D68,[1]Hoja1!$G$6:$I$225,3,0)</f>
        <v>195996.94</v>
      </c>
      <c r="AK68" s="298">
        <f t="shared" si="63"/>
        <v>0</v>
      </c>
      <c r="AL68" s="588">
        <f t="shared" ca="1" si="64"/>
        <v>7</v>
      </c>
    </row>
    <row r="69" spans="1:38" s="300" customFormat="1" ht="12" customHeight="1">
      <c r="A69" s="595" t="s">
        <v>1242</v>
      </c>
      <c r="B69" s="278" t="s">
        <v>71</v>
      </c>
      <c r="C69" s="278" t="s">
        <v>1250</v>
      </c>
      <c r="D69" s="260" t="str">
        <f t="shared" si="35"/>
        <v>KH008570</v>
      </c>
      <c r="E69" s="321">
        <v>195996.94</v>
      </c>
      <c r="F69" s="321">
        <v>195996.94</v>
      </c>
      <c r="G69" s="280" t="s">
        <v>158</v>
      </c>
      <c r="H69" s="278" t="s">
        <v>33</v>
      </c>
      <c r="I69" s="281"/>
      <c r="J69" s="278" t="s">
        <v>160</v>
      </c>
      <c r="K69" s="282" t="str">
        <f t="shared" si="57"/>
        <v>30/09/2019</v>
      </c>
      <c r="L69" s="283">
        <f t="shared" si="58"/>
        <v>43761</v>
      </c>
      <c r="M69" s="284">
        <f t="shared" ca="1" si="59"/>
        <v>-16</v>
      </c>
      <c r="N69" s="468">
        <f t="shared" ca="1" si="60"/>
        <v>7</v>
      </c>
      <c r="O69" s="282"/>
      <c r="P69" s="286">
        <f t="shared" si="61"/>
        <v>195996.94</v>
      </c>
      <c r="Q69" s="287"/>
      <c r="R69" s="288"/>
      <c r="S69" s="287"/>
      <c r="T69" s="287"/>
      <c r="U69" s="287" t="s">
        <v>52</v>
      </c>
      <c r="V69" s="502"/>
      <c r="W69" s="290"/>
      <c r="X69" s="290"/>
      <c r="Y69" s="326"/>
      <c r="Z69" s="292"/>
      <c r="AA69" s="293">
        <f t="shared" si="62"/>
        <v>0</v>
      </c>
      <c r="AB69" s="294"/>
      <c r="AC69" s="294"/>
      <c r="AD69" s="295"/>
      <c r="AE69" s="296"/>
      <c r="AF69" s="287"/>
      <c r="AG69" s="294" t="s">
        <v>48</v>
      </c>
      <c r="AH69" s="478"/>
      <c r="AI69" s="286" t="s">
        <v>918</v>
      </c>
      <c r="AJ69" s="297">
        <f>VLOOKUP(D69,[1]Hoja1!$G$6:$I$225,3,0)</f>
        <v>195996.94</v>
      </c>
      <c r="AK69" s="298">
        <f t="shared" si="63"/>
        <v>0</v>
      </c>
      <c r="AL69" s="588">
        <f t="shared" ca="1" si="64"/>
        <v>7</v>
      </c>
    </row>
    <row r="70" spans="1:38" s="300" customFormat="1" ht="12" customHeight="1">
      <c r="A70" s="595" t="s">
        <v>1242</v>
      </c>
      <c r="B70" s="278" t="s">
        <v>71</v>
      </c>
      <c r="C70" s="278" t="s">
        <v>1251</v>
      </c>
      <c r="D70" s="260" t="str">
        <f t="shared" si="35"/>
        <v>KH008571</v>
      </c>
      <c r="E70" s="321">
        <v>195996.94</v>
      </c>
      <c r="F70" s="321">
        <v>195996.94</v>
      </c>
      <c r="G70" s="280" t="s">
        <v>158</v>
      </c>
      <c r="H70" s="278" t="s">
        <v>33</v>
      </c>
      <c r="I70" s="281"/>
      <c r="J70" s="278" t="s">
        <v>160</v>
      </c>
      <c r="K70" s="282" t="str">
        <f t="shared" si="57"/>
        <v>30/09/2019</v>
      </c>
      <c r="L70" s="283">
        <f t="shared" si="58"/>
        <v>43761</v>
      </c>
      <c r="M70" s="284">
        <f t="shared" ca="1" si="59"/>
        <v>-16</v>
      </c>
      <c r="N70" s="468">
        <f t="shared" ca="1" si="60"/>
        <v>7</v>
      </c>
      <c r="O70" s="282"/>
      <c r="P70" s="286">
        <f t="shared" si="61"/>
        <v>195996.94</v>
      </c>
      <c r="Q70" s="287"/>
      <c r="R70" s="288"/>
      <c r="S70" s="287"/>
      <c r="T70" s="287"/>
      <c r="U70" s="287" t="s">
        <v>52</v>
      </c>
      <c r="V70" s="502"/>
      <c r="W70" s="290"/>
      <c r="X70" s="290"/>
      <c r="Y70" s="326"/>
      <c r="Z70" s="292"/>
      <c r="AA70" s="293">
        <f t="shared" si="62"/>
        <v>0</v>
      </c>
      <c r="AB70" s="294"/>
      <c r="AC70" s="294"/>
      <c r="AD70" s="295"/>
      <c r="AE70" s="296"/>
      <c r="AF70" s="287"/>
      <c r="AG70" s="294" t="s">
        <v>48</v>
      </c>
      <c r="AH70" s="478"/>
      <c r="AI70" s="286" t="s">
        <v>918</v>
      </c>
      <c r="AJ70" s="297">
        <f>VLOOKUP(D70,[1]Hoja1!$G$6:$I$225,3,0)</f>
        <v>195996.94</v>
      </c>
      <c r="AK70" s="298">
        <f t="shared" si="63"/>
        <v>0</v>
      </c>
      <c r="AL70" s="588">
        <f t="shared" ca="1" si="64"/>
        <v>7</v>
      </c>
    </row>
    <row r="71" spans="1:38" s="300" customFormat="1" ht="12" customHeight="1">
      <c r="A71" s="595" t="s">
        <v>1242</v>
      </c>
      <c r="B71" s="278" t="s">
        <v>71</v>
      </c>
      <c r="C71" s="278" t="s">
        <v>1252</v>
      </c>
      <c r="D71" s="260" t="str">
        <f t="shared" si="35"/>
        <v>KH008572</v>
      </c>
      <c r="E71" s="321">
        <v>195996.94</v>
      </c>
      <c r="F71" s="321">
        <v>195996.94</v>
      </c>
      <c r="G71" s="280" t="s">
        <v>158</v>
      </c>
      <c r="H71" s="278" t="s">
        <v>33</v>
      </c>
      <c r="I71" s="281"/>
      <c r="J71" s="278" t="s">
        <v>160</v>
      </c>
      <c r="K71" s="282" t="str">
        <f t="shared" si="57"/>
        <v>30/09/2019</v>
      </c>
      <c r="L71" s="283">
        <f t="shared" si="58"/>
        <v>43761</v>
      </c>
      <c r="M71" s="284">
        <f t="shared" ca="1" si="59"/>
        <v>-16</v>
      </c>
      <c r="N71" s="468">
        <f t="shared" ca="1" si="60"/>
        <v>7</v>
      </c>
      <c r="O71" s="282"/>
      <c r="P71" s="286">
        <f t="shared" si="61"/>
        <v>195996.94</v>
      </c>
      <c r="Q71" s="287"/>
      <c r="R71" s="288"/>
      <c r="S71" s="287"/>
      <c r="T71" s="287"/>
      <c r="U71" s="287" t="s">
        <v>52</v>
      </c>
      <c r="V71" s="502"/>
      <c r="W71" s="290"/>
      <c r="X71" s="290"/>
      <c r="Y71" s="326"/>
      <c r="Z71" s="292"/>
      <c r="AA71" s="293">
        <f t="shared" si="62"/>
        <v>0</v>
      </c>
      <c r="AB71" s="294"/>
      <c r="AC71" s="294"/>
      <c r="AD71" s="295"/>
      <c r="AE71" s="296"/>
      <c r="AF71" s="287"/>
      <c r="AG71" s="294" t="s">
        <v>48</v>
      </c>
      <c r="AH71" s="478"/>
      <c r="AI71" s="286" t="s">
        <v>918</v>
      </c>
      <c r="AJ71" s="297">
        <f>VLOOKUP(D71,[1]Hoja1!$G$6:$I$225,3,0)</f>
        <v>195996.94</v>
      </c>
      <c r="AK71" s="298">
        <f t="shared" si="63"/>
        <v>0</v>
      </c>
      <c r="AL71" s="588">
        <f t="shared" ca="1" si="64"/>
        <v>7</v>
      </c>
    </row>
    <row r="72" spans="1:38" s="300" customFormat="1" ht="12" customHeight="1">
      <c r="A72" s="595" t="s">
        <v>1242</v>
      </c>
      <c r="B72" s="278" t="s">
        <v>71</v>
      </c>
      <c r="C72" s="278" t="s">
        <v>1253</v>
      </c>
      <c r="D72" s="260" t="str">
        <f t="shared" si="35"/>
        <v>KH008573</v>
      </c>
      <c r="E72" s="321">
        <v>195996.94</v>
      </c>
      <c r="F72" s="321">
        <v>195996.94</v>
      </c>
      <c r="G72" s="280" t="s">
        <v>158</v>
      </c>
      <c r="H72" s="278" t="s">
        <v>33</v>
      </c>
      <c r="I72" s="281"/>
      <c r="J72" s="278" t="s">
        <v>160</v>
      </c>
      <c r="K72" s="282" t="str">
        <f t="shared" si="57"/>
        <v>30/09/2019</v>
      </c>
      <c r="L72" s="283">
        <f t="shared" si="58"/>
        <v>43761</v>
      </c>
      <c r="M72" s="284">
        <f t="shared" ca="1" si="59"/>
        <v>-16</v>
      </c>
      <c r="N72" s="468">
        <f t="shared" ca="1" si="60"/>
        <v>7</v>
      </c>
      <c r="O72" s="282"/>
      <c r="P72" s="286">
        <f t="shared" si="61"/>
        <v>195996.94</v>
      </c>
      <c r="Q72" s="287"/>
      <c r="R72" s="288"/>
      <c r="S72" s="287"/>
      <c r="T72" s="287"/>
      <c r="U72" s="287" t="s">
        <v>52</v>
      </c>
      <c r="V72" s="502"/>
      <c r="W72" s="290"/>
      <c r="X72" s="290"/>
      <c r="Y72" s="326"/>
      <c r="Z72" s="292"/>
      <c r="AA72" s="293">
        <f t="shared" si="62"/>
        <v>0</v>
      </c>
      <c r="AB72" s="294"/>
      <c r="AC72" s="294"/>
      <c r="AD72" s="295"/>
      <c r="AE72" s="296"/>
      <c r="AF72" s="287"/>
      <c r="AG72" s="294" t="s">
        <v>48</v>
      </c>
      <c r="AH72" s="478"/>
      <c r="AI72" s="286" t="s">
        <v>918</v>
      </c>
      <c r="AJ72" s="297">
        <f>VLOOKUP(D72,[1]Hoja1!$G$6:$I$225,3,0)</f>
        <v>195996.94</v>
      </c>
      <c r="AK72" s="298">
        <f t="shared" si="63"/>
        <v>0</v>
      </c>
      <c r="AL72" s="588">
        <f t="shared" ca="1" si="64"/>
        <v>7</v>
      </c>
    </row>
    <row r="73" spans="1:38" s="300" customFormat="1" ht="12" customHeight="1">
      <c r="A73" s="595" t="s">
        <v>1242</v>
      </c>
      <c r="B73" s="278" t="s">
        <v>71</v>
      </c>
      <c r="C73" s="278" t="s">
        <v>1254</v>
      </c>
      <c r="D73" s="260" t="str">
        <f t="shared" si="35"/>
        <v>KH008574</v>
      </c>
      <c r="E73" s="321">
        <v>195996.94</v>
      </c>
      <c r="F73" s="321">
        <v>195996.94</v>
      </c>
      <c r="G73" s="280" t="s">
        <v>158</v>
      </c>
      <c r="H73" s="278" t="s">
        <v>33</v>
      </c>
      <c r="I73" s="281"/>
      <c r="J73" s="278" t="s">
        <v>160</v>
      </c>
      <c r="K73" s="282" t="str">
        <f t="shared" si="57"/>
        <v>30/09/2019</v>
      </c>
      <c r="L73" s="283">
        <f t="shared" si="58"/>
        <v>43761</v>
      </c>
      <c r="M73" s="284">
        <f t="shared" ca="1" si="59"/>
        <v>-16</v>
      </c>
      <c r="N73" s="468">
        <f t="shared" ca="1" si="60"/>
        <v>7</v>
      </c>
      <c r="O73" s="282"/>
      <c r="P73" s="286">
        <f t="shared" si="61"/>
        <v>195996.94</v>
      </c>
      <c r="Q73" s="287"/>
      <c r="R73" s="288"/>
      <c r="S73" s="287"/>
      <c r="T73" s="287"/>
      <c r="U73" s="287" t="s">
        <v>52</v>
      </c>
      <c r="V73" s="502"/>
      <c r="W73" s="290"/>
      <c r="X73" s="290"/>
      <c r="Y73" s="326"/>
      <c r="Z73" s="292"/>
      <c r="AA73" s="293">
        <f t="shared" si="62"/>
        <v>0</v>
      </c>
      <c r="AB73" s="294"/>
      <c r="AC73" s="294"/>
      <c r="AD73" s="295"/>
      <c r="AE73" s="296"/>
      <c r="AF73" s="287"/>
      <c r="AG73" s="294" t="s">
        <v>48</v>
      </c>
      <c r="AH73" s="478"/>
      <c r="AI73" s="286" t="s">
        <v>918</v>
      </c>
      <c r="AJ73" s="297">
        <f>VLOOKUP(D73,[1]Hoja1!$G$6:$I$225,3,0)</f>
        <v>195996.94</v>
      </c>
      <c r="AK73" s="298">
        <f t="shared" si="63"/>
        <v>0</v>
      </c>
      <c r="AL73" s="588">
        <f t="shared" ca="1" si="64"/>
        <v>7</v>
      </c>
    </row>
    <row r="74" spans="1:38" s="300" customFormat="1" ht="12" customHeight="1">
      <c r="A74" s="595" t="s">
        <v>1242</v>
      </c>
      <c r="B74" s="278" t="s">
        <v>71</v>
      </c>
      <c r="C74" s="278" t="s">
        <v>1255</v>
      </c>
      <c r="D74" s="260" t="str">
        <f t="shared" si="35"/>
        <v>KH009088</v>
      </c>
      <c r="E74" s="321">
        <v>195996.94</v>
      </c>
      <c r="F74" s="321">
        <v>195996.94</v>
      </c>
      <c r="G74" s="280" t="s">
        <v>158</v>
      </c>
      <c r="H74" s="278" t="s">
        <v>33</v>
      </c>
      <c r="I74" s="281"/>
      <c r="J74" s="278" t="s">
        <v>160</v>
      </c>
      <c r="K74" s="282" t="str">
        <f t="shared" si="57"/>
        <v>30/09/2019</v>
      </c>
      <c r="L74" s="283">
        <f t="shared" si="58"/>
        <v>43761</v>
      </c>
      <c r="M74" s="284">
        <f t="shared" ca="1" si="59"/>
        <v>-16</v>
      </c>
      <c r="N74" s="468">
        <f t="shared" ca="1" si="60"/>
        <v>7</v>
      </c>
      <c r="O74" s="282"/>
      <c r="P74" s="286">
        <f t="shared" si="61"/>
        <v>195996.94</v>
      </c>
      <c r="Q74" s="287"/>
      <c r="R74" s="288"/>
      <c r="S74" s="287"/>
      <c r="T74" s="287"/>
      <c r="U74" s="287" t="s">
        <v>52</v>
      </c>
      <c r="V74" s="502"/>
      <c r="W74" s="290"/>
      <c r="X74" s="290"/>
      <c r="Y74" s="326"/>
      <c r="Z74" s="292"/>
      <c r="AA74" s="293">
        <f t="shared" si="62"/>
        <v>0</v>
      </c>
      <c r="AB74" s="294"/>
      <c r="AC74" s="294"/>
      <c r="AD74" s="295"/>
      <c r="AE74" s="296"/>
      <c r="AF74" s="287"/>
      <c r="AG74" s="294" t="s">
        <v>48</v>
      </c>
      <c r="AH74" s="478"/>
      <c r="AI74" s="286" t="s">
        <v>918</v>
      </c>
      <c r="AJ74" s="297">
        <f>VLOOKUP(D74,[1]Hoja1!$G$6:$I$225,3,0)</f>
        <v>195996.94</v>
      </c>
      <c r="AK74" s="298">
        <f t="shared" si="63"/>
        <v>0</v>
      </c>
      <c r="AL74" s="588">
        <f t="shared" ca="1" si="64"/>
        <v>7</v>
      </c>
    </row>
    <row r="75" spans="1:38" s="300" customFormat="1" ht="12" customHeight="1">
      <c r="A75" s="595" t="s">
        <v>1242</v>
      </c>
      <c r="B75" s="278" t="s">
        <v>71</v>
      </c>
      <c r="C75" s="278" t="s">
        <v>1256</v>
      </c>
      <c r="D75" s="260" t="str">
        <f t="shared" si="35"/>
        <v>KH009089</v>
      </c>
      <c r="E75" s="321">
        <v>195996.94</v>
      </c>
      <c r="F75" s="321">
        <v>195996.94</v>
      </c>
      <c r="G75" s="280" t="s">
        <v>158</v>
      </c>
      <c r="H75" s="278" t="s">
        <v>33</v>
      </c>
      <c r="I75" s="281"/>
      <c r="J75" s="278" t="s">
        <v>160</v>
      </c>
      <c r="K75" s="282" t="str">
        <f t="shared" si="57"/>
        <v>30/09/2019</v>
      </c>
      <c r="L75" s="283">
        <f t="shared" si="58"/>
        <v>43761</v>
      </c>
      <c r="M75" s="284">
        <f t="shared" ca="1" si="59"/>
        <v>-16</v>
      </c>
      <c r="N75" s="468">
        <f t="shared" ca="1" si="60"/>
        <v>7</v>
      </c>
      <c r="O75" s="282"/>
      <c r="P75" s="286">
        <f t="shared" si="61"/>
        <v>195996.94</v>
      </c>
      <c r="Q75" s="287"/>
      <c r="R75" s="288"/>
      <c r="S75" s="287"/>
      <c r="T75" s="287"/>
      <c r="U75" s="287" t="s">
        <v>52</v>
      </c>
      <c r="V75" s="502"/>
      <c r="W75" s="290"/>
      <c r="X75" s="290"/>
      <c r="Y75" s="326"/>
      <c r="Z75" s="292"/>
      <c r="AA75" s="293">
        <f t="shared" si="62"/>
        <v>0</v>
      </c>
      <c r="AB75" s="294"/>
      <c r="AC75" s="294"/>
      <c r="AD75" s="295"/>
      <c r="AE75" s="296"/>
      <c r="AF75" s="287"/>
      <c r="AG75" s="294" t="s">
        <v>48</v>
      </c>
      <c r="AH75" s="478"/>
      <c r="AI75" s="286" t="s">
        <v>918</v>
      </c>
      <c r="AJ75" s="297">
        <f>VLOOKUP(D75,[1]Hoja1!$G$6:$I$225,3,0)</f>
        <v>195996.94</v>
      </c>
      <c r="AK75" s="298">
        <f t="shared" si="63"/>
        <v>0</v>
      </c>
      <c r="AL75" s="588">
        <f t="shared" ca="1" si="64"/>
        <v>7</v>
      </c>
    </row>
    <row r="76" spans="1:38" s="300" customFormat="1" ht="12" customHeight="1">
      <c r="A76" s="595" t="s">
        <v>1242</v>
      </c>
      <c r="B76" s="278" t="s">
        <v>71</v>
      </c>
      <c r="C76" s="278" t="s">
        <v>1257</v>
      </c>
      <c r="D76" s="260" t="str">
        <f t="shared" si="35"/>
        <v>KH009090</v>
      </c>
      <c r="E76" s="321">
        <v>195996.94</v>
      </c>
      <c r="F76" s="321">
        <v>195996.94</v>
      </c>
      <c r="G76" s="280" t="s">
        <v>158</v>
      </c>
      <c r="H76" s="278" t="s">
        <v>33</v>
      </c>
      <c r="I76" s="281"/>
      <c r="J76" s="278" t="s">
        <v>160</v>
      </c>
      <c r="K76" s="282" t="str">
        <f t="shared" si="57"/>
        <v>30/09/2019</v>
      </c>
      <c r="L76" s="283">
        <f t="shared" si="58"/>
        <v>43761</v>
      </c>
      <c r="M76" s="284">
        <f t="shared" ca="1" si="59"/>
        <v>-16</v>
      </c>
      <c r="N76" s="468">
        <f t="shared" ca="1" si="60"/>
        <v>7</v>
      </c>
      <c r="O76" s="282"/>
      <c r="P76" s="286">
        <f t="shared" si="61"/>
        <v>195996.94</v>
      </c>
      <c r="Q76" s="287"/>
      <c r="R76" s="288"/>
      <c r="S76" s="287"/>
      <c r="T76" s="287"/>
      <c r="U76" s="287" t="s">
        <v>52</v>
      </c>
      <c r="V76" s="502"/>
      <c r="W76" s="290"/>
      <c r="X76" s="290"/>
      <c r="Y76" s="326"/>
      <c r="Z76" s="292"/>
      <c r="AA76" s="293">
        <f t="shared" si="62"/>
        <v>0</v>
      </c>
      <c r="AB76" s="294"/>
      <c r="AC76" s="294"/>
      <c r="AD76" s="295"/>
      <c r="AE76" s="296"/>
      <c r="AF76" s="287"/>
      <c r="AG76" s="294" t="s">
        <v>48</v>
      </c>
      <c r="AH76" s="478"/>
      <c r="AI76" s="286" t="s">
        <v>918</v>
      </c>
      <c r="AJ76" s="297">
        <f>VLOOKUP(D76,[1]Hoja1!$G$6:$I$225,3,0)</f>
        <v>195996.94</v>
      </c>
      <c r="AK76" s="298">
        <f t="shared" si="63"/>
        <v>0</v>
      </c>
      <c r="AL76" s="588">
        <f t="shared" ca="1" si="64"/>
        <v>7</v>
      </c>
    </row>
    <row r="77" spans="1:38" s="300" customFormat="1" ht="12" customHeight="1">
      <c r="A77" s="595" t="s">
        <v>1242</v>
      </c>
      <c r="B77" s="278" t="s">
        <v>71</v>
      </c>
      <c r="C77" s="278" t="s">
        <v>1258</v>
      </c>
      <c r="D77" s="260" t="str">
        <f t="shared" si="35"/>
        <v>KH009447</v>
      </c>
      <c r="E77" s="321">
        <v>195996.94</v>
      </c>
      <c r="F77" s="321">
        <v>195996.94</v>
      </c>
      <c r="G77" s="280" t="s">
        <v>158</v>
      </c>
      <c r="H77" s="278" t="s">
        <v>33</v>
      </c>
      <c r="I77" s="281"/>
      <c r="J77" s="278" t="s">
        <v>160</v>
      </c>
      <c r="K77" s="282" t="str">
        <f t="shared" si="57"/>
        <v>30/09/2019</v>
      </c>
      <c r="L77" s="283">
        <f t="shared" si="58"/>
        <v>43761</v>
      </c>
      <c r="M77" s="284">
        <f t="shared" ca="1" si="59"/>
        <v>-16</v>
      </c>
      <c r="N77" s="468">
        <f t="shared" ca="1" si="60"/>
        <v>7</v>
      </c>
      <c r="O77" s="282"/>
      <c r="P77" s="286">
        <f t="shared" si="61"/>
        <v>195996.94</v>
      </c>
      <c r="Q77" s="287"/>
      <c r="R77" s="288"/>
      <c r="S77" s="287"/>
      <c r="T77" s="287"/>
      <c r="U77" s="287" t="s">
        <v>52</v>
      </c>
      <c r="V77" s="502"/>
      <c r="W77" s="290"/>
      <c r="X77" s="290"/>
      <c r="Y77" s="326"/>
      <c r="Z77" s="292"/>
      <c r="AA77" s="293">
        <f t="shared" si="62"/>
        <v>0</v>
      </c>
      <c r="AB77" s="294"/>
      <c r="AC77" s="294"/>
      <c r="AD77" s="295"/>
      <c r="AE77" s="296"/>
      <c r="AF77" s="287"/>
      <c r="AG77" s="294" t="s">
        <v>48</v>
      </c>
      <c r="AH77" s="478"/>
      <c r="AI77" s="286" t="s">
        <v>918</v>
      </c>
      <c r="AJ77" s="297">
        <f>VLOOKUP(D77,[1]Hoja1!$G$6:$I$225,3,0)</f>
        <v>195996.94</v>
      </c>
      <c r="AK77" s="298">
        <f t="shared" si="63"/>
        <v>0</v>
      </c>
      <c r="AL77" s="588">
        <f t="shared" ca="1" si="64"/>
        <v>7</v>
      </c>
    </row>
    <row r="78" spans="1:38" s="300" customFormat="1" ht="12" customHeight="1">
      <c r="A78" s="595" t="s">
        <v>1242</v>
      </c>
      <c r="B78" s="278" t="s">
        <v>71</v>
      </c>
      <c r="C78" s="278" t="s">
        <v>1259</v>
      </c>
      <c r="D78" s="260" t="str">
        <f t="shared" si="35"/>
        <v>KH009527</v>
      </c>
      <c r="E78" s="321">
        <v>195996.94</v>
      </c>
      <c r="F78" s="321">
        <v>195996.94</v>
      </c>
      <c r="G78" s="280" t="s">
        <v>158</v>
      </c>
      <c r="H78" s="278" t="s">
        <v>33</v>
      </c>
      <c r="I78" s="281"/>
      <c r="J78" s="278" t="s">
        <v>160</v>
      </c>
      <c r="K78" s="282" t="str">
        <f t="shared" si="57"/>
        <v>30/09/2019</v>
      </c>
      <c r="L78" s="283">
        <f t="shared" si="58"/>
        <v>43761</v>
      </c>
      <c r="M78" s="284">
        <f t="shared" ca="1" si="59"/>
        <v>-16</v>
      </c>
      <c r="N78" s="468">
        <f t="shared" ca="1" si="60"/>
        <v>7</v>
      </c>
      <c r="O78" s="282"/>
      <c r="P78" s="286">
        <f t="shared" si="61"/>
        <v>195996.94</v>
      </c>
      <c r="Q78" s="287"/>
      <c r="R78" s="288"/>
      <c r="S78" s="287"/>
      <c r="T78" s="287"/>
      <c r="U78" s="287" t="s">
        <v>52</v>
      </c>
      <c r="V78" s="502"/>
      <c r="W78" s="290"/>
      <c r="X78" s="290"/>
      <c r="Y78" s="326"/>
      <c r="Z78" s="292"/>
      <c r="AA78" s="293">
        <f t="shared" si="62"/>
        <v>0</v>
      </c>
      <c r="AB78" s="294"/>
      <c r="AC78" s="294"/>
      <c r="AD78" s="295"/>
      <c r="AE78" s="296"/>
      <c r="AF78" s="287"/>
      <c r="AG78" s="294" t="s">
        <v>48</v>
      </c>
      <c r="AH78" s="478"/>
      <c r="AI78" s="286" t="s">
        <v>918</v>
      </c>
      <c r="AJ78" s="297">
        <f>VLOOKUP(D78,[1]Hoja1!$G$6:$I$225,3,0)</f>
        <v>195996.94</v>
      </c>
      <c r="AK78" s="298">
        <f t="shared" si="63"/>
        <v>0</v>
      </c>
      <c r="AL78" s="588">
        <f t="shared" ca="1" si="64"/>
        <v>7</v>
      </c>
    </row>
    <row r="79" spans="1:38" s="300" customFormat="1" ht="12" customHeight="1">
      <c r="A79" s="595" t="s">
        <v>1242</v>
      </c>
      <c r="B79" s="278" t="s">
        <v>71</v>
      </c>
      <c r="C79" s="278" t="s">
        <v>1260</v>
      </c>
      <c r="D79" s="260" t="str">
        <f t="shared" si="35"/>
        <v>KH009528</v>
      </c>
      <c r="E79" s="321">
        <v>195996.94</v>
      </c>
      <c r="F79" s="321">
        <v>195996.94</v>
      </c>
      <c r="G79" s="280" t="s">
        <v>158</v>
      </c>
      <c r="H79" s="278" t="s">
        <v>33</v>
      </c>
      <c r="I79" s="281"/>
      <c r="J79" s="278" t="s">
        <v>160</v>
      </c>
      <c r="K79" s="282" t="str">
        <f t="shared" si="57"/>
        <v>30/09/2019</v>
      </c>
      <c r="L79" s="283">
        <f t="shared" si="58"/>
        <v>43761</v>
      </c>
      <c r="M79" s="284">
        <f t="shared" ca="1" si="59"/>
        <v>-16</v>
      </c>
      <c r="N79" s="468">
        <f t="shared" ca="1" si="60"/>
        <v>7</v>
      </c>
      <c r="O79" s="282"/>
      <c r="P79" s="286">
        <f t="shared" si="61"/>
        <v>195996.94</v>
      </c>
      <c r="Q79" s="287"/>
      <c r="R79" s="288"/>
      <c r="S79" s="287"/>
      <c r="T79" s="287"/>
      <c r="U79" s="287" t="s">
        <v>52</v>
      </c>
      <c r="V79" s="502"/>
      <c r="W79" s="290"/>
      <c r="X79" s="290"/>
      <c r="Y79" s="326"/>
      <c r="Z79" s="292"/>
      <c r="AA79" s="293">
        <f t="shared" si="62"/>
        <v>0</v>
      </c>
      <c r="AB79" s="294"/>
      <c r="AC79" s="294"/>
      <c r="AD79" s="295"/>
      <c r="AE79" s="296"/>
      <c r="AF79" s="287"/>
      <c r="AG79" s="294" t="s">
        <v>48</v>
      </c>
      <c r="AH79" s="478"/>
      <c r="AI79" s="286" t="s">
        <v>918</v>
      </c>
      <c r="AJ79" s="297">
        <f>VLOOKUP(D79,[1]Hoja1!$G$6:$I$225,3,0)</f>
        <v>195996.94</v>
      </c>
      <c r="AK79" s="298">
        <f t="shared" si="63"/>
        <v>0</v>
      </c>
      <c r="AL79" s="588">
        <f t="shared" ca="1" si="64"/>
        <v>7</v>
      </c>
    </row>
    <row r="80" spans="1:38" s="300" customFormat="1" ht="12" customHeight="1">
      <c r="A80" s="595" t="s">
        <v>1242</v>
      </c>
      <c r="B80" s="278" t="s">
        <v>71</v>
      </c>
      <c r="C80" s="278" t="s">
        <v>1261</v>
      </c>
      <c r="D80" s="260" t="str">
        <f t="shared" si="35"/>
        <v>KH009529</v>
      </c>
      <c r="E80" s="321">
        <v>195996.94</v>
      </c>
      <c r="F80" s="321">
        <v>195996.94</v>
      </c>
      <c r="G80" s="280" t="s">
        <v>158</v>
      </c>
      <c r="H80" s="278" t="s">
        <v>33</v>
      </c>
      <c r="I80" s="281"/>
      <c r="J80" s="278" t="s">
        <v>160</v>
      </c>
      <c r="K80" s="282" t="str">
        <f t="shared" si="57"/>
        <v>30/09/2019</v>
      </c>
      <c r="L80" s="283">
        <f t="shared" si="58"/>
        <v>43761</v>
      </c>
      <c r="M80" s="284">
        <f t="shared" ca="1" si="59"/>
        <v>-16</v>
      </c>
      <c r="N80" s="468">
        <f t="shared" ca="1" si="60"/>
        <v>7</v>
      </c>
      <c r="O80" s="282"/>
      <c r="P80" s="286">
        <f t="shared" si="61"/>
        <v>195996.94</v>
      </c>
      <c r="Q80" s="287"/>
      <c r="R80" s="288"/>
      <c r="S80" s="287"/>
      <c r="T80" s="287"/>
      <c r="U80" s="287" t="s">
        <v>52</v>
      </c>
      <c r="V80" s="502"/>
      <c r="W80" s="290"/>
      <c r="X80" s="290"/>
      <c r="Y80" s="326"/>
      <c r="Z80" s="292"/>
      <c r="AA80" s="293">
        <f t="shared" si="62"/>
        <v>0</v>
      </c>
      <c r="AB80" s="294"/>
      <c r="AC80" s="294"/>
      <c r="AD80" s="295"/>
      <c r="AE80" s="296"/>
      <c r="AF80" s="287"/>
      <c r="AG80" s="294" t="s">
        <v>48</v>
      </c>
      <c r="AH80" s="478"/>
      <c r="AI80" s="286" t="s">
        <v>918</v>
      </c>
      <c r="AJ80" s="297">
        <f>VLOOKUP(D80,[1]Hoja1!$G$6:$I$225,3,0)</f>
        <v>195996.94</v>
      </c>
      <c r="AK80" s="298">
        <f t="shared" si="63"/>
        <v>0</v>
      </c>
      <c r="AL80" s="588">
        <f t="shared" ca="1" si="64"/>
        <v>7</v>
      </c>
    </row>
    <row r="81" spans="1:38" s="300" customFormat="1" ht="12" customHeight="1">
      <c r="A81" s="595" t="s">
        <v>1242</v>
      </c>
      <c r="B81" s="278" t="s">
        <v>71</v>
      </c>
      <c r="C81" s="278" t="s">
        <v>1262</v>
      </c>
      <c r="D81" s="260" t="str">
        <f t="shared" si="35"/>
        <v>KH009530</v>
      </c>
      <c r="E81" s="321">
        <v>195996.94</v>
      </c>
      <c r="F81" s="321">
        <v>195996.94</v>
      </c>
      <c r="G81" s="280" t="s">
        <v>158</v>
      </c>
      <c r="H81" s="278" t="s">
        <v>33</v>
      </c>
      <c r="I81" s="281"/>
      <c r="J81" s="278" t="s">
        <v>160</v>
      </c>
      <c r="K81" s="282" t="str">
        <f t="shared" si="57"/>
        <v>30/09/2019</v>
      </c>
      <c r="L81" s="283">
        <f t="shared" si="58"/>
        <v>43761</v>
      </c>
      <c r="M81" s="284">
        <f t="shared" ca="1" si="59"/>
        <v>-16</v>
      </c>
      <c r="N81" s="468">
        <f t="shared" ca="1" si="60"/>
        <v>7</v>
      </c>
      <c r="O81" s="282"/>
      <c r="P81" s="286">
        <f t="shared" si="61"/>
        <v>195996.94</v>
      </c>
      <c r="Q81" s="287"/>
      <c r="R81" s="288"/>
      <c r="S81" s="287"/>
      <c r="T81" s="287"/>
      <c r="U81" s="287" t="s">
        <v>52</v>
      </c>
      <c r="V81" s="502"/>
      <c r="W81" s="290"/>
      <c r="X81" s="290"/>
      <c r="Y81" s="326"/>
      <c r="Z81" s="292"/>
      <c r="AA81" s="293">
        <f t="shared" si="62"/>
        <v>0</v>
      </c>
      <c r="AB81" s="294"/>
      <c r="AC81" s="294"/>
      <c r="AD81" s="295"/>
      <c r="AE81" s="296"/>
      <c r="AF81" s="287"/>
      <c r="AG81" s="294" t="s">
        <v>48</v>
      </c>
      <c r="AH81" s="478"/>
      <c r="AI81" s="286" t="s">
        <v>918</v>
      </c>
      <c r="AJ81" s="297">
        <f>VLOOKUP(D81,[1]Hoja1!$G$6:$I$225,3,0)</f>
        <v>195996.94</v>
      </c>
      <c r="AK81" s="298">
        <f t="shared" si="63"/>
        <v>0</v>
      </c>
      <c r="AL81" s="588">
        <f t="shared" ca="1" si="64"/>
        <v>7</v>
      </c>
    </row>
    <row r="82" spans="1:38" s="300" customFormat="1" ht="12" customHeight="1">
      <c r="A82" s="595" t="s">
        <v>1242</v>
      </c>
      <c r="B82" s="278" t="s">
        <v>71</v>
      </c>
      <c r="C82" s="278" t="s">
        <v>1263</v>
      </c>
      <c r="D82" s="260" t="str">
        <f t="shared" si="35"/>
        <v>KH009531</v>
      </c>
      <c r="E82" s="321">
        <v>195996.94</v>
      </c>
      <c r="F82" s="321">
        <v>195996.94</v>
      </c>
      <c r="G82" s="280" t="s">
        <v>158</v>
      </c>
      <c r="H82" s="278" t="s">
        <v>33</v>
      </c>
      <c r="I82" s="281"/>
      <c r="J82" s="278" t="s">
        <v>160</v>
      </c>
      <c r="K82" s="282" t="str">
        <f t="shared" si="57"/>
        <v>30/09/2019</v>
      </c>
      <c r="L82" s="283">
        <f t="shared" si="58"/>
        <v>43761</v>
      </c>
      <c r="M82" s="284">
        <f t="shared" ca="1" si="59"/>
        <v>-16</v>
      </c>
      <c r="N82" s="468">
        <f t="shared" ca="1" si="60"/>
        <v>7</v>
      </c>
      <c r="O82" s="282"/>
      <c r="P82" s="286">
        <f t="shared" si="61"/>
        <v>195996.94</v>
      </c>
      <c r="Q82" s="287"/>
      <c r="R82" s="288"/>
      <c r="S82" s="287"/>
      <c r="T82" s="287"/>
      <c r="U82" s="287" t="s">
        <v>52</v>
      </c>
      <c r="V82" s="502"/>
      <c r="W82" s="290"/>
      <c r="X82" s="290"/>
      <c r="Y82" s="326"/>
      <c r="Z82" s="292"/>
      <c r="AA82" s="293">
        <f t="shared" si="62"/>
        <v>0</v>
      </c>
      <c r="AB82" s="294"/>
      <c r="AC82" s="294"/>
      <c r="AD82" s="295"/>
      <c r="AE82" s="296"/>
      <c r="AF82" s="287"/>
      <c r="AG82" s="294" t="s">
        <v>48</v>
      </c>
      <c r="AH82" s="478"/>
      <c r="AI82" s="286" t="s">
        <v>918</v>
      </c>
      <c r="AJ82" s="297">
        <f>VLOOKUP(D82,[1]Hoja1!$G$6:$I$225,3,0)</f>
        <v>195996.94</v>
      </c>
      <c r="AK82" s="298">
        <f t="shared" si="63"/>
        <v>0</v>
      </c>
      <c r="AL82" s="588">
        <f t="shared" ca="1" si="64"/>
        <v>7</v>
      </c>
    </row>
    <row r="83" spans="1:38" s="300" customFormat="1" ht="12" customHeight="1">
      <c r="A83" s="595" t="s">
        <v>1242</v>
      </c>
      <c r="B83" s="278" t="s">
        <v>71</v>
      </c>
      <c r="C83" s="278" t="s">
        <v>1264</v>
      </c>
      <c r="D83" s="260" t="str">
        <f t="shared" ref="D83:D119" si="65">+RIGHT(C83,8)</f>
        <v>KH009532</v>
      </c>
      <c r="E83" s="321">
        <v>195996.94</v>
      </c>
      <c r="F83" s="321">
        <v>195996.94</v>
      </c>
      <c r="G83" s="280" t="s">
        <v>158</v>
      </c>
      <c r="H83" s="278" t="s">
        <v>33</v>
      </c>
      <c r="I83" s="281"/>
      <c r="J83" s="278" t="s">
        <v>160</v>
      </c>
      <c r="K83" s="282" t="str">
        <f t="shared" si="57"/>
        <v>30/09/2019</v>
      </c>
      <c r="L83" s="283">
        <f t="shared" si="58"/>
        <v>43761</v>
      </c>
      <c r="M83" s="284">
        <f t="shared" ca="1" si="59"/>
        <v>-16</v>
      </c>
      <c r="N83" s="468">
        <f t="shared" ca="1" si="60"/>
        <v>7</v>
      </c>
      <c r="O83" s="282"/>
      <c r="P83" s="286">
        <f t="shared" si="61"/>
        <v>195996.94</v>
      </c>
      <c r="Q83" s="287"/>
      <c r="R83" s="288"/>
      <c r="S83" s="287"/>
      <c r="T83" s="287"/>
      <c r="U83" s="287" t="s">
        <v>52</v>
      </c>
      <c r="V83" s="502"/>
      <c r="W83" s="290"/>
      <c r="X83" s="290"/>
      <c r="Y83" s="326"/>
      <c r="Z83" s="292"/>
      <c r="AA83" s="293">
        <f t="shared" si="62"/>
        <v>0</v>
      </c>
      <c r="AB83" s="294"/>
      <c r="AC83" s="294"/>
      <c r="AD83" s="295"/>
      <c r="AE83" s="296"/>
      <c r="AF83" s="287"/>
      <c r="AG83" s="294" t="s">
        <v>48</v>
      </c>
      <c r="AH83" s="478"/>
      <c r="AI83" s="286" t="s">
        <v>918</v>
      </c>
      <c r="AJ83" s="297">
        <f>VLOOKUP(D83,[1]Hoja1!$G$6:$I$225,3,0)</f>
        <v>195996.94</v>
      </c>
      <c r="AK83" s="298">
        <f t="shared" si="63"/>
        <v>0</v>
      </c>
      <c r="AL83" s="588">
        <f t="shared" ca="1" si="64"/>
        <v>7</v>
      </c>
    </row>
    <row r="84" spans="1:38" s="300" customFormat="1" ht="12" customHeight="1">
      <c r="A84" s="595" t="s">
        <v>1242</v>
      </c>
      <c r="B84" s="278" t="s">
        <v>1080</v>
      </c>
      <c r="C84" s="278" t="s">
        <v>1265</v>
      </c>
      <c r="D84" s="260" t="str">
        <f t="shared" si="65"/>
        <v>LC145192</v>
      </c>
      <c r="E84" s="321">
        <v>736501.96</v>
      </c>
      <c r="F84" s="321">
        <v>736501.96</v>
      </c>
      <c r="G84" s="280" t="s">
        <v>158</v>
      </c>
      <c r="H84" s="278" t="s">
        <v>33</v>
      </c>
      <c r="I84" s="281"/>
      <c r="J84" s="278" t="s">
        <v>160</v>
      </c>
      <c r="K84" s="282" t="str">
        <f t="shared" si="57"/>
        <v>30/09/2019</v>
      </c>
      <c r="L84" s="283">
        <f t="shared" si="58"/>
        <v>43761</v>
      </c>
      <c r="M84" s="284">
        <f t="shared" ca="1" si="59"/>
        <v>-16</v>
      </c>
      <c r="N84" s="468">
        <f t="shared" ca="1" si="60"/>
        <v>7</v>
      </c>
      <c r="O84" s="282"/>
      <c r="P84" s="286">
        <f t="shared" si="61"/>
        <v>736501.96</v>
      </c>
      <c r="Q84" s="287"/>
      <c r="R84" s="288"/>
      <c r="S84" s="287"/>
      <c r="T84" s="287"/>
      <c r="U84" s="287" t="s">
        <v>52</v>
      </c>
      <c r="V84" s="502"/>
      <c r="W84" s="290"/>
      <c r="X84" s="290"/>
      <c r="Y84" s="326"/>
      <c r="Z84" s="292"/>
      <c r="AA84" s="293">
        <f t="shared" si="62"/>
        <v>0</v>
      </c>
      <c r="AB84" s="294"/>
      <c r="AC84" s="294"/>
      <c r="AD84" s="295"/>
      <c r="AE84" s="296"/>
      <c r="AF84" s="287"/>
      <c r="AG84" s="294" t="s">
        <v>48</v>
      </c>
      <c r="AH84" s="478"/>
      <c r="AI84" s="286" t="s">
        <v>918</v>
      </c>
      <c r="AJ84" s="297">
        <f>VLOOKUP(D84,[1]Hoja1!$G$6:$I$225,3,0)</f>
        <v>736501.96</v>
      </c>
      <c r="AK84" s="298">
        <f t="shared" si="63"/>
        <v>0</v>
      </c>
      <c r="AL84" s="588">
        <f t="shared" ca="1" si="64"/>
        <v>7</v>
      </c>
    </row>
    <row r="85" spans="1:38" s="300" customFormat="1" ht="12" customHeight="1">
      <c r="A85" s="595" t="s">
        <v>1242</v>
      </c>
      <c r="B85" s="278" t="s">
        <v>72</v>
      </c>
      <c r="C85" s="278" t="s">
        <v>1277</v>
      </c>
      <c r="D85" s="260" t="str">
        <f t="shared" si="65"/>
        <v>LH000307</v>
      </c>
      <c r="E85" s="321">
        <v>218761.71</v>
      </c>
      <c r="F85" s="321">
        <v>218761.71</v>
      </c>
      <c r="G85" s="280" t="s">
        <v>158</v>
      </c>
      <c r="H85" s="278" t="s">
        <v>33</v>
      </c>
      <c r="I85" s="281"/>
      <c r="J85" s="278" t="s">
        <v>160</v>
      </c>
      <c r="K85" s="282" t="str">
        <f t="shared" si="57"/>
        <v>30/09/2019</v>
      </c>
      <c r="L85" s="283">
        <f t="shared" si="58"/>
        <v>43761</v>
      </c>
      <c r="M85" s="284">
        <f t="shared" ca="1" si="59"/>
        <v>-16</v>
      </c>
      <c r="N85" s="468">
        <f t="shared" ca="1" si="60"/>
        <v>7</v>
      </c>
      <c r="O85" s="282"/>
      <c r="P85" s="286">
        <f t="shared" si="61"/>
        <v>218761.71</v>
      </c>
      <c r="Q85" s="287"/>
      <c r="R85" s="288"/>
      <c r="S85" s="287"/>
      <c r="T85" s="287"/>
      <c r="U85" s="287" t="s">
        <v>52</v>
      </c>
      <c r="V85" s="502"/>
      <c r="W85" s="290"/>
      <c r="X85" s="290"/>
      <c r="Y85" s="326"/>
      <c r="Z85" s="292"/>
      <c r="AA85" s="293">
        <f t="shared" si="62"/>
        <v>0</v>
      </c>
      <c r="AB85" s="294"/>
      <c r="AC85" s="294"/>
      <c r="AD85" s="295"/>
      <c r="AE85" s="296"/>
      <c r="AF85" s="287"/>
      <c r="AG85" s="294" t="s">
        <v>48</v>
      </c>
      <c r="AH85" s="478"/>
      <c r="AI85" s="286" t="s">
        <v>918</v>
      </c>
      <c r="AJ85" s="297">
        <f>VLOOKUP(D85,[1]Hoja1!$G$6:$I$225,3,0)</f>
        <v>218761.71</v>
      </c>
      <c r="AK85" s="298">
        <f t="shared" si="63"/>
        <v>0</v>
      </c>
      <c r="AL85" s="588">
        <f t="shared" ca="1" si="64"/>
        <v>7</v>
      </c>
    </row>
    <row r="86" spans="1:38" s="300" customFormat="1" ht="12" customHeight="1">
      <c r="A86" s="595" t="s">
        <v>1242</v>
      </c>
      <c r="B86" s="278" t="s">
        <v>72</v>
      </c>
      <c r="C86" s="278" t="s">
        <v>1278</v>
      </c>
      <c r="D86" s="260" t="str">
        <f t="shared" si="65"/>
        <v>LH000870</v>
      </c>
      <c r="E86" s="321">
        <v>218761.71</v>
      </c>
      <c r="F86" s="321">
        <v>218761.71</v>
      </c>
      <c r="G86" s="280" t="s">
        <v>158</v>
      </c>
      <c r="H86" s="278" t="s">
        <v>33</v>
      </c>
      <c r="I86" s="281"/>
      <c r="J86" s="278" t="s">
        <v>160</v>
      </c>
      <c r="K86" s="282" t="str">
        <f t="shared" si="57"/>
        <v>30/09/2019</v>
      </c>
      <c r="L86" s="283">
        <f t="shared" si="58"/>
        <v>43761</v>
      </c>
      <c r="M86" s="284">
        <f t="shared" ca="1" si="59"/>
        <v>-16</v>
      </c>
      <c r="N86" s="468">
        <f t="shared" ca="1" si="60"/>
        <v>7</v>
      </c>
      <c r="O86" s="282"/>
      <c r="P86" s="286">
        <f t="shared" si="61"/>
        <v>218761.71</v>
      </c>
      <c r="Q86" s="287"/>
      <c r="R86" s="288"/>
      <c r="S86" s="287"/>
      <c r="T86" s="287"/>
      <c r="U86" s="287" t="s">
        <v>52</v>
      </c>
      <c r="V86" s="502"/>
      <c r="W86" s="290"/>
      <c r="X86" s="290"/>
      <c r="Y86" s="326"/>
      <c r="Z86" s="292"/>
      <c r="AA86" s="293">
        <f t="shared" si="62"/>
        <v>0</v>
      </c>
      <c r="AB86" s="294"/>
      <c r="AC86" s="294"/>
      <c r="AD86" s="295"/>
      <c r="AE86" s="296"/>
      <c r="AF86" s="287"/>
      <c r="AG86" s="294" t="s">
        <v>48</v>
      </c>
      <c r="AH86" s="478"/>
      <c r="AI86" s="286" t="s">
        <v>918</v>
      </c>
      <c r="AJ86" s="297">
        <f>VLOOKUP(D86,[1]Hoja1!$G$6:$I$225,3,0)</f>
        <v>218761.71</v>
      </c>
      <c r="AK86" s="298">
        <f t="shared" si="63"/>
        <v>0</v>
      </c>
      <c r="AL86" s="588">
        <f t="shared" ca="1" si="64"/>
        <v>7</v>
      </c>
    </row>
    <row r="87" spans="1:38" s="300" customFormat="1" ht="12" customHeight="1">
      <c r="A87" s="595" t="s">
        <v>1242</v>
      </c>
      <c r="B87" s="278" t="s">
        <v>72</v>
      </c>
      <c r="C87" s="278" t="s">
        <v>1279</v>
      </c>
      <c r="D87" s="260" t="str">
        <f t="shared" si="65"/>
        <v>LH000912</v>
      </c>
      <c r="E87" s="321">
        <v>218761.71</v>
      </c>
      <c r="F87" s="321">
        <v>218761.71</v>
      </c>
      <c r="G87" s="280" t="s">
        <v>158</v>
      </c>
      <c r="H87" s="278" t="s">
        <v>33</v>
      </c>
      <c r="I87" s="281"/>
      <c r="J87" s="278" t="s">
        <v>160</v>
      </c>
      <c r="K87" s="282" t="str">
        <f t="shared" si="57"/>
        <v>30/09/2019</v>
      </c>
      <c r="L87" s="283">
        <f t="shared" si="58"/>
        <v>43761</v>
      </c>
      <c r="M87" s="284">
        <f t="shared" ca="1" si="59"/>
        <v>-16</v>
      </c>
      <c r="N87" s="468">
        <f t="shared" ca="1" si="60"/>
        <v>7</v>
      </c>
      <c r="O87" s="282"/>
      <c r="P87" s="286">
        <f t="shared" si="61"/>
        <v>218761.71</v>
      </c>
      <c r="Q87" s="287"/>
      <c r="R87" s="288"/>
      <c r="S87" s="287"/>
      <c r="T87" s="287"/>
      <c r="U87" s="287" t="s">
        <v>52</v>
      </c>
      <c r="V87" s="502"/>
      <c r="W87" s="290"/>
      <c r="X87" s="290"/>
      <c r="Y87" s="326"/>
      <c r="Z87" s="292"/>
      <c r="AA87" s="293">
        <f t="shared" si="62"/>
        <v>0</v>
      </c>
      <c r="AB87" s="294"/>
      <c r="AC87" s="294"/>
      <c r="AD87" s="295"/>
      <c r="AE87" s="296"/>
      <c r="AF87" s="287"/>
      <c r="AG87" s="294" t="s">
        <v>48</v>
      </c>
      <c r="AH87" s="478"/>
      <c r="AI87" s="286" t="s">
        <v>918</v>
      </c>
      <c r="AJ87" s="297">
        <f>VLOOKUP(D87,[1]Hoja1!$G$6:$I$225,3,0)</f>
        <v>218761.71</v>
      </c>
      <c r="AK87" s="298">
        <f t="shared" si="63"/>
        <v>0</v>
      </c>
      <c r="AL87" s="588">
        <f t="shared" ca="1" si="64"/>
        <v>7</v>
      </c>
    </row>
    <row r="88" spans="1:38" s="300" customFormat="1" ht="12" customHeight="1">
      <c r="A88" s="595" t="s">
        <v>1242</v>
      </c>
      <c r="B88" s="278" t="s">
        <v>72</v>
      </c>
      <c r="C88" s="278" t="s">
        <v>1280</v>
      </c>
      <c r="D88" s="260" t="str">
        <f t="shared" si="65"/>
        <v>LH000938</v>
      </c>
      <c r="E88" s="321">
        <v>218761.71</v>
      </c>
      <c r="F88" s="321">
        <v>218761.71</v>
      </c>
      <c r="G88" s="280" t="s">
        <v>158</v>
      </c>
      <c r="H88" s="278" t="s">
        <v>33</v>
      </c>
      <c r="I88" s="281"/>
      <c r="J88" s="278" t="s">
        <v>160</v>
      </c>
      <c r="K88" s="282" t="str">
        <f t="shared" si="57"/>
        <v>30/09/2019</v>
      </c>
      <c r="L88" s="283">
        <f t="shared" si="58"/>
        <v>43761</v>
      </c>
      <c r="M88" s="284">
        <f t="shared" ca="1" si="59"/>
        <v>-16</v>
      </c>
      <c r="N88" s="468">
        <f t="shared" ca="1" si="60"/>
        <v>7</v>
      </c>
      <c r="O88" s="282"/>
      <c r="P88" s="286">
        <f t="shared" si="61"/>
        <v>218761.71</v>
      </c>
      <c r="Q88" s="287"/>
      <c r="R88" s="288"/>
      <c r="S88" s="287"/>
      <c r="T88" s="287"/>
      <c r="U88" s="287" t="s">
        <v>52</v>
      </c>
      <c r="V88" s="502"/>
      <c r="W88" s="290"/>
      <c r="X88" s="290"/>
      <c r="Y88" s="326"/>
      <c r="Z88" s="292"/>
      <c r="AA88" s="293">
        <f t="shared" si="62"/>
        <v>0</v>
      </c>
      <c r="AB88" s="294"/>
      <c r="AC88" s="294"/>
      <c r="AD88" s="295"/>
      <c r="AE88" s="296"/>
      <c r="AF88" s="287"/>
      <c r="AG88" s="294" t="s">
        <v>48</v>
      </c>
      <c r="AH88" s="478"/>
      <c r="AI88" s="286" t="s">
        <v>918</v>
      </c>
      <c r="AJ88" s="297">
        <f>VLOOKUP(D88,[1]Hoja1!$G$6:$I$225,3,0)</f>
        <v>218761.71</v>
      </c>
      <c r="AK88" s="298">
        <f t="shared" si="63"/>
        <v>0</v>
      </c>
      <c r="AL88" s="588">
        <f t="shared" ca="1" si="64"/>
        <v>7</v>
      </c>
    </row>
    <row r="89" spans="1:38" s="300" customFormat="1" ht="12" customHeight="1">
      <c r="A89" s="595" t="s">
        <v>1242</v>
      </c>
      <c r="B89" s="278" t="s">
        <v>72</v>
      </c>
      <c r="C89" s="278" t="s">
        <v>1281</v>
      </c>
      <c r="D89" s="260" t="str">
        <f t="shared" si="65"/>
        <v>LH001711</v>
      </c>
      <c r="E89" s="321">
        <v>218761.71</v>
      </c>
      <c r="F89" s="321">
        <v>218761.71</v>
      </c>
      <c r="G89" s="280" t="s">
        <v>158</v>
      </c>
      <c r="H89" s="278" t="s">
        <v>33</v>
      </c>
      <c r="I89" s="281"/>
      <c r="J89" s="278" t="s">
        <v>160</v>
      </c>
      <c r="K89" s="282" t="str">
        <f t="shared" si="57"/>
        <v>30/09/2019</v>
      </c>
      <c r="L89" s="283">
        <f t="shared" si="58"/>
        <v>43761</v>
      </c>
      <c r="M89" s="284">
        <f t="shared" ca="1" si="59"/>
        <v>-16</v>
      </c>
      <c r="N89" s="468">
        <f t="shared" ca="1" si="60"/>
        <v>7</v>
      </c>
      <c r="O89" s="282"/>
      <c r="P89" s="286">
        <f t="shared" si="61"/>
        <v>218761.71</v>
      </c>
      <c r="Q89" s="287"/>
      <c r="R89" s="288"/>
      <c r="S89" s="287"/>
      <c r="T89" s="287"/>
      <c r="U89" s="287" t="s">
        <v>52</v>
      </c>
      <c r="V89" s="502"/>
      <c r="W89" s="290"/>
      <c r="X89" s="290"/>
      <c r="Y89" s="326"/>
      <c r="Z89" s="292"/>
      <c r="AA89" s="293">
        <f t="shared" si="62"/>
        <v>0</v>
      </c>
      <c r="AB89" s="294"/>
      <c r="AC89" s="294"/>
      <c r="AD89" s="295"/>
      <c r="AE89" s="296"/>
      <c r="AF89" s="287"/>
      <c r="AG89" s="294" t="s">
        <v>48</v>
      </c>
      <c r="AH89" s="478"/>
      <c r="AI89" s="286" t="s">
        <v>918</v>
      </c>
      <c r="AJ89" s="297">
        <f>VLOOKUP(D89,[1]Hoja1!$G$6:$I$225,3,0)</f>
        <v>218761.71</v>
      </c>
      <c r="AK89" s="298">
        <f t="shared" si="63"/>
        <v>0</v>
      </c>
      <c r="AL89" s="588">
        <f t="shared" ca="1" si="64"/>
        <v>7</v>
      </c>
    </row>
    <row r="90" spans="1:38" s="300" customFormat="1" ht="12" customHeight="1">
      <c r="A90" s="595" t="s">
        <v>1242</v>
      </c>
      <c r="B90" s="278" t="s">
        <v>73</v>
      </c>
      <c r="C90" s="278" t="s">
        <v>1282</v>
      </c>
      <c r="D90" s="260" t="str">
        <f t="shared" si="65"/>
        <v>LH000299</v>
      </c>
      <c r="E90" s="321">
        <v>241526.48</v>
      </c>
      <c r="F90" s="321">
        <v>241526.48</v>
      </c>
      <c r="G90" s="280" t="s">
        <v>158</v>
      </c>
      <c r="H90" s="278" t="s">
        <v>33</v>
      </c>
      <c r="I90" s="281"/>
      <c r="J90" s="278" t="s">
        <v>160</v>
      </c>
      <c r="K90" s="282" t="str">
        <f t="shared" si="57"/>
        <v>30/09/2019</v>
      </c>
      <c r="L90" s="283">
        <f t="shared" si="58"/>
        <v>43761</v>
      </c>
      <c r="M90" s="284">
        <f t="shared" ca="1" si="59"/>
        <v>-16</v>
      </c>
      <c r="N90" s="468">
        <f t="shared" ca="1" si="60"/>
        <v>7</v>
      </c>
      <c r="O90" s="282"/>
      <c r="P90" s="286">
        <f t="shared" si="61"/>
        <v>241526.48</v>
      </c>
      <c r="Q90" s="287"/>
      <c r="R90" s="288"/>
      <c r="S90" s="287"/>
      <c r="T90" s="287"/>
      <c r="U90" s="287" t="s">
        <v>52</v>
      </c>
      <c r="V90" s="502"/>
      <c r="W90" s="290"/>
      <c r="X90" s="290"/>
      <c r="Y90" s="326"/>
      <c r="Z90" s="292"/>
      <c r="AA90" s="293">
        <f t="shared" si="62"/>
        <v>0</v>
      </c>
      <c r="AB90" s="294"/>
      <c r="AC90" s="294"/>
      <c r="AD90" s="295"/>
      <c r="AE90" s="296"/>
      <c r="AF90" s="287"/>
      <c r="AG90" s="294" t="s">
        <v>48</v>
      </c>
      <c r="AH90" s="478"/>
      <c r="AI90" s="286" t="s">
        <v>918</v>
      </c>
      <c r="AJ90" s="297">
        <f>VLOOKUP(D90,[1]Hoja1!$G$6:$I$225,3,0)</f>
        <v>241526.48</v>
      </c>
      <c r="AK90" s="298">
        <f t="shared" si="63"/>
        <v>0</v>
      </c>
      <c r="AL90" s="588">
        <f t="shared" ca="1" si="64"/>
        <v>7</v>
      </c>
    </row>
    <row r="91" spans="1:38" s="300" customFormat="1" ht="12" customHeight="1">
      <c r="A91" s="595" t="s">
        <v>1242</v>
      </c>
      <c r="B91" s="278" t="s">
        <v>73</v>
      </c>
      <c r="C91" s="278" t="s">
        <v>1283</v>
      </c>
      <c r="D91" s="260" t="str">
        <f t="shared" si="65"/>
        <v>LH001676</v>
      </c>
      <c r="E91" s="321">
        <v>241526.48</v>
      </c>
      <c r="F91" s="321">
        <v>241526.48</v>
      </c>
      <c r="G91" s="280" t="s">
        <v>158</v>
      </c>
      <c r="H91" s="278" t="s">
        <v>33</v>
      </c>
      <c r="I91" s="281"/>
      <c r="J91" s="278" t="s">
        <v>160</v>
      </c>
      <c r="K91" s="282" t="str">
        <f t="shared" si="57"/>
        <v>30/09/2019</v>
      </c>
      <c r="L91" s="283">
        <f t="shared" si="58"/>
        <v>43761</v>
      </c>
      <c r="M91" s="284">
        <f t="shared" ca="1" si="59"/>
        <v>-16</v>
      </c>
      <c r="N91" s="468">
        <f t="shared" ca="1" si="60"/>
        <v>7</v>
      </c>
      <c r="O91" s="282"/>
      <c r="P91" s="286">
        <f t="shared" si="61"/>
        <v>241526.48</v>
      </c>
      <c r="Q91" s="287"/>
      <c r="R91" s="288"/>
      <c r="S91" s="287"/>
      <c r="T91" s="287"/>
      <c r="U91" s="287" t="s">
        <v>52</v>
      </c>
      <c r="V91" s="502"/>
      <c r="W91" s="290"/>
      <c r="X91" s="290"/>
      <c r="Y91" s="326"/>
      <c r="Z91" s="292"/>
      <c r="AA91" s="293">
        <f t="shared" si="62"/>
        <v>0</v>
      </c>
      <c r="AB91" s="294"/>
      <c r="AC91" s="294"/>
      <c r="AD91" s="295"/>
      <c r="AE91" s="296"/>
      <c r="AF91" s="287"/>
      <c r="AG91" s="294" t="s">
        <v>48</v>
      </c>
      <c r="AH91" s="478"/>
      <c r="AI91" s="286" t="s">
        <v>918</v>
      </c>
      <c r="AJ91" s="297">
        <f>VLOOKUP(D91,[1]Hoja1!$G$6:$I$225,3,0)</f>
        <v>241526.48</v>
      </c>
      <c r="AK91" s="298">
        <f t="shared" si="63"/>
        <v>0</v>
      </c>
      <c r="AL91" s="588">
        <f t="shared" ca="1" si="64"/>
        <v>7</v>
      </c>
    </row>
    <row r="92" spans="1:38" s="300" customFormat="1" ht="12" customHeight="1">
      <c r="A92" s="595" t="s">
        <v>1242</v>
      </c>
      <c r="B92" s="278" t="s">
        <v>73</v>
      </c>
      <c r="C92" s="278" t="s">
        <v>1284</v>
      </c>
      <c r="D92" s="260" t="str">
        <f t="shared" si="65"/>
        <v>LH001826</v>
      </c>
      <c r="E92" s="321">
        <v>241526.48</v>
      </c>
      <c r="F92" s="321">
        <v>241526.48</v>
      </c>
      <c r="G92" s="280" t="s">
        <v>158</v>
      </c>
      <c r="H92" s="278" t="s">
        <v>33</v>
      </c>
      <c r="I92" s="281"/>
      <c r="J92" s="278" t="s">
        <v>160</v>
      </c>
      <c r="K92" s="282" t="str">
        <f t="shared" si="57"/>
        <v>30/09/2019</v>
      </c>
      <c r="L92" s="283">
        <f t="shared" si="58"/>
        <v>43761</v>
      </c>
      <c r="M92" s="284">
        <f t="shared" ca="1" si="59"/>
        <v>-16</v>
      </c>
      <c r="N92" s="468">
        <f t="shared" ca="1" si="60"/>
        <v>7</v>
      </c>
      <c r="O92" s="282"/>
      <c r="P92" s="286">
        <f t="shared" si="61"/>
        <v>241526.48</v>
      </c>
      <c r="Q92" s="287"/>
      <c r="R92" s="288"/>
      <c r="S92" s="287"/>
      <c r="T92" s="287"/>
      <c r="U92" s="287" t="s">
        <v>52</v>
      </c>
      <c r="V92" s="502"/>
      <c r="W92" s="290"/>
      <c r="X92" s="290"/>
      <c r="Y92" s="326"/>
      <c r="Z92" s="292"/>
      <c r="AA92" s="293">
        <f t="shared" si="62"/>
        <v>0</v>
      </c>
      <c r="AB92" s="294"/>
      <c r="AC92" s="294"/>
      <c r="AD92" s="295"/>
      <c r="AE92" s="296"/>
      <c r="AF92" s="287"/>
      <c r="AG92" s="294" t="s">
        <v>48</v>
      </c>
      <c r="AH92" s="478"/>
      <c r="AI92" s="286" t="s">
        <v>918</v>
      </c>
      <c r="AJ92" s="297">
        <f>VLOOKUP(D92,[1]Hoja1!$G$6:$I$225,3,0)</f>
        <v>241526.48</v>
      </c>
      <c r="AK92" s="298">
        <f t="shared" si="63"/>
        <v>0</v>
      </c>
      <c r="AL92" s="588">
        <f t="shared" ca="1" si="64"/>
        <v>7</v>
      </c>
    </row>
    <row r="93" spans="1:38" s="300" customFormat="1" ht="12" customHeight="1">
      <c r="A93" s="595" t="s">
        <v>1242</v>
      </c>
      <c r="B93" s="278" t="s">
        <v>120</v>
      </c>
      <c r="C93" s="278" t="s">
        <v>1285</v>
      </c>
      <c r="D93" s="260" t="str">
        <f t="shared" si="65"/>
        <v>L9139887</v>
      </c>
      <c r="E93" s="321">
        <v>226510.79</v>
      </c>
      <c r="F93" s="321">
        <v>226510.79</v>
      </c>
      <c r="G93" s="280" t="s">
        <v>158</v>
      </c>
      <c r="H93" s="278" t="s">
        <v>33</v>
      </c>
      <c r="I93" s="281"/>
      <c r="J93" s="278" t="s">
        <v>160</v>
      </c>
      <c r="K93" s="282" t="str">
        <f t="shared" si="57"/>
        <v>30/09/2019</v>
      </c>
      <c r="L93" s="283">
        <f t="shared" si="58"/>
        <v>43761</v>
      </c>
      <c r="M93" s="284">
        <f t="shared" ca="1" si="59"/>
        <v>-16</v>
      </c>
      <c r="N93" s="468">
        <f t="shared" ca="1" si="60"/>
        <v>7</v>
      </c>
      <c r="O93" s="282"/>
      <c r="P93" s="286">
        <f t="shared" si="61"/>
        <v>226510.79</v>
      </c>
      <c r="Q93" s="287"/>
      <c r="R93" s="288"/>
      <c r="S93" s="287" t="s">
        <v>1405</v>
      </c>
      <c r="T93" s="287" t="s">
        <v>1404</v>
      </c>
      <c r="U93" s="287" t="s">
        <v>36</v>
      </c>
      <c r="V93" s="502">
        <v>43739</v>
      </c>
      <c r="W93" s="290"/>
      <c r="X93" s="290"/>
      <c r="Y93" s="326">
        <v>238000</v>
      </c>
      <c r="Z93" s="292"/>
      <c r="AA93" s="293">
        <f t="shared" si="62"/>
        <v>238000</v>
      </c>
      <c r="AB93" s="294"/>
      <c r="AC93" s="294"/>
      <c r="AD93" s="295"/>
      <c r="AE93" s="296"/>
      <c r="AF93" s="287" t="s">
        <v>65</v>
      </c>
      <c r="AG93" s="294" t="s">
        <v>48</v>
      </c>
      <c r="AH93" s="478"/>
      <c r="AI93" s="286" t="s">
        <v>918</v>
      </c>
      <c r="AJ93" s="297">
        <f>VLOOKUP(D93,[1]Hoja1!$G$6:$I$225,3,0)</f>
        <v>226510.79</v>
      </c>
      <c r="AK93" s="298">
        <f t="shared" si="63"/>
        <v>0</v>
      </c>
      <c r="AL93" s="588">
        <f t="shared" ca="1" si="64"/>
        <v>7</v>
      </c>
    </row>
    <row r="94" spans="1:38" s="300" customFormat="1" ht="12" customHeight="1">
      <c r="A94" s="595" t="s">
        <v>1242</v>
      </c>
      <c r="B94" s="278" t="s">
        <v>120</v>
      </c>
      <c r="C94" s="278" t="s">
        <v>1286</v>
      </c>
      <c r="D94" s="260" t="str">
        <f t="shared" si="65"/>
        <v>L9140008</v>
      </c>
      <c r="E94" s="321">
        <v>226510.79</v>
      </c>
      <c r="F94" s="321">
        <v>226510.79</v>
      </c>
      <c r="G94" s="280" t="s">
        <v>158</v>
      </c>
      <c r="H94" s="278" t="s">
        <v>33</v>
      </c>
      <c r="I94" s="281"/>
      <c r="J94" s="278" t="s">
        <v>160</v>
      </c>
      <c r="K94" s="282" t="str">
        <f t="shared" si="57"/>
        <v>30/09/2019</v>
      </c>
      <c r="L94" s="283">
        <f t="shared" si="58"/>
        <v>43761</v>
      </c>
      <c r="M94" s="284">
        <f t="shared" ca="1" si="59"/>
        <v>-16</v>
      </c>
      <c r="N94" s="468">
        <f t="shared" ca="1" si="60"/>
        <v>7</v>
      </c>
      <c r="O94" s="282"/>
      <c r="P94" s="286">
        <f t="shared" si="61"/>
        <v>226510.79</v>
      </c>
      <c r="Q94" s="287"/>
      <c r="R94" s="288"/>
      <c r="S94" s="287" t="s">
        <v>1403</v>
      </c>
      <c r="T94" s="287" t="s">
        <v>1404</v>
      </c>
      <c r="U94" s="287" t="s">
        <v>36</v>
      </c>
      <c r="V94" s="502">
        <v>43739</v>
      </c>
      <c r="W94" s="290"/>
      <c r="X94" s="290"/>
      <c r="Y94" s="326">
        <v>238000</v>
      </c>
      <c r="Z94" s="292"/>
      <c r="AA94" s="293">
        <f t="shared" si="62"/>
        <v>238000</v>
      </c>
      <c r="AB94" s="294"/>
      <c r="AC94" s="294"/>
      <c r="AD94" s="295"/>
      <c r="AE94" s="296"/>
      <c r="AF94" s="287" t="s">
        <v>65</v>
      </c>
      <c r="AG94" s="294" t="s">
        <v>48</v>
      </c>
      <c r="AH94" s="478"/>
      <c r="AI94" s="286" t="s">
        <v>918</v>
      </c>
      <c r="AJ94" s="297">
        <f>VLOOKUP(D94,[1]Hoja1!$G$6:$I$225,3,0)</f>
        <v>226510.79</v>
      </c>
      <c r="AK94" s="298">
        <f t="shared" si="63"/>
        <v>0</v>
      </c>
      <c r="AL94" s="588">
        <f t="shared" ca="1" si="64"/>
        <v>7</v>
      </c>
    </row>
    <row r="95" spans="1:38" s="300" customFormat="1" ht="12" customHeight="1">
      <c r="A95" s="595" t="s">
        <v>1242</v>
      </c>
      <c r="B95" s="278" t="s">
        <v>120</v>
      </c>
      <c r="C95" s="278" t="s">
        <v>1287</v>
      </c>
      <c r="D95" s="260" t="str">
        <f t="shared" si="65"/>
        <v>L9140092</v>
      </c>
      <c r="E95" s="321">
        <v>226510.79</v>
      </c>
      <c r="F95" s="321">
        <v>226510.79</v>
      </c>
      <c r="G95" s="280" t="s">
        <v>158</v>
      </c>
      <c r="H95" s="278" t="s">
        <v>33</v>
      </c>
      <c r="I95" s="281"/>
      <c r="J95" s="278" t="s">
        <v>160</v>
      </c>
      <c r="K95" s="282" t="str">
        <f t="shared" si="57"/>
        <v>30/09/2019</v>
      </c>
      <c r="L95" s="283">
        <f t="shared" si="58"/>
        <v>43761</v>
      </c>
      <c r="M95" s="284">
        <f t="shared" ca="1" si="59"/>
        <v>-16</v>
      </c>
      <c r="N95" s="468">
        <f t="shared" ca="1" si="60"/>
        <v>7</v>
      </c>
      <c r="O95" s="282"/>
      <c r="P95" s="286">
        <f t="shared" si="61"/>
        <v>226510.79</v>
      </c>
      <c r="Q95" s="287"/>
      <c r="R95" s="288"/>
      <c r="S95" s="287"/>
      <c r="T95" s="287"/>
      <c r="U95" s="287" t="s">
        <v>52</v>
      </c>
      <c r="V95" s="502"/>
      <c r="W95" s="290"/>
      <c r="X95" s="290"/>
      <c r="Y95" s="326"/>
      <c r="Z95" s="292"/>
      <c r="AA95" s="293">
        <f t="shared" si="62"/>
        <v>0</v>
      </c>
      <c r="AB95" s="294"/>
      <c r="AC95" s="294"/>
      <c r="AD95" s="295"/>
      <c r="AE95" s="296"/>
      <c r="AF95" s="287"/>
      <c r="AG95" s="294" t="s">
        <v>48</v>
      </c>
      <c r="AH95" s="478"/>
      <c r="AI95" s="286" t="s">
        <v>918</v>
      </c>
      <c r="AJ95" s="297">
        <f>VLOOKUP(D95,[1]Hoja1!$G$6:$I$225,3,0)</f>
        <v>226510.79</v>
      </c>
      <c r="AK95" s="298">
        <f t="shared" si="63"/>
        <v>0</v>
      </c>
      <c r="AL95" s="588">
        <f t="shared" ca="1" si="64"/>
        <v>7</v>
      </c>
    </row>
    <row r="96" spans="1:38" s="300" customFormat="1" ht="12" customHeight="1">
      <c r="A96" s="595" t="s">
        <v>1242</v>
      </c>
      <c r="B96" s="278" t="s">
        <v>83</v>
      </c>
      <c r="C96" s="278" t="s">
        <v>1288</v>
      </c>
      <c r="D96" s="260" t="str">
        <f t="shared" si="65"/>
        <v>LY354480</v>
      </c>
      <c r="E96" s="321">
        <v>231014.2</v>
      </c>
      <c r="F96" s="321">
        <v>231014.2</v>
      </c>
      <c r="G96" s="280" t="s">
        <v>158</v>
      </c>
      <c r="H96" s="278" t="s">
        <v>33</v>
      </c>
      <c r="I96" s="281"/>
      <c r="J96" s="278" t="s">
        <v>160</v>
      </c>
      <c r="K96" s="282" t="str">
        <f t="shared" si="57"/>
        <v>30/09/2019</v>
      </c>
      <c r="L96" s="283">
        <f t="shared" si="58"/>
        <v>43761</v>
      </c>
      <c r="M96" s="284">
        <f t="shared" ca="1" si="59"/>
        <v>-16</v>
      </c>
      <c r="N96" s="468">
        <f t="shared" ca="1" si="60"/>
        <v>7</v>
      </c>
      <c r="O96" s="282"/>
      <c r="P96" s="286">
        <f t="shared" si="61"/>
        <v>231014.2</v>
      </c>
      <c r="Q96" s="287"/>
      <c r="R96" s="288"/>
      <c r="S96" s="287"/>
      <c r="T96" s="287"/>
      <c r="U96" s="287" t="s">
        <v>52</v>
      </c>
      <c r="V96" s="502"/>
      <c r="W96" s="290"/>
      <c r="X96" s="290"/>
      <c r="Y96" s="326"/>
      <c r="Z96" s="292"/>
      <c r="AA96" s="293">
        <f t="shared" si="62"/>
        <v>0</v>
      </c>
      <c r="AB96" s="294"/>
      <c r="AC96" s="294"/>
      <c r="AD96" s="295"/>
      <c r="AE96" s="296"/>
      <c r="AF96" s="287"/>
      <c r="AG96" s="294" t="s">
        <v>48</v>
      </c>
      <c r="AH96" s="478"/>
      <c r="AI96" s="286" t="s">
        <v>918</v>
      </c>
      <c r="AJ96" s="297">
        <f>VLOOKUP(D96,[1]Hoja1!$G$6:$I$225,3,0)</f>
        <v>231014.2</v>
      </c>
      <c r="AK96" s="298">
        <f t="shared" si="63"/>
        <v>0</v>
      </c>
      <c r="AL96" s="588">
        <f t="shared" ca="1" si="64"/>
        <v>7</v>
      </c>
    </row>
    <row r="97" spans="1:38" s="300" customFormat="1" ht="12" customHeight="1">
      <c r="A97" s="595" t="s">
        <v>1242</v>
      </c>
      <c r="B97" s="278" t="s">
        <v>83</v>
      </c>
      <c r="C97" s="278" t="s">
        <v>1289</v>
      </c>
      <c r="D97" s="260" t="str">
        <f t="shared" si="65"/>
        <v>LY354507</v>
      </c>
      <c r="E97" s="321">
        <v>231014.2</v>
      </c>
      <c r="F97" s="321">
        <v>231014.2</v>
      </c>
      <c r="G97" s="280" t="s">
        <v>158</v>
      </c>
      <c r="H97" s="278" t="s">
        <v>33</v>
      </c>
      <c r="I97" s="281"/>
      <c r="J97" s="278" t="s">
        <v>160</v>
      </c>
      <c r="K97" s="282" t="str">
        <f t="shared" si="57"/>
        <v>30/09/2019</v>
      </c>
      <c r="L97" s="283">
        <f t="shared" si="58"/>
        <v>43761</v>
      </c>
      <c r="M97" s="284">
        <f t="shared" ca="1" si="59"/>
        <v>-16</v>
      </c>
      <c r="N97" s="468">
        <f t="shared" ca="1" si="60"/>
        <v>7</v>
      </c>
      <c r="O97" s="282"/>
      <c r="P97" s="286">
        <f t="shared" si="61"/>
        <v>231014.2</v>
      </c>
      <c r="Q97" s="287"/>
      <c r="R97" s="288"/>
      <c r="S97" s="287"/>
      <c r="T97" s="287"/>
      <c r="U97" s="287" t="s">
        <v>52</v>
      </c>
      <c r="V97" s="502"/>
      <c r="W97" s="290"/>
      <c r="X97" s="290"/>
      <c r="Y97" s="326"/>
      <c r="Z97" s="292"/>
      <c r="AA97" s="293">
        <f t="shared" si="62"/>
        <v>0</v>
      </c>
      <c r="AB97" s="294"/>
      <c r="AC97" s="294"/>
      <c r="AD97" s="295"/>
      <c r="AE97" s="296"/>
      <c r="AF97" s="287"/>
      <c r="AG97" s="294" t="s">
        <v>48</v>
      </c>
      <c r="AH97" s="478"/>
      <c r="AI97" s="286" t="s">
        <v>918</v>
      </c>
      <c r="AJ97" s="297">
        <f>VLOOKUP(D97,[1]Hoja1!$G$6:$I$225,3,0)</f>
        <v>231014.2</v>
      </c>
      <c r="AK97" s="298">
        <f t="shared" si="63"/>
        <v>0</v>
      </c>
      <c r="AL97" s="588">
        <f t="shared" ca="1" si="64"/>
        <v>7</v>
      </c>
    </row>
    <row r="98" spans="1:38" s="300" customFormat="1" ht="12" customHeight="1">
      <c r="A98" s="595" t="s">
        <v>1242</v>
      </c>
      <c r="B98" s="278" t="s">
        <v>83</v>
      </c>
      <c r="C98" s="278" t="s">
        <v>1290</v>
      </c>
      <c r="D98" s="260" t="str">
        <f t="shared" si="65"/>
        <v>LY354560</v>
      </c>
      <c r="E98" s="321">
        <v>231014.2</v>
      </c>
      <c r="F98" s="321">
        <v>231014.2</v>
      </c>
      <c r="G98" s="280" t="s">
        <v>158</v>
      </c>
      <c r="H98" s="278" t="s">
        <v>33</v>
      </c>
      <c r="I98" s="281"/>
      <c r="J98" s="278" t="s">
        <v>160</v>
      </c>
      <c r="K98" s="282" t="str">
        <f t="shared" si="57"/>
        <v>30/09/2019</v>
      </c>
      <c r="L98" s="283">
        <f t="shared" si="58"/>
        <v>43761</v>
      </c>
      <c r="M98" s="284">
        <f t="shared" ca="1" si="59"/>
        <v>-16</v>
      </c>
      <c r="N98" s="468">
        <f t="shared" ca="1" si="60"/>
        <v>7</v>
      </c>
      <c r="O98" s="282"/>
      <c r="P98" s="286">
        <f t="shared" si="61"/>
        <v>231014.2</v>
      </c>
      <c r="Q98" s="287"/>
      <c r="R98" s="288"/>
      <c r="S98" s="287"/>
      <c r="T98" s="287"/>
      <c r="U98" s="287" t="s">
        <v>52</v>
      </c>
      <c r="V98" s="502"/>
      <c r="W98" s="290"/>
      <c r="X98" s="290"/>
      <c r="Y98" s="326"/>
      <c r="Z98" s="292"/>
      <c r="AA98" s="293">
        <f t="shared" si="62"/>
        <v>0</v>
      </c>
      <c r="AB98" s="294"/>
      <c r="AC98" s="294"/>
      <c r="AD98" s="295"/>
      <c r="AE98" s="296"/>
      <c r="AF98" s="287"/>
      <c r="AG98" s="294" t="s">
        <v>48</v>
      </c>
      <c r="AH98" s="478"/>
      <c r="AI98" s="286" t="s">
        <v>918</v>
      </c>
      <c r="AJ98" s="297">
        <f>VLOOKUP(D98,[1]Hoja1!$G$6:$I$225,3,0)</f>
        <v>231014.2</v>
      </c>
      <c r="AK98" s="298">
        <f t="shared" si="63"/>
        <v>0</v>
      </c>
      <c r="AL98" s="588">
        <f t="shared" ca="1" si="64"/>
        <v>7</v>
      </c>
    </row>
    <row r="99" spans="1:38" s="300" customFormat="1" ht="12" customHeight="1">
      <c r="A99" s="595" t="s">
        <v>1242</v>
      </c>
      <c r="B99" s="278" t="s">
        <v>83</v>
      </c>
      <c r="C99" s="278" t="s">
        <v>1291</v>
      </c>
      <c r="D99" s="260" t="str">
        <f t="shared" si="65"/>
        <v>LY356974</v>
      </c>
      <c r="E99" s="321">
        <v>231014.2</v>
      </c>
      <c r="F99" s="321">
        <v>231014.2</v>
      </c>
      <c r="G99" s="280" t="s">
        <v>158</v>
      </c>
      <c r="H99" s="278" t="s">
        <v>33</v>
      </c>
      <c r="I99" s="281"/>
      <c r="J99" s="278" t="s">
        <v>160</v>
      </c>
      <c r="K99" s="282" t="str">
        <f t="shared" si="57"/>
        <v>30/09/2019</v>
      </c>
      <c r="L99" s="283">
        <f t="shared" si="58"/>
        <v>43761</v>
      </c>
      <c r="M99" s="284">
        <f t="shared" ca="1" si="59"/>
        <v>-16</v>
      </c>
      <c r="N99" s="468">
        <f t="shared" ca="1" si="60"/>
        <v>7</v>
      </c>
      <c r="O99" s="282"/>
      <c r="P99" s="286">
        <f t="shared" si="61"/>
        <v>231014.2</v>
      </c>
      <c r="Q99" s="287"/>
      <c r="R99" s="288"/>
      <c r="S99" s="287"/>
      <c r="T99" s="287"/>
      <c r="U99" s="287" t="s">
        <v>52</v>
      </c>
      <c r="V99" s="502"/>
      <c r="W99" s="290"/>
      <c r="X99" s="290"/>
      <c r="Y99" s="326"/>
      <c r="Z99" s="292"/>
      <c r="AA99" s="293">
        <f t="shared" si="62"/>
        <v>0</v>
      </c>
      <c r="AB99" s="294"/>
      <c r="AC99" s="294"/>
      <c r="AD99" s="295"/>
      <c r="AE99" s="296"/>
      <c r="AF99" s="287"/>
      <c r="AG99" s="294" t="s">
        <v>48</v>
      </c>
      <c r="AH99" s="478"/>
      <c r="AI99" s="286" t="s">
        <v>918</v>
      </c>
      <c r="AJ99" s="297">
        <f>VLOOKUP(D99,[1]Hoja1!$G$6:$I$225,3,0)</f>
        <v>231014.2</v>
      </c>
      <c r="AK99" s="298">
        <f t="shared" si="63"/>
        <v>0</v>
      </c>
      <c r="AL99" s="588">
        <f t="shared" ca="1" si="64"/>
        <v>7</v>
      </c>
    </row>
    <row r="100" spans="1:38" s="300" customFormat="1" ht="12" customHeight="1">
      <c r="A100" s="595" t="s">
        <v>1242</v>
      </c>
      <c r="B100" s="278" t="s">
        <v>83</v>
      </c>
      <c r="C100" s="278" t="s">
        <v>1292</v>
      </c>
      <c r="D100" s="260" t="str">
        <f t="shared" si="65"/>
        <v>LY357280</v>
      </c>
      <c r="E100" s="321">
        <v>231014.2</v>
      </c>
      <c r="F100" s="321">
        <v>231014.2</v>
      </c>
      <c r="G100" s="280" t="s">
        <v>158</v>
      </c>
      <c r="H100" s="278" t="s">
        <v>33</v>
      </c>
      <c r="I100" s="281"/>
      <c r="J100" s="278" t="s">
        <v>160</v>
      </c>
      <c r="K100" s="282" t="str">
        <f t="shared" si="57"/>
        <v>30/09/2019</v>
      </c>
      <c r="L100" s="283">
        <f t="shared" si="58"/>
        <v>43761</v>
      </c>
      <c r="M100" s="284">
        <f t="shared" ca="1" si="59"/>
        <v>-16</v>
      </c>
      <c r="N100" s="468">
        <f t="shared" ca="1" si="60"/>
        <v>7</v>
      </c>
      <c r="O100" s="282"/>
      <c r="P100" s="286">
        <f t="shared" si="61"/>
        <v>231014.2</v>
      </c>
      <c r="Q100" s="287"/>
      <c r="R100" s="288"/>
      <c r="S100" s="287"/>
      <c r="T100" s="287"/>
      <c r="U100" s="287" t="s">
        <v>52</v>
      </c>
      <c r="V100" s="502"/>
      <c r="W100" s="290"/>
      <c r="X100" s="290"/>
      <c r="Y100" s="326"/>
      <c r="Z100" s="292"/>
      <c r="AA100" s="293">
        <f t="shared" si="62"/>
        <v>0</v>
      </c>
      <c r="AB100" s="294"/>
      <c r="AC100" s="294"/>
      <c r="AD100" s="295"/>
      <c r="AE100" s="296"/>
      <c r="AF100" s="287"/>
      <c r="AG100" s="294" t="s">
        <v>48</v>
      </c>
      <c r="AH100" s="478"/>
      <c r="AI100" s="286" t="s">
        <v>918</v>
      </c>
      <c r="AJ100" s="297">
        <f>VLOOKUP(D100,[1]Hoja1!$G$6:$I$225,3,0)</f>
        <v>231014.2</v>
      </c>
      <c r="AK100" s="298">
        <f t="shared" si="63"/>
        <v>0</v>
      </c>
      <c r="AL100" s="588">
        <f t="shared" ca="1" si="64"/>
        <v>7</v>
      </c>
    </row>
    <row r="101" spans="1:38" s="300" customFormat="1" ht="12" customHeight="1">
      <c r="A101" s="595" t="s">
        <v>1242</v>
      </c>
      <c r="B101" s="278" t="s">
        <v>83</v>
      </c>
      <c r="C101" s="278" t="s">
        <v>1293</v>
      </c>
      <c r="D101" s="260" t="str">
        <f t="shared" si="65"/>
        <v>LY357319</v>
      </c>
      <c r="E101" s="321">
        <v>231014.2</v>
      </c>
      <c r="F101" s="321">
        <v>231014.2</v>
      </c>
      <c r="G101" s="280" t="s">
        <v>158</v>
      </c>
      <c r="H101" s="278" t="s">
        <v>33</v>
      </c>
      <c r="I101" s="281"/>
      <c r="J101" s="278" t="s">
        <v>160</v>
      </c>
      <c r="K101" s="282" t="str">
        <f t="shared" si="57"/>
        <v>30/09/2019</v>
      </c>
      <c r="L101" s="283">
        <f t="shared" si="58"/>
        <v>43761</v>
      </c>
      <c r="M101" s="284">
        <f t="shared" ca="1" si="59"/>
        <v>-16</v>
      </c>
      <c r="N101" s="468">
        <f t="shared" ca="1" si="60"/>
        <v>7</v>
      </c>
      <c r="O101" s="282"/>
      <c r="P101" s="286">
        <f t="shared" si="61"/>
        <v>231014.2</v>
      </c>
      <c r="Q101" s="287"/>
      <c r="R101" s="288"/>
      <c r="S101" s="287"/>
      <c r="T101" s="287"/>
      <c r="U101" s="287" t="s">
        <v>52</v>
      </c>
      <c r="V101" s="502"/>
      <c r="W101" s="290"/>
      <c r="X101" s="290"/>
      <c r="Y101" s="326"/>
      <c r="Z101" s="292"/>
      <c r="AA101" s="293">
        <f t="shared" si="62"/>
        <v>0</v>
      </c>
      <c r="AB101" s="294"/>
      <c r="AC101" s="294"/>
      <c r="AD101" s="295"/>
      <c r="AE101" s="296"/>
      <c r="AF101" s="287"/>
      <c r="AG101" s="294" t="s">
        <v>48</v>
      </c>
      <c r="AH101" s="478"/>
      <c r="AI101" s="286" t="s">
        <v>918</v>
      </c>
      <c r="AJ101" s="297">
        <f>VLOOKUP(D101,[1]Hoja1!$G$6:$I$225,3,0)</f>
        <v>231014.2</v>
      </c>
      <c r="AK101" s="298">
        <f t="shared" si="63"/>
        <v>0</v>
      </c>
      <c r="AL101" s="588">
        <f t="shared" ca="1" si="64"/>
        <v>7</v>
      </c>
    </row>
    <row r="102" spans="1:38" s="300" customFormat="1" ht="12" customHeight="1">
      <c r="A102" s="595" t="s">
        <v>1242</v>
      </c>
      <c r="B102" s="278" t="s">
        <v>83</v>
      </c>
      <c r="C102" s="278" t="s">
        <v>1294</v>
      </c>
      <c r="D102" s="260" t="str">
        <f t="shared" si="65"/>
        <v>LY361456</v>
      </c>
      <c r="E102" s="321">
        <v>231014.2</v>
      </c>
      <c r="F102" s="321">
        <v>231014.2</v>
      </c>
      <c r="G102" s="280" t="s">
        <v>158</v>
      </c>
      <c r="H102" s="278" t="s">
        <v>33</v>
      </c>
      <c r="I102" s="281"/>
      <c r="J102" s="278" t="s">
        <v>160</v>
      </c>
      <c r="K102" s="282" t="str">
        <f t="shared" si="57"/>
        <v>30/09/2019</v>
      </c>
      <c r="L102" s="283">
        <f t="shared" si="58"/>
        <v>43761</v>
      </c>
      <c r="M102" s="284">
        <f t="shared" ca="1" si="59"/>
        <v>-16</v>
      </c>
      <c r="N102" s="468">
        <f t="shared" ca="1" si="60"/>
        <v>7</v>
      </c>
      <c r="O102" s="282"/>
      <c r="P102" s="286">
        <f t="shared" si="61"/>
        <v>231014.2</v>
      </c>
      <c r="Q102" s="287"/>
      <c r="R102" s="288"/>
      <c r="S102" s="287"/>
      <c r="T102" s="287"/>
      <c r="U102" s="287" t="s">
        <v>52</v>
      </c>
      <c r="V102" s="502"/>
      <c r="W102" s="290"/>
      <c r="X102" s="290"/>
      <c r="Y102" s="326"/>
      <c r="Z102" s="292"/>
      <c r="AA102" s="293">
        <f t="shared" si="62"/>
        <v>0</v>
      </c>
      <c r="AB102" s="294"/>
      <c r="AC102" s="294"/>
      <c r="AD102" s="295"/>
      <c r="AE102" s="296"/>
      <c r="AF102" s="287"/>
      <c r="AG102" s="294" t="s">
        <v>48</v>
      </c>
      <c r="AH102" s="478"/>
      <c r="AI102" s="286" t="s">
        <v>918</v>
      </c>
      <c r="AJ102" s="297">
        <f>VLOOKUP(D102,[1]Hoja1!$G$6:$I$225,3,0)</f>
        <v>231014.2</v>
      </c>
      <c r="AK102" s="298">
        <f t="shared" si="63"/>
        <v>0</v>
      </c>
      <c r="AL102" s="588">
        <f t="shared" ca="1" si="64"/>
        <v>7</v>
      </c>
    </row>
    <row r="103" spans="1:38" s="300" customFormat="1" ht="12" customHeight="1">
      <c r="A103" s="595" t="s">
        <v>1242</v>
      </c>
      <c r="B103" s="278" t="s">
        <v>83</v>
      </c>
      <c r="C103" s="278" t="s">
        <v>1295</v>
      </c>
      <c r="D103" s="260" t="str">
        <f t="shared" si="65"/>
        <v>LY361726</v>
      </c>
      <c r="E103" s="321">
        <v>231014.2</v>
      </c>
      <c r="F103" s="321">
        <v>231014.2</v>
      </c>
      <c r="G103" s="280" t="s">
        <v>158</v>
      </c>
      <c r="H103" s="278" t="s">
        <v>33</v>
      </c>
      <c r="I103" s="281"/>
      <c r="J103" s="278" t="s">
        <v>160</v>
      </c>
      <c r="K103" s="282" t="str">
        <f t="shared" si="57"/>
        <v>30/09/2019</v>
      </c>
      <c r="L103" s="283">
        <f t="shared" si="58"/>
        <v>43761</v>
      </c>
      <c r="M103" s="284">
        <f t="shared" ca="1" si="59"/>
        <v>-16</v>
      </c>
      <c r="N103" s="468">
        <f t="shared" ca="1" si="60"/>
        <v>7</v>
      </c>
      <c r="O103" s="282"/>
      <c r="P103" s="286">
        <f t="shared" si="61"/>
        <v>231014.2</v>
      </c>
      <c r="Q103" s="287"/>
      <c r="R103" s="288"/>
      <c r="S103" s="287"/>
      <c r="T103" s="287"/>
      <c r="U103" s="287" t="s">
        <v>52</v>
      </c>
      <c r="V103" s="502"/>
      <c r="W103" s="290"/>
      <c r="X103" s="290"/>
      <c r="Y103" s="326"/>
      <c r="Z103" s="292"/>
      <c r="AA103" s="293">
        <f t="shared" si="62"/>
        <v>0</v>
      </c>
      <c r="AB103" s="294"/>
      <c r="AC103" s="294"/>
      <c r="AD103" s="295"/>
      <c r="AE103" s="296"/>
      <c r="AF103" s="287"/>
      <c r="AG103" s="294" t="s">
        <v>48</v>
      </c>
      <c r="AH103" s="478"/>
      <c r="AI103" s="286" t="s">
        <v>918</v>
      </c>
      <c r="AJ103" s="297">
        <f>VLOOKUP(D103,[1]Hoja1!$G$6:$I$225,3,0)</f>
        <v>231014.2</v>
      </c>
      <c r="AK103" s="298">
        <f t="shared" si="63"/>
        <v>0</v>
      </c>
      <c r="AL103" s="588">
        <f t="shared" ca="1" si="64"/>
        <v>7</v>
      </c>
    </row>
    <row r="104" spans="1:38" s="300" customFormat="1" ht="12" customHeight="1">
      <c r="A104" s="595" t="s">
        <v>1242</v>
      </c>
      <c r="B104" s="278" t="s">
        <v>83</v>
      </c>
      <c r="C104" s="278" t="s">
        <v>1296</v>
      </c>
      <c r="D104" s="260" t="str">
        <f t="shared" si="65"/>
        <v>LY361731</v>
      </c>
      <c r="E104" s="321">
        <v>231014.2</v>
      </c>
      <c r="F104" s="321">
        <v>231014.2</v>
      </c>
      <c r="G104" s="280" t="s">
        <v>158</v>
      </c>
      <c r="H104" s="278" t="s">
        <v>33</v>
      </c>
      <c r="I104" s="281"/>
      <c r="J104" s="278" t="s">
        <v>160</v>
      </c>
      <c r="K104" s="282" t="str">
        <f t="shared" si="57"/>
        <v>30/09/2019</v>
      </c>
      <c r="L104" s="283">
        <f t="shared" si="58"/>
        <v>43761</v>
      </c>
      <c r="M104" s="284">
        <f t="shared" ca="1" si="59"/>
        <v>-16</v>
      </c>
      <c r="N104" s="468">
        <f t="shared" ca="1" si="60"/>
        <v>7</v>
      </c>
      <c r="O104" s="282"/>
      <c r="P104" s="286">
        <f t="shared" si="61"/>
        <v>231014.2</v>
      </c>
      <c r="Q104" s="287"/>
      <c r="R104" s="288"/>
      <c r="S104" s="287"/>
      <c r="T104" s="287"/>
      <c r="U104" s="287" t="s">
        <v>52</v>
      </c>
      <c r="V104" s="502"/>
      <c r="W104" s="290"/>
      <c r="X104" s="290"/>
      <c r="Y104" s="326"/>
      <c r="Z104" s="292"/>
      <c r="AA104" s="293">
        <f t="shared" si="62"/>
        <v>0</v>
      </c>
      <c r="AB104" s="294"/>
      <c r="AC104" s="294"/>
      <c r="AD104" s="295"/>
      <c r="AE104" s="296"/>
      <c r="AF104" s="287"/>
      <c r="AG104" s="294" t="s">
        <v>48</v>
      </c>
      <c r="AH104" s="478"/>
      <c r="AI104" s="286" t="s">
        <v>918</v>
      </c>
      <c r="AJ104" s="297">
        <f>VLOOKUP(D104,[1]Hoja1!$G$6:$I$225,3,0)</f>
        <v>231014.2</v>
      </c>
      <c r="AK104" s="298">
        <f t="shared" si="63"/>
        <v>0</v>
      </c>
      <c r="AL104" s="588">
        <f t="shared" ca="1" si="64"/>
        <v>7</v>
      </c>
    </row>
    <row r="105" spans="1:38" s="300" customFormat="1" ht="12" customHeight="1">
      <c r="A105" s="595" t="s">
        <v>1242</v>
      </c>
      <c r="B105" s="278" t="s">
        <v>83</v>
      </c>
      <c r="C105" s="278" t="s">
        <v>1297</v>
      </c>
      <c r="D105" s="260" t="str">
        <f t="shared" si="65"/>
        <v>LY362219</v>
      </c>
      <c r="E105" s="321">
        <v>231014.2</v>
      </c>
      <c r="F105" s="321">
        <v>231014.2</v>
      </c>
      <c r="G105" s="280" t="s">
        <v>158</v>
      </c>
      <c r="H105" s="278" t="s">
        <v>33</v>
      </c>
      <c r="I105" s="281"/>
      <c r="J105" s="278" t="s">
        <v>160</v>
      </c>
      <c r="K105" s="282" t="str">
        <f t="shared" si="57"/>
        <v>30/09/2019</v>
      </c>
      <c r="L105" s="283">
        <f t="shared" si="58"/>
        <v>43761</v>
      </c>
      <c r="M105" s="284">
        <f t="shared" ca="1" si="59"/>
        <v>-16</v>
      </c>
      <c r="N105" s="468">
        <f t="shared" ca="1" si="60"/>
        <v>7</v>
      </c>
      <c r="O105" s="282"/>
      <c r="P105" s="286">
        <f t="shared" si="61"/>
        <v>231014.2</v>
      </c>
      <c r="Q105" s="287"/>
      <c r="R105" s="288"/>
      <c r="S105" s="287"/>
      <c r="T105" s="287"/>
      <c r="U105" s="287" t="s">
        <v>52</v>
      </c>
      <c r="V105" s="502"/>
      <c r="W105" s="290"/>
      <c r="X105" s="290"/>
      <c r="Y105" s="326"/>
      <c r="Z105" s="292"/>
      <c r="AA105" s="293">
        <f t="shared" si="62"/>
        <v>0</v>
      </c>
      <c r="AB105" s="294"/>
      <c r="AC105" s="294"/>
      <c r="AD105" s="295"/>
      <c r="AE105" s="296"/>
      <c r="AF105" s="287"/>
      <c r="AG105" s="294" t="s">
        <v>48</v>
      </c>
      <c r="AH105" s="478"/>
      <c r="AI105" s="286" t="s">
        <v>918</v>
      </c>
      <c r="AJ105" s="297">
        <f>VLOOKUP(D105,[1]Hoja1!$G$6:$I$225,3,0)</f>
        <v>231014.2</v>
      </c>
      <c r="AK105" s="298">
        <f t="shared" si="63"/>
        <v>0</v>
      </c>
      <c r="AL105" s="588">
        <f t="shared" ca="1" si="64"/>
        <v>7</v>
      </c>
    </row>
    <row r="106" spans="1:38" s="300" customFormat="1" ht="12" customHeight="1">
      <c r="A106" s="595" t="s">
        <v>1242</v>
      </c>
      <c r="B106" s="278" t="s">
        <v>83</v>
      </c>
      <c r="C106" s="278" t="s">
        <v>1298</v>
      </c>
      <c r="D106" s="260" t="str">
        <f t="shared" si="65"/>
        <v>LY362223</v>
      </c>
      <c r="E106" s="321">
        <v>231014.2</v>
      </c>
      <c r="F106" s="321">
        <v>231014.2</v>
      </c>
      <c r="G106" s="280" t="s">
        <v>158</v>
      </c>
      <c r="H106" s="278" t="s">
        <v>33</v>
      </c>
      <c r="I106" s="281"/>
      <c r="J106" s="278" t="s">
        <v>160</v>
      </c>
      <c r="K106" s="282" t="str">
        <f t="shared" si="57"/>
        <v>30/09/2019</v>
      </c>
      <c r="L106" s="283">
        <f t="shared" si="58"/>
        <v>43761</v>
      </c>
      <c r="M106" s="284">
        <f t="shared" ca="1" si="59"/>
        <v>-16</v>
      </c>
      <c r="N106" s="468">
        <f t="shared" ca="1" si="60"/>
        <v>7</v>
      </c>
      <c r="O106" s="282"/>
      <c r="P106" s="286">
        <f t="shared" si="61"/>
        <v>231014.2</v>
      </c>
      <c r="Q106" s="287"/>
      <c r="R106" s="288"/>
      <c r="S106" s="287"/>
      <c r="T106" s="287"/>
      <c r="U106" s="287" t="s">
        <v>52</v>
      </c>
      <c r="V106" s="502"/>
      <c r="W106" s="290"/>
      <c r="X106" s="290"/>
      <c r="Y106" s="326"/>
      <c r="Z106" s="292"/>
      <c r="AA106" s="293">
        <f t="shared" si="62"/>
        <v>0</v>
      </c>
      <c r="AB106" s="294"/>
      <c r="AC106" s="294"/>
      <c r="AD106" s="295"/>
      <c r="AE106" s="296"/>
      <c r="AF106" s="287"/>
      <c r="AG106" s="294" t="s">
        <v>48</v>
      </c>
      <c r="AH106" s="478"/>
      <c r="AI106" s="286" t="s">
        <v>918</v>
      </c>
      <c r="AJ106" s="297">
        <f>VLOOKUP(D106,[1]Hoja1!$G$6:$I$225,3,0)</f>
        <v>231014.2</v>
      </c>
      <c r="AK106" s="298">
        <f t="shared" si="63"/>
        <v>0</v>
      </c>
      <c r="AL106" s="588">
        <f t="shared" ca="1" si="64"/>
        <v>7</v>
      </c>
    </row>
    <row r="107" spans="1:38" s="300" customFormat="1" ht="12" customHeight="1">
      <c r="A107" s="595" t="s">
        <v>1242</v>
      </c>
      <c r="B107" s="278" t="s">
        <v>83</v>
      </c>
      <c r="C107" s="278" t="s">
        <v>1299</v>
      </c>
      <c r="D107" s="260" t="str">
        <f t="shared" si="65"/>
        <v>LY362547</v>
      </c>
      <c r="E107" s="321">
        <v>231014.2</v>
      </c>
      <c r="F107" s="321">
        <v>231014.2</v>
      </c>
      <c r="G107" s="280" t="s">
        <v>158</v>
      </c>
      <c r="H107" s="278" t="s">
        <v>33</v>
      </c>
      <c r="I107" s="281"/>
      <c r="J107" s="278" t="s">
        <v>160</v>
      </c>
      <c r="K107" s="282" t="str">
        <f t="shared" si="57"/>
        <v>30/09/2019</v>
      </c>
      <c r="L107" s="283">
        <f t="shared" si="58"/>
        <v>43761</v>
      </c>
      <c r="M107" s="284">
        <f t="shared" ca="1" si="59"/>
        <v>-16</v>
      </c>
      <c r="N107" s="468">
        <f t="shared" ca="1" si="60"/>
        <v>7</v>
      </c>
      <c r="O107" s="282"/>
      <c r="P107" s="286">
        <f t="shared" si="61"/>
        <v>231014.2</v>
      </c>
      <c r="Q107" s="287"/>
      <c r="R107" s="288"/>
      <c r="S107" s="287"/>
      <c r="T107" s="287"/>
      <c r="U107" s="287" t="s">
        <v>52</v>
      </c>
      <c r="V107" s="502"/>
      <c r="W107" s="290"/>
      <c r="X107" s="290"/>
      <c r="Y107" s="326"/>
      <c r="Z107" s="292"/>
      <c r="AA107" s="293">
        <f t="shared" si="62"/>
        <v>0</v>
      </c>
      <c r="AB107" s="294"/>
      <c r="AC107" s="294"/>
      <c r="AD107" s="295"/>
      <c r="AE107" s="296"/>
      <c r="AF107" s="287"/>
      <c r="AG107" s="294" t="s">
        <v>48</v>
      </c>
      <c r="AH107" s="478"/>
      <c r="AI107" s="286" t="s">
        <v>918</v>
      </c>
      <c r="AJ107" s="297">
        <f>VLOOKUP(D107,[1]Hoja1!$G$6:$I$225,3,0)</f>
        <v>231014.2</v>
      </c>
      <c r="AK107" s="298">
        <f t="shared" si="63"/>
        <v>0</v>
      </c>
      <c r="AL107" s="588">
        <f t="shared" ca="1" si="64"/>
        <v>7</v>
      </c>
    </row>
    <row r="108" spans="1:38" s="300" customFormat="1" ht="12" customHeight="1">
      <c r="A108" s="595" t="s">
        <v>1242</v>
      </c>
      <c r="B108" s="278" t="s">
        <v>83</v>
      </c>
      <c r="C108" s="278" t="s">
        <v>1300</v>
      </c>
      <c r="D108" s="260" t="str">
        <f t="shared" si="65"/>
        <v>LY363150</v>
      </c>
      <c r="E108" s="321">
        <v>231014.2</v>
      </c>
      <c r="F108" s="321">
        <v>231014.2</v>
      </c>
      <c r="G108" s="280" t="s">
        <v>158</v>
      </c>
      <c r="H108" s="278" t="s">
        <v>33</v>
      </c>
      <c r="I108" s="281"/>
      <c r="J108" s="278" t="s">
        <v>160</v>
      </c>
      <c r="K108" s="282" t="str">
        <f t="shared" si="57"/>
        <v>30/09/2019</v>
      </c>
      <c r="L108" s="283">
        <f t="shared" si="58"/>
        <v>43761</v>
      </c>
      <c r="M108" s="284">
        <f t="shared" ca="1" si="59"/>
        <v>-16</v>
      </c>
      <c r="N108" s="468">
        <f t="shared" ca="1" si="60"/>
        <v>7</v>
      </c>
      <c r="O108" s="282"/>
      <c r="P108" s="286">
        <f t="shared" si="61"/>
        <v>231014.2</v>
      </c>
      <c r="Q108" s="287"/>
      <c r="R108" s="288"/>
      <c r="S108" s="287"/>
      <c r="T108" s="287"/>
      <c r="U108" s="287" t="s">
        <v>52</v>
      </c>
      <c r="V108" s="502"/>
      <c r="W108" s="290"/>
      <c r="X108" s="290"/>
      <c r="Y108" s="326"/>
      <c r="Z108" s="292"/>
      <c r="AA108" s="293">
        <f t="shared" si="62"/>
        <v>0</v>
      </c>
      <c r="AB108" s="294"/>
      <c r="AC108" s="294"/>
      <c r="AD108" s="295"/>
      <c r="AE108" s="296"/>
      <c r="AF108" s="287"/>
      <c r="AG108" s="294" t="s">
        <v>48</v>
      </c>
      <c r="AH108" s="478"/>
      <c r="AI108" s="286" t="s">
        <v>918</v>
      </c>
      <c r="AJ108" s="297">
        <f>VLOOKUP(D108,[1]Hoja1!$G$6:$I$225,3,0)</f>
        <v>231014.2</v>
      </c>
      <c r="AK108" s="298">
        <f t="shared" si="63"/>
        <v>0</v>
      </c>
      <c r="AL108" s="588">
        <f t="shared" ca="1" si="64"/>
        <v>7</v>
      </c>
    </row>
    <row r="109" spans="1:38" s="300" customFormat="1" ht="12" customHeight="1">
      <c r="A109" s="595" t="s">
        <v>1242</v>
      </c>
      <c r="B109" s="278" t="s">
        <v>83</v>
      </c>
      <c r="C109" s="278" t="s">
        <v>1301</v>
      </c>
      <c r="D109" s="260" t="str">
        <f t="shared" si="65"/>
        <v>LY363307</v>
      </c>
      <c r="E109" s="321">
        <v>231014.2</v>
      </c>
      <c r="F109" s="321">
        <v>231014.2</v>
      </c>
      <c r="G109" s="280" t="s">
        <v>158</v>
      </c>
      <c r="H109" s="278" t="s">
        <v>33</v>
      </c>
      <c r="I109" s="281"/>
      <c r="J109" s="278" t="s">
        <v>160</v>
      </c>
      <c r="K109" s="282" t="str">
        <f t="shared" si="57"/>
        <v>30/09/2019</v>
      </c>
      <c r="L109" s="283">
        <f t="shared" si="58"/>
        <v>43761</v>
      </c>
      <c r="M109" s="284">
        <f t="shared" ca="1" si="59"/>
        <v>-16</v>
      </c>
      <c r="N109" s="468">
        <f t="shared" ca="1" si="60"/>
        <v>7</v>
      </c>
      <c r="O109" s="282"/>
      <c r="P109" s="286">
        <f t="shared" si="61"/>
        <v>231014.2</v>
      </c>
      <c r="Q109" s="287"/>
      <c r="R109" s="288"/>
      <c r="S109" s="287"/>
      <c r="T109" s="287"/>
      <c r="U109" s="287" t="s">
        <v>52</v>
      </c>
      <c r="V109" s="502"/>
      <c r="W109" s="290"/>
      <c r="X109" s="290"/>
      <c r="Y109" s="326"/>
      <c r="Z109" s="292"/>
      <c r="AA109" s="293">
        <f t="shared" si="62"/>
        <v>0</v>
      </c>
      <c r="AB109" s="294"/>
      <c r="AC109" s="294"/>
      <c r="AD109" s="295"/>
      <c r="AE109" s="296"/>
      <c r="AF109" s="287"/>
      <c r="AG109" s="294" t="s">
        <v>48</v>
      </c>
      <c r="AH109" s="478"/>
      <c r="AI109" s="286" t="s">
        <v>918</v>
      </c>
      <c r="AJ109" s="297">
        <f>VLOOKUP(D109,[1]Hoja1!$G$6:$I$225,3,0)</f>
        <v>231014.2</v>
      </c>
      <c r="AK109" s="298">
        <f t="shared" si="63"/>
        <v>0</v>
      </c>
      <c r="AL109" s="588">
        <f t="shared" ca="1" si="64"/>
        <v>7</v>
      </c>
    </row>
    <row r="110" spans="1:38" s="300" customFormat="1" ht="12" customHeight="1">
      <c r="A110" s="595" t="s">
        <v>1242</v>
      </c>
      <c r="B110" s="278" t="s">
        <v>83</v>
      </c>
      <c r="C110" s="278" t="s">
        <v>1302</v>
      </c>
      <c r="D110" s="260" t="str">
        <f t="shared" si="65"/>
        <v>LY363354</v>
      </c>
      <c r="E110" s="321">
        <v>231014.2</v>
      </c>
      <c r="F110" s="321">
        <v>231014.2</v>
      </c>
      <c r="G110" s="280" t="s">
        <v>158</v>
      </c>
      <c r="H110" s="278" t="s">
        <v>33</v>
      </c>
      <c r="I110" s="281"/>
      <c r="J110" s="278" t="s">
        <v>160</v>
      </c>
      <c r="K110" s="282" t="str">
        <f t="shared" si="57"/>
        <v>30/09/2019</v>
      </c>
      <c r="L110" s="283">
        <f t="shared" si="58"/>
        <v>43761</v>
      </c>
      <c r="M110" s="284">
        <f t="shared" ca="1" si="59"/>
        <v>-16</v>
      </c>
      <c r="N110" s="468">
        <f t="shared" ca="1" si="60"/>
        <v>7</v>
      </c>
      <c r="O110" s="282"/>
      <c r="P110" s="286">
        <f t="shared" si="61"/>
        <v>231014.2</v>
      </c>
      <c r="Q110" s="287"/>
      <c r="R110" s="288"/>
      <c r="S110" s="287"/>
      <c r="T110" s="287"/>
      <c r="U110" s="287" t="s">
        <v>52</v>
      </c>
      <c r="V110" s="502"/>
      <c r="W110" s="290"/>
      <c r="X110" s="290"/>
      <c r="Y110" s="326"/>
      <c r="Z110" s="292"/>
      <c r="AA110" s="293">
        <f t="shared" si="62"/>
        <v>0</v>
      </c>
      <c r="AB110" s="294"/>
      <c r="AC110" s="294"/>
      <c r="AD110" s="295"/>
      <c r="AE110" s="296"/>
      <c r="AF110" s="287"/>
      <c r="AG110" s="294" t="s">
        <v>48</v>
      </c>
      <c r="AH110" s="478"/>
      <c r="AI110" s="286" t="s">
        <v>918</v>
      </c>
      <c r="AJ110" s="297">
        <f>VLOOKUP(D110,[1]Hoja1!$G$6:$I$225,3,0)</f>
        <v>231014.2</v>
      </c>
      <c r="AK110" s="298">
        <f t="shared" si="63"/>
        <v>0</v>
      </c>
      <c r="AL110" s="588">
        <f t="shared" ca="1" si="64"/>
        <v>7</v>
      </c>
    </row>
    <row r="111" spans="1:38" s="300" customFormat="1" ht="12" customHeight="1">
      <c r="A111" s="595">
        <v>43735</v>
      </c>
      <c r="B111" s="278" t="s">
        <v>1244</v>
      </c>
      <c r="C111" s="278" t="s">
        <v>1303</v>
      </c>
      <c r="D111" s="260" t="str">
        <f t="shared" si="65"/>
        <v>KJ000764</v>
      </c>
      <c r="E111" s="321">
        <v>561584.46</v>
      </c>
      <c r="F111" s="321">
        <v>561584.46</v>
      </c>
      <c r="G111" s="280" t="s">
        <v>158</v>
      </c>
      <c r="H111" s="278" t="s">
        <v>33</v>
      </c>
      <c r="I111" s="281"/>
      <c r="J111" s="278" t="s">
        <v>160</v>
      </c>
      <c r="K111" s="282">
        <f t="shared" si="57"/>
        <v>43735</v>
      </c>
      <c r="L111" s="283">
        <f t="shared" si="58"/>
        <v>43758</v>
      </c>
      <c r="M111" s="284">
        <f t="shared" ca="1" si="59"/>
        <v>-13</v>
      </c>
      <c r="N111" s="468">
        <f t="shared" ca="1" si="60"/>
        <v>10</v>
      </c>
      <c r="O111" s="282"/>
      <c r="P111" s="286">
        <f t="shared" si="61"/>
        <v>561584.46</v>
      </c>
      <c r="Q111" s="287"/>
      <c r="R111" s="288"/>
      <c r="S111" s="287"/>
      <c r="T111" s="287"/>
      <c r="U111" s="287" t="s">
        <v>52</v>
      </c>
      <c r="V111" s="502"/>
      <c r="W111" s="290"/>
      <c r="X111" s="290"/>
      <c r="Y111" s="326"/>
      <c r="Z111" s="292"/>
      <c r="AA111" s="293">
        <f t="shared" si="62"/>
        <v>0</v>
      </c>
      <c r="AB111" s="294"/>
      <c r="AC111" s="294"/>
      <c r="AD111" s="295"/>
      <c r="AE111" s="296"/>
      <c r="AF111" s="287"/>
      <c r="AG111" s="294" t="s">
        <v>48</v>
      </c>
      <c r="AH111" s="478"/>
      <c r="AI111" s="286" t="s">
        <v>918</v>
      </c>
      <c r="AJ111" s="297">
        <f>VLOOKUP(D111,[1]Hoja1!$G$6:$I$225,3,0)</f>
        <v>561584.46</v>
      </c>
      <c r="AK111" s="298">
        <f t="shared" si="63"/>
        <v>0</v>
      </c>
      <c r="AL111" s="588">
        <f t="shared" ca="1" si="64"/>
        <v>10</v>
      </c>
    </row>
    <row r="112" spans="1:38" s="300" customFormat="1" ht="12" customHeight="1">
      <c r="A112" s="595">
        <v>43735</v>
      </c>
      <c r="B112" s="278" t="s">
        <v>1244</v>
      </c>
      <c r="C112" s="278" t="s">
        <v>1304</v>
      </c>
      <c r="D112" s="260" t="str">
        <f t="shared" si="65"/>
        <v>KJ000773</v>
      </c>
      <c r="E112" s="321">
        <v>561584.46</v>
      </c>
      <c r="F112" s="321">
        <v>561584.46</v>
      </c>
      <c r="G112" s="280" t="s">
        <v>158</v>
      </c>
      <c r="H112" s="278" t="s">
        <v>33</v>
      </c>
      <c r="I112" s="281"/>
      <c r="J112" s="278" t="s">
        <v>160</v>
      </c>
      <c r="K112" s="282">
        <f t="shared" si="57"/>
        <v>43735</v>
      </c>
      <c r="L112" s="283">
        <f t="shared" si="58"/>
        <v>43758</v>
      </c>
      <c r="M112" s="284">
        <f t="shared" ca="1" si="59"/>
        <v>-13</v>
      </c>
      <c r="N112" s="468">
        <f t="shared" ca="1" si="60"/>
        <v>10</v>
      </c>
      <c r="O112" s="282"/>
      <c r="P112" s="286">
        <f t="shared" si="61"/>
        <v>561584.46</v>
      </c>
      <c r="Q112" s="287"/>
      <c r="R112" s="288"/>
      <c r="S112" s="287"/>
      <c r="T112" s="287"/>
      <c r="U112" s="287" t="s">
        <v>52</v>
      </c>
      <c r="V112" s="502"/>
      <c r="W112" s="290"/>
      <c r="X112" s="290"/>
      <c r="Y112" s="326"/>
      <c r="Z112" s="292"/>
      <c r="AA112" s="293">
        <f t="shared" si="62"/>
        <v>0</v>
      </c>
      <c r="AB112" s="294"/>
      <c r="AC112" s="294"/>
      <c r="AD112" s="295"/>
      <c r="AE112" s="296"/>
      <c r="AF112" s="287"/>
      <c r="AG112" s="294" t="s">
        <v>48</v>
      </c>
      <c r="AH112" s="478"/>
      <c r="AI112" s="286" t="s">
        <v>918</v>
      </c>
      <c r="AJ112" s="297">
        <f>VLOOKUP(D112,[1]Hoja1!$G$6:$I$225,3,0)</f>
        <v>561584.46</v>
      </c>
      <c r="AK112" s="298">
        <f t="shared" si="63"/>
        <v>0</v>
      </c>
      <c r="AL112" s="588">
        <f t="shared" ca="1" si="64"/>
        <v>10</v>
      </c>
    </row>
    <row r="113" spans="1:38" s="300" customFormat="1" ht="12" customHeight="1">
      <c r="A113" s="595">
        <v>43735</v>
      </c>
      <c r="B113" s="278" t="s">
        <v>1244</v>
      </c>
      <c r="C113" s="278" t="s">
        <v>1305</v>
      </c>
      <c r="D113" s="260" t="str">
        <f t="shared" si="65"/>
        <v>KJ000791</v>
      </c>
      <c r="E113" s="321">
        <v>561584.46</v>
      </c>
      <c r="F113" s="321">
        <v>561584.46</v>
      </c>
      <c r="G113" s="280" t="s">
        <v>158</v>
      </c>
      <c r="H113" s="278" t="s">
        <v>33</v>
      </c>
      <c r="I113" s="281"/>
      <c r="J113" s="278" t="s">
        <v>160</v>
      </c>
      <c r="K113" s="282">
        <f t="shared" si="57"/>
        <v>43735</v>
      </c>
      <c r="L113" s="283">
        <f t="shared" si="58"/>
        <v>43758</v>
      </c>
      <c r="M113" s="284">
        <f t="shared" ca="1" si="59"/>
        <v>-13</v>
      </c>
      <c r="N113" s="468">
        <f t="shared" ca="1" si="60"/>
        <v>10</v>
      </c>
      <c r="O113" s="282"/>
      <c r="P113" s="286">
        <f t="shared" si="61"/>
        <v>561584.46</v>
      </c>
      <c r="Q113" s="287"/>
      <c r="R113" s="288"/>
      <c r="S113" s="287"/>
      <c r="T113" s="287"/>
      <c r="U113" s="287" t="s">
        <v>52</v>
      </c>
      <c r="V113" s="502"/>
      <c r="W113" s="290"/>
      <c r="X113" s="290"/>
      <c r="Y113" s="326"/>
      <c r="Z113" s="292"/>
      <c r="AA113" s="293">
        <f t="shared" si="62"/>
        <v>0</v>
      </c>
      <c r="AB113" s="294"/>
      <c r="AC113" s="294"/>
      <c r="AD113" s="295"/>
      <c r="AE113" s="296"/>
      <c r="AF113" s="287"/>
      <c r="AG113" s="294" t="s">
        <v>48</v>
      </c>
      <c r="AH113" s="478"/>
      <c r="AI113" s="286" t="s">
        <v>918</v>
      </c>
      <c r="AJ113" s="297">
        <f>VLOOKUP(D113,[1]Hoja1!$G$6:$I$225,3,0)</f>
        <v>561584.46</v>
      </c>
      <c r="AK113" s="298">
        <f t="shared" si="63"/>
        <v>0</v>
      </c>
      <c r="AL113" s="588">
        <f t="shared" ca="1" si="64"/>
        <v>10</v>
      </c>
    </row>
    <row r="114" spans="1:38" s="300" customFormat="1" ht="12" customHeight="1">
      <c r="A114" s="595" t="s">
        <v>1242</v>
      </c>
      <c r="B114" s="278" t="s">
        <v>404</v>
      </c>
      <c r="C114" s="278" t="s">
        <v>1416</v>
      </c>
      <c r="D114" s="260" t="str">
        <f t="shared" si="65"/>
        <v>KT757832</v>
      </c>
      <c r="E114" s="321">
        <v>451062.43</v>
      </c>
      <c r="F114" s="321">
        <v>451062.43</v>
      </c>
      <c r="G114" s="280" t="s">
        <v>797</v>
      </c>
      <c r="H114" s="278" t="s">
        <v>33</v>
      </c>
      <c r="I114" s="281"/>
      <c r="J114" s="278" t="s">
        <v>160</v>
      </c>
      <c r="K114" s="282" t="str">
        <f t="shared" ref="K114:K119" si="66">A114</f>
        <v>30/09/2019</v>
      </c>
      <c r="L114" s="283">
        <f t="shared" ref="L114:L119" si="67">K114+23</f>
        <v>43761</v>
      </c>
      <c r="M114" s="284">
        <f t="shared" ref="M114:M119" ca="1" si="68">$A$1-L114</f>
        <v>-16</v>
      </c>
      <c r="N114" s="468">
        <f t="shared" ref="N114:N119" ca="1" si="69">+$A$1-A114</f>
        <v>7</v>
      </c>
      <c r="O114" s="282"/>
      <c r="P114" s="286">
        <f t="shared" ref="P114:P119" si="70">+F114</f>
        <v>451062.43</v>
      </c>
      <c r="Q114" s="287"/>
      <c r="R114" s="288"/>
      <c r="S114" s="287"/>
      <c r="T114" s="287"/>
      <c r="U114" s="287" t="s">
        <v>52</v>
      </c>
      <c r="V114" s="502"/>
      <c r="W114" s="290"/>
      <c r="X114" s="290"/>
      <c r="Y114" s="326"/>
      <c r="Z114" s="292"/>
      <c r="AA114" s="293">
        <f t="shared" ref="AA114:AA119" si="71">+Y114-Z114</f>
        <v>0</v>
      </c>
      <c r="AB114" s="294"/>
      <c r="AC114" s="294"/>
      <c r="AD114" s="295"/>
      <c r="AE114" s="296"/>
      <c r="AF114" s="287"/>
      <c r="AG114" s="294" t="s">
        <v>48</v>
      </c>
      <c r="AH114" s="478"/>
      <c r="AI114" s="286" t="s">
        <v>918</v>
      </c>
      <c r="AJ114" s="297">
        <f>VLOOKUP(D114,[1]Hoja1!$G$6:$I$225,3,0)</f>
        <v>451062.43</v>
      </c>
      <c r="AK114" s="298">
        <f t="shared" ref="AK114:AK119" si="72">+AJ114-F114</f>
        <v>0</v>
      </c>
      <c r="AL114" s="588">
        <f t="shared" ref="AL114:AL119" ca="1" si="73">+$A$1-A114</f>
        <v>7</v>
      </c>
    </row>
    <row r="115" spans="1:38" s="300" customFormat="1" ht="12" customHeight="1">
      <c r="A115" s="595" t="s">
        <v>1242</v>
      </c>
      <c r="B115" s="278" t="s">
        <v>71</v>
      </c>
      <c r="C115" s="278" t="s">
        <v>1417</v>
      </c>
      <c r="D115" s="260" t="str">
        <f t="shared" si="65"/>
        <v>KH006771</v>
      </c>
      <c r="E115" s="321">
        <v>195996.94</v>
      </c>
      <c r="F115" s="321">
        <v>195996.94</v>
      </c>
      <c r="G115" s="280" t="s">
        <v>797</v>
      </c>
      <c r="H115" s="278" t="s">
        <v>33</v>
      </c>
      <c r="I115" s="281"/>
      <c r="J115" s="278" t="s">
        <v>160</v>
      </c>
      <c r="K115" s="282" t="str">
        <f t="shared" si="66"/>
        <v>30/09/2019</v>
      </c>
      <c r="L115" s="283">
        <f t="shared" si="67"/>
        <v>43761</v>
      </c>
      <c r="M115" s="284">
        <f t="shared" ca="1" si="68"/>
        <v>-16</v>
      </c>
      <c r="N115" s="468">
        <f t="shared" ca="1" si="69"/>
        <v>7</v>
      </c>
      <c r="O115" s="282"/>
      <c r="P115" s="286">
        <f t="shared" si="70"/>
        <v>195996.94</v>
      </c>
      <c r="Q115" s="287"/>
      <c r="R115" s="288"/>
      <c r="S115" s="287"/>
      <c r="T115" s="287"/>
      <c r="U115" s="287" t="s">
        <v>52</v>
      </c>
      <c r="V115" s="502"/>
      <c r="W115" s="290"/>
      <c r="X115" s="290"/>
      <c r="Y115" s="326"/>
      <c r="Z115" s="292"/>
      <c r="AA115" s="293">
        <f t="shared" si="71"/>
        <v>0</v>
      </c>
      <c r="AB115" s="294"/>
      <c r="AC115" s="294"/>
      <c r="AD115" s="295"/>
      <c r="AE115" s="296"/>
      <c r="AF115" s="287"/>
      <c r="AG115" s="294" t="s">
        <v>48</v>
      </c>
      <c r="AH115" s="478"/>
      <c r="AI115" s="286" t="s">
        <v>918</v>
      </c>
      <c r="AJ115" s="297">
        <f>VLOOKUP(D115,[1]Hoja1!$G$6:$I$225,3,0)</f>
        <v>195996.94</v>
      </c>
      <c r="AK115" s="298">
        <f t="shared" si="72"/>
        <v>0</v>
      </c>
      <c r="AL115" s="588">
        <f t="shared" ca="1" si="73"/>
        <v>7</v>
      </c>
    </row>
    <row r="116" spans="1:38" s="300" customFormat="1" ht="12" customHeight="1">
      <c r="A116" s="595" t="s">
        <v>1242</v>
      </c>
      <c r="B116" s="278" t="s">
        <v>71</v>
      </c>
      <c r="C116" s="278" t="s">
        <v>1418</v>
      </c>
      <c r="D116" s="260" t="str">
        <f t="shared" si="65"/>
        <v>KH005741</v>
      </c>
      <c r="E116" s="321">
        <v>195996.94</v>
      </c>
      <c r="F116" s="321">
        <v>195996.94</v>
      </c>
      <c r="G116" s="280" t="s">
        <v>797</v>
      </c>
      <c r="H116" s="278" t="s">
        <v>33</v>
      </c>
      <c r="I116" s="281"/>
      <c r="J116" s="278" t="s">
        <v>160</v>
      </c>
      <c r="K116" s="282" t="str">
        <f t="shared" si="66"/>
        <v>30/09/2019</v>
      </c>
      <c r="L116" s="283">
        <f t="shared" si="67"/>
        <v>43761</v>
      </c>
      <c r="M116" s="284">
        <f t="shared" ca="1" si="68"/>
        <v>-16</v>
      </c>
      <c r="N116" s="468">
        <f t="shared" ca="1" si="69"/>
        <v>7</v>
      </c>
      <c r="O116" s="282"/>
      <c r="P116" s="286">
        <f t="shared" si="70"/>
        <v>195996.94</v>
      </c>
      <c r="Q116" s="287"/>
      <c r="R116" s="288"/>
      <c r="S116" s="287"/>
      <c r="T116" s="287"/>
      <c r="U116" s="287" t="s">
        <v>52</v>
      </c>
      <c r="V116" s="502"/>
      <c r="W116" s="290"/>
      <c r="X116" s="290"/>
      <c r="Y116" s="326"/>
      <c r="Z116" s="292"/>
      <c r="AA116" s="293">
        <f t="shared" si="71"/>
        <v>0</v>
      </c>
      <c r="AB116" s="294"/>
      <c r="AC116" s="294"/>
      <c r="AD116" s="295"/>
      <c r="AE116" s="296"/>
      <c r="AF116" s="287"/>
      <c r="AG116" s="294" t="s">
        <v>48</v>
      </c>
      <c r="AH116" s="478"/>
      <c r="AI116" s="286" t="s">
        <v>918</v>
      </c>
      <c r="AJ116" s="297">
        <f>VLOOKUP(D116,[1]Hoja1!$G$6:$I$225,3,0)</f>
        <v>195996.94</v>
      </c>
      <c r="AK116" s="298">
        <f t="shared" si="72"/>
        <v>0</v>
      </c>
      <c r="AL116" s="588">
        <f t="shared" ca="1" si="73"/>
        <v>7</v>
      </c>
    </row>
    <row r="117" spans="1:38" s="300" customFormat="1" ht="12" customHeight="1">
      <c r="A117" s="595" t="s">
        <v>1242</v>
      </c>
      <c r="B117" s="278" t="s">
        <v>179</v>
      </c>
      <c r="C117" s="278" t="s">
        <v>1419</v>
      </c>
      <c r="D117" s="260" t="str">
        <f t="shared" si="65"/>
        <v>KC805440</v>
      </c>
      <c r="E117" s="321">
        <v>721874.64</v>
      </c>
      <c r="F117" s="321">
        <v>721874.64</v>
      </c>
      <c r="G117" s="280" t="s">
        <v>797</v>
      </c>
      <c r="H117" s="278" t="s">
        <v>33</v>
      </c>
      <c r="I117" s="281"/>
      <c r="J117" s="278" t="s">
        <v>160</v>
      </c>
      <c r="K117" s="282" t="str">
        <f t="shared" si="66"/>
        <v>30/09/2019</v>
      </c>
      <c r="L117" s="283">
        <f t="shared" si="67"/>
        <v>43761</v>
      </c>
      <c r="M117" s="284">
        <f t="shared" ca="1" si="68"/>
        <v>-16</v>
      </c>
      <c r="N117" s="468">
        <f t="shared" ca="1" si="69"/>
        <v>7</v>
      </c>
      <c r="O117" s="282"/>
      <c r="P117" s="286">
        <f t="shared" si="70"/>
        <v>721874.64</v>
      </c>
      <c r="Q117" s="287"/>
      <c r="R117" s="288"/>
      <c r="S117" s="287"/>
      <c r="T117" s="287"/>
      <c r="U117" s="287" t="s">
        <v>52</v>
      </c>
      <c r="V117" s="502"/>
      <c r="W117" s="290"/>
      <c r="X117" s="290"/>
      <c r="Y117" s="326"/>
      <c r="Z117" s="292"/>
      <c r="AA117" s="293">
        <f t="shared" si="71"/>
        <v>0</v>
      </c>
      <c r="AB117" s="294"/>
      <c r="AC117" s="294"/>
      <c r="AD117" s="295"/>
      <c r="AE117" s="296"/>
      <c r="AF117" s="287"/>
      <c r="AG117" s="294" t="s">
        <v>48</v>
      </c>
      <c r="AH117" s="478"/>
      <c r="AI117" s="286" t="s">
        <v>918</v>
      </c>
      <c r="AJ117" s="297">
        <f>VLOOKUP(D117,[1]Hoja1!$G$6:$I$225,3,0)</f>
        <v>721874.64</v>
      </c>
      <c r="AK117" s="298">
        <f t="shared" si="72"/>
        <v>0</v>
      </c>
      <c r="AL117" s="588">
        <f t="shared" ca="1" si="73"/>
        <v>7</v>
      </c>
    </row>
    <row r="118" spans="1:38" s="300" customFormat="1" ht="12" customHeight="1">
      <c r="A118" s="595" t="s">
        <v>1242</v>
      </c>
      <c r="B118" s="278" t="s">
        <v>120</v>
      </c>
      <c r="C118" s="278" t="s">
        <v>1420</v>
      </c>
      <c r="D118" s="260" t="str">
        <f t="shared" si="65"/>
        <v>L9136854</v>
      </c>
      <c r="E118" s="321">
        <v>226510.79</v>
      </c>
      <c r="F118" s="321">
        <v>226510.79</v>
      </c>
      <c r="G118" s="280" t="s">
        <v>797</v>
      </c>
      <c r="H118" s="278" t="s">
        <v>33</v>
      </c>
      <c r="I118" s="281"/>
      <c r="J118" s="278" t="s">
        <v>160</v>
      </c>
      <c r="K118" s="282" t="str">
        <f t="shared" si="66"/>
        <v>30/09/2019</v>
      </c>
      <c r="L118" s="283">
        <f t="shared" si="67"/>
        <v>43761</v>
      </c>
      <c r="M118" s="284">
        <f t="shared" ca="1" si="68"/>
        <v>-16</v>
      </c>
      <c r="N118" s="468">
        <f t="shared" ca="1" si="69"/>
        <v>7</v>
      </c>
      <c r="O118" s="282"/>
      <c r="P118" s="286">
        <f t="shared" si="70"/>
        <v>226510.79</v>
      </c>
      <c r="Q118" s="287"/>
      <c r="R118" s="288"/>
      <c r="S118" s="287"/>
      <c r="T118" s="287"/>
      <c r="U118" s="287" t="s">
        <v>52</v>
      </c>
      <c r="V118" s="502"/>
      <c r="W118" s="290"/>
      <c r="X118" s="290"/>
      <c r="Y118" s="326"/>
      <c r="Z118" s="292"/>
      <c r="AA118" s="293">
        <f t="shared" si="71"/>
        <v>0</v>
      </c>
      <c r="AB118" s="294"/>
      <c r="AC118" s="294"/>
      <c r="AD118" s="295"/>
      <c r="AE118" s="296"/>
      <c r="AF118" s="287"/>
      <c r="AG118" s="294" t="s">
        <v>48</v>
      </c>
      <c r="AH118" s="478"/>
      <c r="AI118" s="286" t="s">
        <v>918</v>
      </c>
      <c r="AJ118" s="297">
        <f>VLOOKUP(D118,[1]Hoja1!$G$6:$I$225,3,0)</f>
        <v>226510.79</v>
      </c>
      <c r="AK118" s="298">
        <f t="shared" si="72"/>
        <v>0</v>
      </c>
      <c r="AL118" s="588">
        <f t="shared" ca="1" si="73"/>
        <v>7</v>
      </c>
    </row>
    <row r="119" spans="1:38" s="300" customFormat="1" ht="12" customHeight="1">
      <c r="A119" s="595" t="s">
        <v>1242</v>
      </c>
      <c r="B119" s="278" t="s">
        <v>209</v>
      </c>
      <c r="C119" s="278" t="s">
        <v>1421</v>
      </c>
      <c r="D119" s="260" t="str">
        <f t="shared" si="65"/>
        <v>KW647290</v>
      </c>
      <c r="E119" s="321">
        <v>759475.89</v>
      </c>
      <c r="F119" s="321">
        <v>759475.89</v>
      </c>
      <c r="G119" s="280" t="s">
        <v>797</v>
      </c>
      <c r="H119" s="278" t="s">
        <v>33</v>
      </c>
      <c r="I119" s="281"/>
      <c r="J119" s="278" t="s">
        <v>160</v>
      </c>
      <c r="K119" s="282" t="str">
        <f t="shared" si="66"/>
        <v>30/09/2019</v>
      </c>
      <c r="L119" s="283">
        <f t="shared" si="67"/>
        <v>43761</v>
      </c>
      <c r="M119" s="284">
        <f t="shared" ca="1" si="68"/>
        <v>-16</v>
      </c>
      <c r="N119" s="468">
        <f t="shared" ca="1" si="69"/>
        <v>7</v>
      </c>
      <c r="O119" s="282"/>
      <c r="P119" s="286">
        <f t="shared" si="70"/>
        <v>759475.89</v>
      </c>
      <c r="Q119" s="287"/>
      <c r="R119" s="288"/>
      <c r="S119" s="287"/>
      <c r="T119" s="287"/>
      <c r="U119" s="287" t="s">
        <v>52</v>
      </c>
      <c r="V119" s="502"/>
      <c r="W119" s="290"/>
      <c r="X119" s="290"/>
      <c r="Y119" s="326"/>
      <c r="Z119" s="292"/>
      <c r="AA119" s="293">
        <f t="shared" si="71"/>
        <v>0</v>
      </c>
      <c r="AB119" s="294"/>
      <c r="AC119" s="294"/>
      <c r="AD119" s="295"/>
      <c r="AE119" s="296"/>
      <c r="AF119" s="287"/>
      <c r="AG119" s="294" t="s">
        <v>48</v>
      </c>
      <c r="AH119" s="478"/>
      <c r="AI119" s="286" t="s">
        <v>918</v>
      </c>
      <c r="AJ119" s="297">
        <f>VLOOKUP(D119,[1]Hoja1!$G$6:$I$225,3,0)</f>
        <v>759475.89</v>
      </c>
      <c r="AK119" s="298">
        <f t="shared" si="72"/>
        <v>0</v>
      </c>
      <c r="AL119" s="588">
        <f t="shared" ca="1" si="73"/>
        <v>7</v>
      </c>
    </row>
    <row r="120" spans="1:38" s="300" customFormat="1" ht="32.25" customHeight="1">
      <c r="A120" s="271" t="s">
        <v>183</v>
      </c>
      <c r="B120" s="271"/>
      <c r="C120" s="271"/>
      <c r="D120" s="271" t="s">
        <v>183</v>
      </c>
      <c r="E120" s="272"/>
      <c r="F120" s="271"/>
      <c r="G120" s="273" t="s">
        <v>183</v>
      </c>
      <c r="H120" s="273"/>
      <c r="I120" s="435"/>
      <c r="J120" s="273"/>
      <c r="K120" s="274" t="s">
        <v>183</v>
      </c>
      <c r="L120" s="273"/>
      <c r="M120" s="273"/>
      <c r="N120" s="274"/>
      <c r="O120" s="273"/>
      <c r="P120" s="302"/>
      <c r="Q120" s="435"/>
      <c r="R120" s="273"/>
      <c r="S120" s="273"/>
      <c r="T120" s="271" t="s">
        <v>183</v>
      </c>
      <c r="U120" s="271" t="s">
        <v>202</v>
      </c>
      <c r="V120" s="274"/>
      <c r="W120" s="271" t="s">
        <v>183</v>
      </c>
      <c r="X120" s="271"/>
      <c r="Y120" s="273"/>
      <c r="Z120" s="275" t="s">
        <v>183</v>
      </c>
      <c r="AA120" s="271"/>
      <c r="AB120" s="273"/>
      <c r="AC120" s="273" t="s">
        <v>183</v>
      </c>
      <c r="AD120" s="271"/>
      <c r="AE120" s="273"/>
      <c r="AF120" s="273" t="s">
        <v>183</v>
      </c>
      <c r="AG120" s="271"/>
      <c r="AH120" s="271"/>
      <c r="AI120" s="276"/>
      <c r="AJ120" s="277"/>
      <c r="AK120" s="277"/>
      <c r="AL120" s="589"/>
    </row>
    <row r="121" spans="1:38" s="300" customFormat="1" ht="12" customHeight="1">
      <c r="A121" s="287" t="s">
        <v>900</v>
      </c>
      <c r="B121" s="278" t="s">
        <v>125</v>
      </c>
      <c r="C121" s="278" t="s">
        <v>906</v>
      </c>
      <c r="D121" s="260" t="str">
        <f>+RIGHT(C121,8)</f>
        <v>K0865148</v>
      </c>
      <c r="E121" s="321">
        <v>216330.12</v>
      </c>
      <c r="F121" s="321">
        <v>216330.12</v>
      </c>
      <c r="G121" s="280" t="s">
        <v>158</v>
      </c>
      <c r="H121" s="278" t="s">
        <v>33</v>
      </c>
      <c r="I121" s="281" t="s">
        <v>55</v>
      </c>
      <c r="J121" s="311" t="s">
        <v>159</v>
      </c>
      <c r="K121" s="282" t="str">
        <f>A121</f>
        <v>26/08/2019</v>
      </c>
      <c r="L121" s="283">
        <f>K121+23</f>
        <v>43726</v>
      </c>
      <c r="M121" s="284">
        <f ca="1">$A$1-L121</f>
        <v>19</v>
      </c>
      <c r="N121" s="468">
        <f ca="1">+$A$1-A121</f>
        <v>42</v>
      </c>
      <c r="O121" s="282"/>
      <c r="P121" s="286">
        <f>+F121</f>
        <v>216330.12</v>
      </c>
      <c r="Q121" s="287"/>
      <c r="R121" s="288"/>
      <c r="S121" s="287" t="s">
        <v>988</v>
      </c>
      <c r="T121" s="287" t="s">
        <v>285</v>
      </c>
      <c r="U121" s="287" t="s">
        <v>260</v>
      </c>
      <c r="V121" s="502">
        <v>43711</v>
      </c>
      <c r="W121" s="290"/>
      <c r="X121" s="290"/>
      <c r="Y121" s="326">
        <v>240400</v>
      </c>
      <c r="Z121" s="292">
        <v>1000</v>
      </c>
      <c r="AA121" s="293">
        <f>+Y121-Z121</f>
        <v>239400</v>
      </c>
      <c r="AB121" s="294" t="s">
        <v>123</v>
      </c>
      <c r="AC121" s="294" t="s">
        <v>995</v>
      </c>
      <c r="AD121" s="295">
        <v>43684</v>
      </c>
      <c r="AE121" s="296"/>
      <c r="AF121" s="287" t="s">
        <v>285</v>
      </c>
      <c r="AG121" s="294" t="s">
        <v>48</v>
      </c>
      <c r="AH121" s="478"/>
      <c r="AI121" s="286" t="s">
        <v>918</v>
      </c>
      <c r="AJ121" s="297">
        <f>VLOOKUP(D121,[1]Hoja1!$G$6:$I$225,3,0)</f>
        <v>216330.12</v>
      </c>
      <c r="AK121" s="298">
        <f>+AJ121-F121</f>
        <v>0</v>
      </c>
      <c r="AL121" s="588">
        <f ca="1">+$A$1-A121</f>
        <v>42</v>
      </c>
    </row>
    <row r="122" spans="1:38" s="300" customFormat="1" ht="12" customHeight="1">
      <c r="A122" s="595" t="s">
        <v>1196</v>
      </c>
      <c r="B122" s="278" t="s">
        <v>127</v>
      </c>
      <c r="C122" s="278" t="s">
        <v>1208</v>
      </c>
      <c r="D122" s="260" t="str">
        <f t="shared" ref="D122:D133" si="74">+RIGHT(C122,8)</f>
        <v>LY633205</v>
      </c>
      <c r="E122" s="321">
        <v>185513.56</v>
      </c>
      <c r="F122" s="321">
        <v>185513.56</v>
      </c>
      <c r="G122" s="280" t="s">
        <v>158</v>
      </c>
      <c r="H122" s="278" t="s">
        <v>33</v>
      </c>
      <c r="I122" s="281"/>
      <c r="J122" s="311" t="s">
        <v>159</v>
      </c>
      <c r="K122" s="282" t="str">
        <f t="shared" ref="K122:K133" si="75">A122</f>
        <v>27/09/2019</v>
      </c>
      <c r="L122" s="283">
        <f t="shared" ref="L122:L133" si="76">K122+23</f>
        <v>43758</v>
      </c>
      <c r="M122" s="284">
        <f t="shared" ref="M122:M133" ca="1" si="77">$A$1-L122</f>
        <v>-13</v>
      </c>
      <c r="N122" s="468">
        <f t="shared" ref="N122:N133" ca="1" si="78">+$A$1-A122</f>
        <v>10</v>
      </c>
      <c r="O122" s="282"/>
      <c r="P122" s="286">
        <f t="shared" ref="P122:P133" si="79">+F122</f>
        <v>185513.56</v>
      </c>
      <c r="Q122" s="287"/>
      <c r="R122" s="288"/>
      <c r="S122" s="287"/>
      <c r="T122" s="287"/>
      <c r="U122" s="287" t="s">
        <v>52</v>
      </c>
      <c r="V122" s="502"/>
      <c r="W122" s="290"/>
      <c r="X122" s="290"/>
      <c r="Y122" s="326"/>
      <c r="Z122" s="292"/>
      <c r="AA122" s="293">
        <f t="shared" ref="AA122:AA133" si="80">+Y122-Z122</f>
        <v>0</v>
      </c>
      <c r="AB122" s="294"/>
      <c r="AC122" s="294"/>
      <c r="AD122" s="295"/>
      <c r="AE122" s="296"/>
      <c r="AF122" s="287"/>
      <c r="AG122" s="294" t="s">
        <v>48</v>
      </c>
      <c r="AH122" s="478"/>
      <c r="AI122" s="286" t="s">
        <v>918</v>
      </c>
      <c r="AJ122" s="297">
        <f>VLOOKUP(D122,[1]Hoja1!$G$6:$I$225,3,0)</f>
        <v>185513.56</v>
      </c>
      <c r="AK122" s="298">
        <f t="shared" ref="AK122:AK133" si="81">+AJ122-F122</f>
        <v>0</v>
      </c>
      <c r="AL122" s="588">
        <f t="shared" ref="AL122:AL133" ca="1" si="82">+$A$1-A122</f>
        <v>10</v>
      </c>
    </row>
    <row r="123" spans="1:38" s="300" customFormat="1" ht="12" customHeight="1">
      <c r="A123" s="595" t="s">
        <v>1242</v>
      </c>
      <c r="B123" s="278" t="s">
        <v>125</v>
      </c>
      <c r="C123" s="278" t="s">
        <v>1266</v>
      </c>
      <c r="D123" s="260" t="str">
        <f t="shared" si="74"/>
        <v>L0868441</v>
      </c>
      <c r="E123" s="321">
        <v>221279.84</v>
      </c>
      <c r="F123" s="321">
        <v>221279.84</v>
      </c>
      <c r="G123" s="280" t="s">
        <v>158</v>
      </c>
      <c r="H123" s="278" t="s">
        <v>33</v>
      </c>
      <c r="I123" s="281"/>
      <c r="J123" s="311" t="s">
        <v>159</v>
      </c>
      <c r="K123" s="282" t="str">
        <f t="shared" si="75"/>
        <v>30/09/2019</v>
      </c>
      <c r="L123" s="283">
        <f t="shared" si="76"/>
        <v>43761</v>
      </c>
      <c r="M123" s="284">
        <f t="shared" ca="1" si="77"/>
        <v>-16</v>
      </c>
      <c r="N123" s="468">
        <f t="shared" ca="1" si="78"/>
        <v>7</v>
      </c>
      <c r="O123" s="282"/>
      <c r="P123" s="286">
        <f t="shared" si="79"/>
        <v>221279.84</v>
      </c>
      <c r="Q123" s="287"/>
      <c r="R123" s="288"/>
      <c r="S123" s="287"/>
      <c r="T123" s="287"/>
      <c r="U123" s="287" t="s">
        <v>52</v>
      </c>
      <c r="V123" s="502"/>
      <c r="W123" s="290"/>
      <c r="X123" s="290"/>
      <c r="Y123" s="326"/>
      <c r="Z123" s="292"/>
      <c r="AA123" s="293">
        <f t="shared" si="80"/>
        <v>0</v>
      </c>
      <c r="AB123" s="294"/>
      <c r="AC123" s="294"/>
      <c r="AD123" s="295"/>
      <c r="AE123" s="296"/>
      <c r="AF123" s="287"/>
      <c r="AG123" s="294" t="s">
        <v>48</v>
      </c>
      <c r="AH123" s="478"/>
      <c r="AI123" s="286" t="s">
        <v>918</v>
      </c>
      <c r="AJ123" s="297">
        <f>VLOOKUP(D123,[1]Hoja1!$G$6:$I$225,3,0)</f>
        <v>221279.84</v>
      </c>
      <c r="AK123" s="298">
        <f t="shared" si="81"/>
        <v>0</v>
      </c>
      <c r="AL123" s="588">
        <f t="shared" ca="1" si="82"/>
        <v>7</v>
      </c>
    </row>
    <row r="124" spans="1:38" s="300" customFormat="1" ht="12" customHeight="1">
      <c r="A124" s="595" t="s">
        <v>1242</v>
      </c>
      <c r="B124" s="278" t="s">
        <v>125</v>
      </c>
      <c r="C124" s="278" t="s">
        <v>1267</v>
      </c>
      <c r="D124" s="260" t="str">
        <f t="shared" si="74"/>
        <v>L0870481</v>
      </c>
      <c r="E124" s="321">
        <v>221279.84</v>
      </c>
      <c r="F124" s="321">
        <v>221279.84</v>
      </c>
      <c r="G124" s="280" t="s">
        <v>158</v>
      </c>
      <c r="H124" s="278" t="s">
        <v>33</v>
      </c>
      <c r="I124" s="281"/>
      <c r="J124" s="311" t="s">
        <v>159</v>
      </c>
      <c r="K124" s="282" t="str">
        <f t="shared" si="75"/>
        <v>30/09/2019</v>
      </c>
      <c r="L124" s="283">
        <f t="shared" si="76"/>
        <v>43761</v>
      </c>
      <c r="M124" s="284">
        <f t="shared" ca="1" si="77"/>
        <v>-16</v>
      </c>
      <c r="N124" s="468">
        <f t="shared" ca="1" si="78"/>
        <v>7</v>
      </c>
      <c r="O124" s="282"/>
      <c r="P124" s="286">
        <f t="shared" si="79"/>
        <v>221279.84</v>
      </c>
      <c r="Q124" s="287"/>
      <c r="R124" s="288"/>
      <c r="S124" s="287"/>
      <c r="T124" s="287"/>
      <c r="U124" s="287" t="s">
        <v>52</v>
      </c>
      <c r="V124" s="502"/>
      <c r="W124" s="290"/>
      <c r="X124" s="290"/>
      <c r="Y124" s="326"/>
      <c r="Z124" s="292"/>
      <c r="AA124" s="293">
        <f t="shared" si="80"/>
        <v>0</v>
      </c>
      <c r="AB124" s="294"/>
      <c r="AC124" s="294"/>
      <c r="AD124" s="295"/>
      <c r="AE124" s="296"/>
      <c r="AF124" s="287"/>
      <c r="AG124" s="294" t="s">
        <v>48</v>
      </c>
      <c r="AH124" s="478"/>
      <c r="AI124" s="286" t="s">
        <v>918</v>
      </c>
      <c r="AJ124" s="297">
        <f>VLOOKUP(D124,[1]Hoja1!$G$6:$I$225,3,0)</f>
        <v>221279.84</v>
      </c>
      <c r="AK124" s="298">
        <f t="shared" si="81"/>
        <v>0</v>
      </c>
      <c r="AL124" s="588">
        <f t="shared" ca="1" si="82"/>
        <v>7</v>
      </c>
    </row>
    <row r="125" spans="1:38" s="300" customFormat="1" ht="12" customHeight="1">
      <c r="A125" s="595" t="s">
        <v>1242</v>
      </c>
      <c r="B125" s="278" t="s">
        <v>125</v>
      </c>
      <c r="C125" s="278" t="s">
        <v>1268</v>
      </c>
      <c r="D125" s="260" t="str">
        <f t="shared" si="74"/>
        <v>L0870495</v>
      </c>
      <c r="E125" s="321">
        <v>221279.84</v>
      </c>
      <c r="F125" s="321">
        <v>221279.84</v>
      </c>
      <c r="G125" s="280" t="s">
        <v>158</v>
      </c>
      <c r="H125" s="278" t="s">
        <v>33</v>
      </c>
      <c r="I125" s="281"/>
      <c r="J125" s="311" t="s">
        <v>159</v>
      </c>
      <c r="K125" s="282" t="str">
        <f t="shared" si="75"/>
        <v>30/09/2019</v>
      </c>
      <c r="L125" s="283">
        <f t="shared" si="76"/>
        <v>43761</v>
      </c>
      <c r="M125" s="284">
        <f t="shared" ca="1" si="77"/>
        <v>-16</v>
      </c>
      <c r="N125" s="468">
        <f t="shared" ca="1" si="78"/>
        <v>7</v>
      </c>
      <c r="O125" s="282"/>
      <c r="P125" s="286">
        <f t="shared" si="79"/>
        <v>221279.84</v>
      </c>
      <c r="Q125" s="287"/>
      <c r="R125" s="288"/>
      <c r="S125" s="287"/>
      <c r="T125" s="287"/>
      <c r="U125" s="287" t="s">
        <v>52</v>
      </c>
      <c r="V125" s="502"/>
      <c r="W125" s="290"/>
      <c r="X125" s="290"/>
      <c r="Y125" s="326"/>
      <c r="Z125" s="292"/>
      <c r="AA125" s="293">
        <f t="shared" si="80"/>
        <v>0</v>
      </c>
      <c r="AB125" s="294"/>
      <c r="AC125" s="294"/>
      <c r="AD125" s="295"/>
      <c r="AE125" s="296"/>
      <c r="AF125" s="287"/>
      <c r="AG125" s="294" t="s">
        <v>48</v>
      </c>
      <c r="AH125" s="478"/>
      <c r="AI125" s="286" t="s">
        <v>918</v>
      </c>
      <c r="AJ125" s="297">
        <f>VLOOKUP(D125,[1]Hoja1!$G$6:$I$225,3,0)</f>
        <v>221279.84</v>
      </c>
      <c r="AK125" s="298">
        <f t="shared" si="81"/>
        <v>0</v>
      </c>
      <c r="AL125" s="588">
        <f t="shared" ca="1" si="82"/>
        <v>7</v>
      </c>
    </row>
    <row r="126" spans="1:38" s="300" customFormat="1" ht="12" customHeight="1">
      <c r="A126" s="595" t="s">
        <v>1242</v>
      </c>
      <c r="B126" s="278" t="s">
        <v>125</v>
      </c>
      <c r="C126" s="278" t="s">
        <v>1269</v>
      </c>
      <c r="D126" s="260" t="str">
        <f t="shared" si="74"/>
        <v>L0870761</v>
      </c>
      <c r="E126" s="321">
        <v>221279.84</v>
      </c>
      <c r="F126" s="321">
        <v>221279.84</v>
      </c>
      <c r="G126" s="280" t="s">
        <v>158</v>
      </c>
      <c r="H126" s="278" t="s">
        <v>33</v>
      </c>
      <c r="I126" s="281"/>
      <c r="J126" s="311" t="s">
        <v>159</v>
      </c>
      <c r="K126" s="282" t="str">
        <f t="shared" si="75"/>
        <v>30/09/2019</v>
      </c>
      <c r="L126" s="283">
        <f t="shared" si="76"/>
        <v>43761</v>
      </c>
      <c r="M126" s="284">
        <f t="shared" ca="1" si="77"/>
        <v>-16</v>
      </c>
      <c r="N126" s="468">
        <f t="shared" ca="1" si="78"/>
        <v>7</v>
      </c>
      <c r="O126" s="282"/>
      <c r="P126" s="286">
        <f t="shared" si="79"/>
        <v>221279.84</v>
      </c>
      <c r="Q126" s="287"/>
      <c r="R126" s="288"/>
      <c r="S126" s="287"/>
      <c r="T126" s="287"/>
      <c r="U126" s="287" t="s">
        <v>52</v>
      </c>
      <c r="V126" s="502"/>
      <c r="W126" s="290"/>
      <c r="X126" s="290"/>
      <c r="Y126" s="326"/>
      <c r="Z126" s="292"/>
      <c r="AA126" s="293">
        <f t="shared" si="80"/>
        <v>0</v>
      </c>
      <c r="AB126" s="294"/>
      <c r="AC126" s="294"/>
      <c r="AD126" s="295"/>
      <c r="AE126" s="296"/>
      <c r="AF126" s="287"/>
      <c r="AG126" s="294" t="s">
        <v>48</v>
      </c>
      <c r="AH126" s="478"/>
      <c r="AI126" s="286" t="s">
        <v>918</v>
      </c>
      <c r="AJ126" s="297">
        <f>VLOOKUP(D126,[1]Hoja1!$G$6:$I$225,3,0)</f>
        <v>221279.84</v>
      </c>
      <c r="AK126" s="298">
        <f t="shared" si="81"/>
        <v>0</v>
      </c>
      <c r="AL126" s="588">
        <f t="shared" ca="1" si="82"/>
        <v>7</v>
      </c>
    </row>
    <row r="127" spans="1:38" s="300" customFormat="1" ht="12" customHeight="1">
      <c r="A127" s="595" t="s">
        <v>1242</v>
      </c>
      <c r="B127" s="278" t="s">
        <v>125</v>
      </c>
      <c r="C127" s="278" t="s">
        <v>1270</v>
      </c>
      <c r="D127" s="260" t="str">
        <f t="shared" si="74"/>
        <v>L0871616</v>
      </c>
      <c r="E127" s="321">
        <v>221279.84</v>
      </c>
      <c r="F127" s="321">
        <v>221279.84</v>
      </c>
      <c r="G127" s="280" t="s">
        <v>158</v>
      </c>
      <c r="H127" s="278" t="s">
        <v>33</v>
      </c>
      <c r="I127" s="281"/>
      <c r="J127" s="311" t="s">
        <v>159</v>
      </c>
      <c r="K127" s="282" t="str">
        <f t="shared" si="75"/>
        <v>30/09/2019</v>
      </c>
      <c r="L127" s="283">
        <f t="shared" si="76"/>
        <v>43761</v>
      </c>
      <c r="M127" s="284">
        <f t="shared" ca="1" si="77"/>
        <v>-16</v>
      </c>
      <c r="N127" s="468">
        <f t="shared" ca="1" si="78"/>
        <v>7</v>
      </c>
      <c r="O127" s="282"/>
      <c r="P127" s="286">
        <f t="shared" si="79"/>
        <v>221279.84</v>
      </c>
      <c r="Q127" s="287"/>
      <c r="R127" s="288"/>
      <c r="S127" s="287"/>
      <c r="T127" s="287"/>
      <c r="U127" s="287" t="s">
        <v>52</v>
      </c>
      <c r="V127" s="502"/>
      <c r="W127" s="290"/>
      <c r="X127" s="290"/>
      <c r="Y127" s="326"/>
      <c r="Z127" s="292"/>
      <c r="AA127" s="293">
        <f t="shared" si="80"/>
        <v>0</v>
      </c>
      <c r="AB127" s="294"/>
      <c r="AC127" s="294"/>
      <c r="AD127" s="295"/>
      <c r="AE127" s="296"/>
      <c r="AF127" s="287"/>
      <c r="AG127" s="294" t="s">
        <v>48</v>
      </c>
      <c r="AH127" s="478"/>
      <c r="AI127" s="286" t="s">
        <v>918</v>
      </c>
      <c r="AJ127" s="297">
        <f>VLOOKUP(D127,[1]Hoja1!$G$6:$I$225,3,0)</f>
        <v>221279.84</v>
      </c>
      <c r="AK127" s="298">
        <f t="shared" si="81"/>
        <v>0</v>
      </c>
      <c r="AL127" s="588">
        <f t="shared" ca="1" si="82"/>
        <v>7</v>
      </c>
    </row>
    <row r="128" spans="1:38" s="300" customFormat="1" ht="12" customHeight="1">
      <c r="A128" s="595" t="s">
        <v>1242</v>
      </c>
      <c r="B128" s="278" t="s">
        <v>1243</v>
      </c>
      <c r="C128" s="278" t="s">
        <v>1271</v>
      </c>
      <c r="D128" s="260" t="str">
        <f t="shared" si="74"/>
        <v>L0871158</v>
      </c>
      <c r="E128" s="321">
        <v>199230.56</v>
      </c>
      <c r="F128" s="321">
        <v>199230.56</v>
      </c>
      <c r="G128" s="280" t="s">
        <v>158</v>
      </c>
      <c r="H128" s="278" t="s">
        <v>33</v>
      </c>
      <c r="I128" s="281"/>
      <c r="J128" s="311" t="s">
        <v>159</v>
      </c>
      <c r="K128" s="282" t="str">
        <f t="shared" si="75"/>
        <v>30/09/2019</v>
      </c>
      <c r="L128" s="283">
        <f t="shared" si="76"/>
        <v>43761</v>
      </c>
      <c r="M128" s="284">
        <f t="shared" ca="1" si="77"/>
        <v>-16</v>
      </c>
      <c r="N128" s="468">
        <f t="shared" ca="1" si="78"/>
        <v>7</v>
      </c>
      <c r="O128" s="282"/>
      <c r="P128" s="286">
        <f t="shared" si="79"/>
        <v>199230.56</v>
      </c>
      <c r="Q128" s="287"/>
      <c r="R128" s="288"/>
      <c r="S128" s="287"/>
      <c r="T128" s="287"/>
      <c r="U128" s="287" t="s">
        <v>52</v>
      </c>
      <c r="V128" s="502"/>
      <c r="W128" s="290"/>
      <c r="X128" s="290"/>
      <c r="Y128" s="326"/>
      <c r="Z128" s="292"/>
      <c r="AA128" s="293">
        <f t="shared" si="80"/>
        <v>0</v>
      </c>
      <c r="AB128" s="294"/>
      <c r="AC128" s="294"/>
      <c r="AD128" s="295"/>
      <c r="AE128" s="296"/>
      <c r="AF128" s="287"/>
      <c r="AG128" s="294" t="s">
        <v>48</v>
      </c>
      <c r="AH128" s="478"/>
      <c r="AI128" s="286" t="s">
        <v>918</v>
      </c>
      <c r="AJ128" s="297">
        <f>VLOOKUP(D128,[1]Hoja1!$G$6:$I$225,3,0)</f>
        <v>199230.56</v>
      </c>
      <c r="AK128" s="298">
        <f t="shared" si="81"/>
        <v>0</v>
      </c>
      <c r="AL128" s="588">
        <f t="shared" ca="1" si="82"/>
        <v>7</v>
      </c>
    </row>
    <row r="129" spans="1:38" s="300" customFormat="1" ht="12" customHeight="1">
      <c r="A129" s="595" t="s">
        <v>1242</v>
      </c>
      <c r="B129" s="278" t="s">
        <v>1243</v>
      </c>
      <c r="C129" s="278" t="s">
        <v>1272</v>
      </c>
      <c r="D129" s="260" t="str">
        <f t="shared" si="74"/>
        <v>L0874571</v>
      </c>
      <c r="E129" s="321">
        <v>199230.56</v>
      </c>
      <c r="F129" s="321">
        <v>199230.56</v>
      </c>
      <c r="G129" s="280" t="s">
        <v>158</v>
      </c>
      <c r="H129" s="278" t="s">
        <v>33</v>
      </c>
      <c r="I129" s="281"/>
      <c r="J129" s="311" t="s">
        <v>159</v>
      </c>
      <c r="K129" s="282" t="str">
        <f t="shared" si="75"/>
        <v>30/09/2019</v>
      </c>
      <c r="L129" s="283">
        <f t="shared" si="76"/>
        <v>43761</v>
      </c>
      <c r="M129" s="284">
        <f t="shared" ca="1" si="77"/>
        <v>-16</v>
      </c>
      <c r="N129" s="468">
        <f t="shared" ca="1" si="78"/>
        <v>7</v>
      </c>
      <c r="O129" s="282"/>
      <c r="P129" s="286">
        <f t="shared" si="79"/>
        <v>199230.56</v>
      </c>
      <c r="Q129" s="287"/>
      <c r="R129" s="288"/>
      <c r="S129" s="287"/>
      <c r="T129" s="287"/>
      <c r="U129" s="287" t="s">
        <v>52</v>
      </c>
      <c r="V129" s="502"/>
      <c r="W129" s="290"/>
      <c r="X129" s="290"/>
      <c r="Y129" s="326"/>
      <c r="Z129" s="292"/>
      <c r="AA129" s="293">
        <f t="shared" si="80"/>
        <v>0</v>
      </c>
      <c r="AB129" s="294"/>
      <c r="AC129" s="294"/>
      <c r="AD129" s="295"/>
      <c r="AE129" s="296"/>
      <c r="AF129" s="287"/>
      <c r="AG129" s="294" t="s">
        <v>48</v>
      </c>
      <c r="AH129" s="478"/>
      <c r="AI129" s="286" t="s">
        <v>918</v>
      </c>
      <c r="AJ129" s="297">
        <f>VLOOKUP(D129,[1]Hoja1!$G$6:$I$225,3,0)</f>
        <v>199230.56</v>
      </c>
      <c r="AK129" s="298">
        <f t="shared" si="81"/>
        <v>0</v>
      </c>
      <c r="AL129" s="588">
        <f t="shared" ca="1" si="82"/>
        <v>7</v>
      </c>
    </row>
    <row r="130" spans="1:38" s="300" customFormat="1" ht="12" customHeight="1">
      <c r="A130" s="595" t="s">
        <v>1242</v>
      </c>
      <c r="B130" s="278" t="s">
        <v>1243</v>
      </c>
      <c r="C130" s="278" t="s">
        <v>1273</v>
      </c>
      <c r="D130" s="260" t="str">
        <f t="shared" si="74"/>
        <v>L0874621</v>
      </c>
      <c r="E130" s="321">
        <v>199230.56</v>
      </c>
      <c r="F130" s="321">
        <v>199230.56</v>
      </c>
      <c r="G130" s="280" t="s">
        <v>158</v>
      </c>
      <c r="H130" s="278" t="s">
        <v>33</v>
      </c>
      <c r="I130" s="281"/>
      <c r="J130" s="311" t="s">
        <v>159</v>
      </c>
      <c r="K130" s="282" t="str">
        <f t="shared" si="75"/>
        <v>30/09/2019</v>
      </c>
      <c r="L130" s="283">
        <f t="shared" si="76"/>
        <v>43761</v>
      </c>
      <c r="M130" s="284">
        <f t="shared" ca="1" si="77"/>
        <v>-16</v>
      </c>
      <c r="N130" s="468">
        <f t="shared" ca="1" si="78"/>
        <v>7</v>
      </c>
      <c r="O130" s="282"/>
      <c r="P130" s="286">
        <f t="shared" si="79"/>
        <v>199230.56</v>
      </c>
      <c r="Q130" s="287"/>
      <c r="R130" s="288"/>
      <c r="S130" s="287"/>
      <c r="T130" s="287"/>
      <c r="U130" s="287" t="s">
        <v>52</v>
      </c>
      <c r="V130" s="502"/>
      <c r="W130" s="290"/>
      <c r="X130" s="290"/>
      <c r="Y130" s="326"/>
      <c r="Z130" s="292"/>
      <c r="AA130" s="293">
        <f t="shared" si="80"/>
        <v>0</v>
      </c>
      <c r="AB130" s="294"/>
      <c r="AC130" s="294"/>
      <c r="AD130" s="295"/>
      <c r="AE130" s="296"/>
      <c r="AF130" s="287"/>
      <c r="AG130" s="294" t="s">
        <v>48</v>
      </c>
      <c r="AH130" s="478"/>
      <c r="AI130" s="286" t="s">
        <v>918</v>
      </c>
      <c r="AJ130" s="297">
        <f>VLOOKUP(D130,[1]Hoja1!$G$6:$I$225,3,0)</f>
        <v>199230.56</v>
      </c>
      <c r="AK130" s="298">
        <f t="shared" si="81"/>
        <v>0</v>
      </c>
      <c r="AL130" s="588">
        <f t="shared" ca="1" si="82"/>
        <v>7</v>
      </c>
    </row>
    <row r="131" spans="1:38" s="300" customFormat="1" ht="12" customHeight="1">
      <c r="A131" s="595" t="s">
        <v>1242</v>
      </c>
      <c r="B131" s="278" t="s">
        <v>126</v>
      </c>
      <c r="C131" s="278" t="s">
        <v>1274</v>
      </c>
      <c r="D131" s="260" t="str">
        <f t="shared" si="74"/>
        <v>L0868578</v>
      </c>
      <c r="E131" s="321">
        <v>213180.72</v>
      </c>
      <c r="F131" s="321">
        <v>213180.72</v>
      </c>
      <c r="G131" s="280" t="s">
        <v>158</v>
      </c>
      <c r="H131" s="278" t="s">
        <v>33</v>
      </c>
      <c r="I131" s="281"/>
      <c r="J131" s="311" t="s">
        <v>159</v>
      </c>
      <c r="K131" s="282" t="str">
        <f t="shared" si="75"/>
        <v>30/09/2019</v>
      </c>
      <c r="L131" s="283">
        <f t="shared" si="76"/>
        <v>43761</v>
      </c>
      <c r="M131" s="284">
        <f t="shared" ca="1" si="77"/>
        <v>-16</v>
      </c>
      <c r="N131" s="468">
        <f t="shared" ca="1" si="78"/>
        <v>7</v>
      </c>
      <c r="O131" s="282"/>
      <c r="P131" s="286">
        <f t="shared" si="79"/>
        <v>213180.72</v>
      </c>
      <c r="Q131" s="287"/>
      <c r="R131" s="288"/>
      <c r="S131" s="287"/>
      <c r="T131" s="287"/>
      <c r="U131" s="287" t="s">
        <v>52</v>
      </c>
      <c r="V131" s="502"/>
      <c r="W131" s="290"/>
      <c r="X131" s="290"/>
      <c r="Y131" s="326"/>
      <c r="Z131" s="292"/>
      <c r="AA131" s="293">
        <f t="shared" si="80"/>
        <v>0</v>
      </c>
      <c r="AB131" s="294"/>
      <c r="AC131" s="294"/>
      <c r="AD131" s="295"/>
      <c r="AE131" s="296"/>
      <c r="AF131" s="287"/>
      <c r="AG131" s="294" t="s">
        <v>48</v>
      </c>
      <c r="AH131" s="478"/>
      <c r="AI131" s="286" t="s">
        <v>918</v>
      </c>
      <c r="AJ131" s="297">
        <f>VLOOKUP(D131,[1]Hoja1!$G$6:$I$225,3,0)</f>
        <v>213180.72</v>
      </c>
      <c r="AK131" s="298">
        <f t="shared" si="81"/>
        <v>0</v>
      </c>
      <c r="AL131" s="588">
        <f t="shared" ca="1" si="82"/>
        <v>7</v>
      </c>
    </row>
    <row r="132" spans="1:38" s="300" customFormat="1" ht="12" customHeight="1">
      <c r="A132" s="595" t="s">
        <v>1242</v>
      </c>
      <c r="B132" s="278" t="s">
        <v>126</v>
      </c>
      <c r="C132" s="278" t="s">
        <v>1275</v>
      </c>
      <c r="D132" s="260" t="str">
        <f t="shared" si="74"/>
        <v>L0868617</v>
      </c>
      <c r="E132" s="321">
        <v>213180.72</v>
      </c>
      <c r="F132" s="321">
        <v>213180.72</v>
      </c>
      <c r="G132" s="280" t="s">
        <v>158</v>
      </c>
      <c r="H132" s="278" t="s">
        <v>33</v>
      </c>
      <c r="I132" s="281"/>
      <c r="J132" s="311" t="s">
        <v>159</v>
      </c>
      <c r="K132" s="282" t="str">
        <f t="shared" si="75"/>
        <v>30/09/2019</v>
      </c>
      <c r="L132" s="283">
        <f t="shared" si="76"/>
        <v>43761</v>
      </c>
      <c r="M132" s="284">
        <f t="shared" ca="1" si="77"/>
        <v>-16</v>
      </c>
      <c r="N132" s="468">
        <f t="shared" ca="1" si="78"/>
        <v>7</v>
      </c>
      <c r="O132" s="282"/>
      <c r="P132" s="286">
        <f t="shared" si="79"/>
        <v>213180.72</v>
      </c>
      <c r="Q132" s="287"/>
      <c r="R132" s="288"/>
      <c r="S132" s="287"/>
      <c r="T132" s="287"/>
      <c r="U132" s="287" t="s">
        <v>52</v>
      </c>
      <c r="V132" s="502"/>
      <c r="W132" s="290"/>
      <c r="X132" s="290"/>
      <c r="Y132" s="326"/>
      <c r="Z132" s="292"/>
      <c r="AA132" s="293">
        <f t="shared" si="80"/>
        <v>0</v>
      </c>
      <c r="AB132" s="294"/>
      <c r="AC132" s="294"/>
      <c r="AD132" s="295"/>
      <c r="AE132" s="296"/>
      <c r="AF132" s="287"/>
      <c r="AG132" s="294" t="s">
        <v>48</v>
      </c>
      <c r="AH132" s="478"/>
      <c r="AI132" s="286" t="s">
        <v>918</v>
      </c>
      <c r="AJ132" s="297">
        <f>VLOOKUP(D132,[1]Hoja1!$G$6:$I$225,3,0)</f>
        <v>213180.72</v>
      </c>
      <c r="AK132" s="298">
        <f t="shared" si="81"/>
        <v>0</v>
      </c>
      <c r="AL132" s="588">
        <f t="shared" ca="1" si="82"/>
        <v>7</v>
      </c>
    </row>
    <row r="133" spans="1:38" s="300" customFormat="1" ht="12" customHeight="1">
      <c r="A133" s="595" t="s">
        <v>1242</v>
      </c>
      <c r="B133" s="278" t="s">
        <v>126</v>
      </c>
      <c r="C133" s="278" t="s">
        <v>1276</v>
      </c>
      <c r="D133" s="260" t="str">
        <f t="shared" si="74"/>
        <v>L0870757</v>
      </c>
      <c r="E133" s="321">
        <v>213180.72</v>
      </c>
      <c r="F133" s="321">
        <v>213180.72</v>
      </c>
      <c r="G133" s="280" t="s">
        <v>158</v>
      </c>
      <c r="H133" s="278" t="s">
        <v>33</v>
      </c>
      <c r="I133" s="281"/>
      <c r="J133" s="311" t="s">
        <v>159</v>
      </c>
      <c r="K133" s="282" t="str">
        <f t="shared" si="75"/>
        <v>30/09/2019</v>
      </c>
      <c r="L133" s="283">
        <f t="shared" si="76"/>
        <v>43761</v>
      </c>
      <c r="M133" s="284">
        <f t="shared" ca="1" si="77"/>
        <v>-16</v>
      </c>
      <c r="N133" s="468">
        <f t="shared" ca="1" si="78"/>
        <v>7</v>
      </c>
      <c r="O133" s="282"/>
      <c r="P133" s="286">
        <f t="shared" si="79"/>
        <v>213180.72</v>
      </c>
      <c r="Q133" s="287"/>
      <c r="R133" s="288"/>
      <c r="S133" s="287"/>
      <c r="T133" s="287"/>
      <c r="U133" s="287" t="s">
        <v>52</v>
      </c>
      <c r="V133" s="502"/>
      <c r="W133" s="290"/>
      <c r="X133" s="290"/>
      <c r="Y133" s="326"/>
      <c r="Z133" s="292"/>
      <c r="AA133" s="293">
        <f t="shared" si="80"/>
        <v>0</v>
      </c>
      <c r="AB133" s="294"/>
      <c r="AC133" s="294"/>
      <c r="AD133" s="295"/>
      <c r="AE133" s="296"/>
      <c r="AF133" s="287"/>
      <c r="AG133" s="294" t="s">
        <v>48</v>
      </c>
      <c r="AH133" s="478"/>
      <c r="AI133" s="286" t="s">
        <v>918</v>
      </c>
      <c r="AJ133" s="297">
        <f>VLOOKUP(D133,[1]Hoja1!$G$6:$I$225,3,0)</f>
        <v>213180.72</v>
      </c>
      <c r="AK133" s="298">
        <f t="shared" si="81"/>
        <v>0</v>
      </c>
      <c r="AL133" s="588">
        <f t="shared" ca="1" si="82"/>
        <v>7</v>
      </c>
    </row>
    <row r="134" spans="1:38" s="300" customFormat="1" ht="32.25" customHeight="1">
      <c r="A134" s="271" t="s">
        <v>178</v>
      </c>
      <c r="B134" s="271"/>
      <c r="C134" s="271"/>
      <c r="D134" s="271" t="s">
        <v>178</v>
      </c>
      <c r="E134" s="272"/>
      <c r="F134" s="271"/>
      <c r="G134" s="273"/>
      <c r="H134" s="273"/>
      <c r="I134" s="435"/>
      <c r="J134" s="273"/>
      <c r="K134" s="274" t="s">
        <v>178</v>
      </c>
      <c r="L134" s="273"/>
      <c r="M134" s="273"/>
      <c r="N134" s="274"/>
      <c r="O134" s="273"/>
      <c r="P134" s="302" t="s">
        <v>178</v>
      </c>
      <c r="Q134" s="435"/>
      <c r="R134" s="273"/>
      <c r="S134" s="273" t="s">
        <v>178</v>
      </c>
      <c r="T134" s="271"/>
      <c r="U134" s="271" t="s">
        <v>202</v>
      </c>
      <c r="V134" s="274"/>
      <c r="W134" s="271"/>
      <c r="X134" s="271"/>
      <c r="Y134" s="273" t="s">
        <v>178</v>
      </c>
      <c r="Z134" s="275"/>
      <c r="AA134" s="271"/>
      <c r="AB134" s="273"/>
      <c r="AC134" s="273" t="s">
        <v>178</v>
      </c>
      <c r="AD134" s="271"/>
      <c r="AE134" s="273"/>
      <c r="AF134" s="273" t="s">
        <v>178</v>
      </c>
      <c r="AG134" s="271"/>
      <c r="AH134" s="271"/>
      <c r="AI134" s="276" t="s">
        <v>178</v>
      </c>
      <c r="AJ134" s="277"/>
      <c r="AK134" s="277"/>
      <c r="AL134" s="589"/>
    </row>
    <row r="135" spans="1:38" s="528" customFormat="1">
      <c r="A135" s="595">
        <v>43398</v>
      </c>
      <c r="B135" s="528" t="s">
        <v>282</v>
      </c>
      <c r="C135" s="528" t="s">
        <v>281</v>
      </c>
      <c r="D135" s="350" t="str">
        <f>RIGHT(C135,8)</f>
        <v>K7C33146</v>
      </c>
      <c r="E135" s="539">
        <v>941552.84</v>
      </c>
      <c r="F135" s="583">
        <f>941552.84-94155.28-141563.08-140902.78-141000-141000-142000</f>
        <v>140931.69999999995</v>
      </c>
      <c r="G135" s="315" t="s">
        <v>158</v>
      </c>
      <c r="H135" s="322" t="s">
        <v>1007</v>
      </c>
      <c r="I135" s="281" t="s">
        <v>69</v>
      </c>
      <c r="J135" s="316" t="s">
        <v>198</v>
      </c>
      <c r="K135" s="301">
        <f>A135</f>
        <v>43398</v>
      </c>
      <c r="L135" s="283">
        <f>K135+23</f>
        <v>43421</v>
      </c>
      <c r="M135" s="284">
        <f ca="1">$A$1-L135</f>
        <v>324</v>
      </c>
      <c r="N135" s="468">
        <f ca="1">+$A$1-A135</f>
        <v>347</v>
      </c>
      <c r="O135" s="582">
        <v>360</v>
      </c>
      <c r="P135" s="286">
        <f>+F135</f>
        <v>140931.69999999995</v>
      </c>
      <c r="Q135" s="287"/>
      <c r="R135" s="288"/>
      <c r="S135" s="287"/>
      <c r="T135" s="287"/>
      <c r="U135" s="287" t="s">
        <v>52</v>
      </c>
      <c r="V135" s="282"/>
      <c r="W135" s="355"/>
      <c r="X135" s="356"/>
      <c r="Y135" s="326"/>
      <c r="Z135" s="309"/>
      <c r="AA135" s="293">
        <f>+Y135-Z135</f>
        <v>0</v>
      </c>
      <c r="AB135" s="294"/>
      <c r="AC135" s="357"/>
      <c r="AD135" s="282"/>
      <c r="AE135" s="296"/>
      <c r="AF135" s="287"/>
      <c r="AG135" s="294" t="s">
        <v>48</v>
      </c>
      <c r="AH135" s="494"/>
      <c r="AI135" s="286" t="s">
        <v>918</v>
      </c>
      <c r="AJ135" s="297">
        <f>VLOOKUP(D135,[2]Hoja1!$G$6:$I$8,3,0)</f>
        <v>140931.70000000001</v>
      </c>
      <c r="AK135" s="298">
        <f>+AJ135-F135</f>
        <v>0</v>
      </c>
      <c r="AL135" s="588">
        <f ca="1">+$A$1-A135</f>
        <v>347</v>
      </c>
    </row>
    <row r="136" spans="1:38" s="528" customFormat="1">
      <c r="A136" s="595">
        <v>43507</v>
      </c>
      <c r="B136" s="528" t="s">
        <v>164</v>
      </c>
      <c r="C136" s="528" t="s">
        <v>351</v>
      </c>
      <c r="D136" s="350" t="str">
        <f>RIGHT(C136,8)</f>
        <v>KX080901</v>
      </c>
      <c r="E136" s="539">
        <v>431135.44</v>
      </c>
      <c r="F136" s="583">
        <f>431135.44-50000-65000</f>
        <v>316135.44</v>
      </c>
      <c r="G136" s="315" t="s">
        <v>158</v>
      </c>
      <c r="H136" s="322" t="s">
        <v>1007</v>
      </c>
      <c r="I136" s="281" t="s">
        <v>231</v>
      </c>
      <c r="J136" s="316" t="s">
        <v>198</v>
      </c>
      <c r="K136" s="301">
        <f>A136</f>
        <v>43507</v>
      </c>
      <c r="L136" s="283">
        <f>K136+23</f>
        <v>43530</v>
      </c>
      <c r="M136" s="284">
        <f ca="1">$A$1-L136</f>
        <v>215</v>
      </c>
      <c r="N136" s="468">
        <f ca="1">+$A$1-A136</f>
        <v>238</v>
      </c>
      <c r="O136" s="584">
        <v>240</v>
      </c>
      <c r="P136" s="286">
        <f>+F136</f>
        <v>316135.44</v>
      </c>
      <c r="Q136" s="287"/>
      <c r="R136" s="288"/>
      <c r="S136" s="287" t="s">
        <v>1465</v>
      </c>
      <c r="T136" s="287" t="s">
        <v>233</v>
      </c>
      <c r="U136" s="287" t="s">
        <v>34</v>
      </c>
      <c r="V136" s="282" t="s">
        <v>1463</v>
      </c>
      <c r="W136" s="355"/>
      <c r="X136" s="356"/>
      <c r="Y136" s="326">
        <v>436293.53</v>
      </c>
      <c r="Z136" s="326">
        <v>436293.53</v>
      </c>
      <c r="AA136" s="293">
        <f>+Y136-Z136</f>
        <v>0</v>
      </c>
      <c r="AB136" s="294" t="s">
        <v>197</v>
      </c>
      <c r="AC136" s="357" t="s">
        <v>1474</v>
      </c>
      <c r="AD136" s="282">
        <v>43741</v>
      </c>
      <c r="AE136" s="296"/>
      <c r="AF136" s="287" t="s">
        <v>261</v>
      </c>
      <c r="AG136" s="294" t="s">
        <v>82</v>
      </c>
      <c r="AH136" s="494"/>
      <c r="AI136" s="286" t="s">
        <v>918</v>
      </c>
      <c r="AJ136" s="297">
        <f>VLOOKUP(D136,[2]Hoja1!$G$6:$I$8,3,0)</f>
        <v>316135.44</v>
      </c>
      <c r="AK136" s="298">
        <f>+AJ136-F136</f>
        <v>0</v>
      </c>
      <c r="AL136" s="588">
        <f ca="1">+$A$1-A136</f>
        <v>238</v>
      </c>
    </row>
    <row r="137" spans="1:38" s="528" customFormat="1">
      <c r="A137" s="528" t="s">
        <v>566</v>
      </c>
      <c r="B137" s="528" t="s">
        <v>430</v>
      </c>
      <c r="C137" s="528" t="s">
        <v>570</v>
      </c>
      <c r="D137" s="350" t="str">
        <f>RIGHT(C137,8)</f>
        <v>K7C56784</v>
      </c>
      <c r="E137" s="539">
        <v>1514313.28</v>
      </c>
      <c r="F137" s="314">
        <v>1514313.28</v>
      </c>
      <c r="G137" s="315" t="s">
        <v>158</v>
      </c>
      <c r="H137" s="278" t="s">
        <v>33</v>
      </c>
      <c r="I137" s="281" t="s">
        <v>69</v>
      </c>
      <c r="J137" s="316" t="s">
        <v>198</v>
      </c>
      <c r="K137" s="301" t="str">
        <f>A137</f>
        <v>17/06/2019</v>
      </c>
      <c r="L137" s="283">
        <f>K137+23</f>
        <v>43656</v>
      </c>
      <c r="M137" s="284">
        <f ca="1">$A$1-L137</f>
        <v>89</v>
      </c>
      <c r="N137" s="468">
        <f ca="1">+$A$1-A137</f>
        <v>112</v>
      </c>
      <c r="O137" s="286"/>
      <c r="P137" s="286">
        <f>+F137</f>
        <v>1514313.28</v>
      </c>
      <c r="Q137" s="287"/>
      <c r="R137" s="288"/>
      <c r="S137" s="287"/>
      <c r="T137" s="287"/>
      <c r="U137" s="287" t="s">
        <v>52</v>
      </c>
      <c r="V137" s="282"/>
      <c r="W137" s="355"/>
      <c r="X137" s="356"/>
      <c r="Y137" s="326"/>
      <c r="Z137" s="309"/>
      <c r="AA137" s="293">
        <f>+Y137-Z137</f>
        <v>0</v>
      </c>
      <c r="AB137" s="294"/>
      <c r="AC137" s="357"/>
      <c r="AD137" s="282"/>
      <c r="AE137" s="296"/>
      <c r="AF137" s="287"/>
      <c r="AG137" s="294" t="s">
        <v>48</v>
      </c>
      <c r="AH137" s="494"/>
      <c r="AI137" s="286" t="s">
        <v>918</v>
      </c>
      <c r="AJ137" s="297">
        <f>VLOOKUP(D137,[2]Hoja1!$G$6:$I$8,3,0)</f>
        <v>1514313.28</v>
      </c>
      <c r="AK137" s="298">
        <f>+AJ137-F137</f>
        <v>0</v>
      </c>
      <c r="AL137" s="588">
        <f ca="1">+$A$1-A137</f>
        <v>112</v>
      </c>
    </row>
    <row r="138" spans="1:38" s="300" customFormat="1" ht="32.25" customHeight="1">
      <c r="A138" s="271" t="s">
        <v>184</v>
      </c>
      <c r="B138" s="271"/>
      <c r="C138" s="271"/>
      <c r="D138" s="271" t="s">
        <v>184</v>
      </c>
      <c r="E138" s="272"/>
      <c r="F138" s="271"/>
      <c r="G138" s="273"/>
      <c r="H138" s="273"/>
      <c r="I138" s="435"/>
      <c r="J138" s="273"/>
      <c r="K138" s="274"/>
      <c r="L138" s="273"/>
      <c r="M138" s="273"/>
      <c r="N138" s="274"/>
      <c r="O138" s="273"/>
      <c r="P138" s="302"/>
      <c r="Q138" s="435"/>
      <c r="R138" s="273"/>
      <c r="S138" s="273"/>
      <c r="T138" s="271"/>
      <c r="U138" s="271" t="s">
        <v>202</v>
      </c>
      <c r="V138" s="274"/>
      <c r="W138" s="271"/>
      <c r="X138" s="271"/>
      <c r="Y138" s="273"/>
      <c r="Z138" s="275" t="s">
        <v>184</v>
      </c>
      <c r="AA138" s="271"/>
      <c r="AB138" s="273"/>
      <c r="AC138" s="273"/>
      <c r="AD138" s="271" t="s">
        <v>184</v>
      </c>
      <c r="AE138" s="273"/>
      <c r="AF138" s="273" t="s">
        <v>129</v>
      </c>
      <c r="AG138" s="271"/>
      <c r="AH138" s="271"/>
      <c r="AI138" s="276"/>
      <c r="AJ138" s="277"/>
      <c r="AK138" s="277"/>
      <c r="AL138" s="589"/>
    </row>
    <row r="139" spans="1:38" s="528" customFormat="1">
      <c r="A139" s="528" t="s">
        <v>316</v>
      </c>
      <c r="B139" s="528" t="s">
        <v>319</v>
      </c>
      <c r="C139" s="528" t="s">
        <v>320</v>
      </c>
      <c r="D139" s="350" t="str">
        <f>+RIGHT(C139,8)</f>
        <v>HR242907</v>
      </c>
      <c r="E139" s="539">
        <v>229280</v>
      </c>
      <c r="F139" s="583">
        <f>229280-114640</f>
        <v>114640</v>
      </c>
      <c r="G139" s="315" t="s">
        <v>158</v>
      </c>
      <c r="H139" s="322" t="s">
        <v>1007</v>
      </c>
      <c r="I139" s="281" t="s">
        <v>80</v>
      </c>
      <c r="J139" s="316" t="s">
        <v>170</v>
      </c>
      <c r="K139" s="301">
        <v>43627</v>
      </c>
      <c r="L139" s="283">
        <f t="shared" ref="L139:L158" si="83">K139+23</f>
        <v>43650</v>
      </c>
      <c r="M139" s="284">
        <f t="shared" ref="M139:M158" ca="1" si="84">$A$1-L139</f>
        <v>95</v>
      </c>
      <c r="N139" s="468">
        <f t="shared" ref="N139:N158" ca="1" si="85">+$A$1-K139</f>
        <v>118</v>
      </c>
      <c r="O139" s="584"/>
      <c r="P139" s="286">
        <f t="shared" ref="P139:P158" si="86">+F139</f>
        <v>114640</v>
      </c>
      <c r="Q139" s="287"/>
      <c r="R139" s="288"/>
      <c r="S139" s="287"/>
      <c r="T139" s="287"/>
      <c r="U139" s="287" t="s">
        <v>52</v>
      </c>
      <c r="V139" s="282"/>
      <c r="W139" s="355"/>
      <c r="X139" s="356"/>
      <c r="Y139" s="326"/>
      <c r="Z139" s="309"/>
      <c r="AA139" s="293">
        <f t="shared" ref="AA139:AA158" si="87">+Y139-Z139</f>
        <v>0</v>
      </c>
      <c r="AB139" s="294"/>
      <c r="AC139" s="357"/>
      <c r="AD139" s="282"/>
      <c r="AE139" s="296"/>
      <c r="AF139" s="287"/>
      <c r="AG139" s="294" t="s">
        <v>48</v>
      </c>
      <c r="AH139" s="494"/>
      <c r="AI139" s="286" t="s">
        <v>918</v>
      </c>
      <c r="AJ139" s="297">
        <f>VLOOKUP(D139,[1]Hoja1!$G$6:$I$225,3,0)</f>
        <v>114640</v>
      </c>
      <c r="AK139" s="298">
        <f t="shared" ref="AK139:AK158" si="88">+AJ139-F139</f>
        <v>0</v>
      </c>
      <c r="AL139" s="588"/>
    </row>
    <row r="140" spans="1:38" s="528" customFormat="1">
      <c r="A140" s="528" t="s">
        <v>378</v>
      </c>
      <c r="B140" s="528" t="s">
        <v>388</v>
      </c>
      <c r="C140" s="528" t="s">
        <v>390</v>
      </c>
      <c r="D140" s="350" t="str">
        <f>+RIGHT(C140,8)</f>
        <v>FM279550</v>
      </c>
      <c r="E140" s="539">
        <v>120800</v>
      </c>
      <c r="F140" s="583">
        <f>120800-60400</f>
        <v>60400</v>
      </c>
      <c r="G140" s="315" t="s">
        <v>158</v>
      </c>
      <c r="H140" s="322" t="s">
        <v>1007</v>
      </c>
      <c r="I140" s="281" t="s">
        <v>44</v>
      </c>
      <c r="J140" s="316" t="s">
        <v>170</v>
      </c>
      <c r="K140" s="301">
        <v>43627</v>
      </c>
      <c r="L140" s="283">
        <f t="shared" si="83"/>
        <v>43650</v>
      </c>
      <c r="M140" s="284">
        <f t="shared" ca="1" si="84"/>
        <v>95</v>
      </c>
      <c r="N140" s="468">
        <f t="shared" ca="1" si="85"/>
        <v>118</v>
      </c>
      <c r="O140" s="584"/>
      <c r="P140" s="286">
        <f t="shared" si="86"/>
        <v>60400</v>
      </c>
      <c r="Q140" s="287"/>
      <c r="R140" s="288"/>
      <c r="S140" s="287"/>
      <c r="T140" s="287"/>
      <c r="U140" s="287" t="s">
        <v>52</v>
      </c>
      <c r="V140" s="282"/>
      <c r="W140" s="355"/>
      <c r="X140" s="356"/>
      <c r="Y140" s="326"/>
      <c r="Z140" s="309"/>
      <c r="AA140" s="293">
        <f t="shared" si="87"/>
        <v>0</v>
      </c>
      <c r="AB140" s="294"/>
      <c r="AC140" s="357"/>
      <c r="AD140" s="282"/>
      <c r="AE140" s="296"/>
      <c r="AF140" s="287"/>
      <c r="AG140" s="294" t="s">
        <v>48</v>
      </c>
      <c r="AH140" s="494"/>
      <c r="AI140" s="286" t="s">
        <v>918</v>
      </c>
      <c r="AJ140" s="297">
        <f>VLOOKUP(D140,[1]Hoja1!$G$6:$I$225,3,0)</f>
        <v>60400</v>
      </c>
      <c r="AK140" s="298">
        <f t="shared" si="88"/>
        <v>0</v>
      </c>
      <c r="AL140" s="588"/>
    </row>
    <row r="141" spans="1:38" s="528" customFormat="1">
      <c r="A141" s="528" t="s">
        <v>438</v>
      </c>
      <c r="B141" s="528" t="s">
        <v>443</v>
      </c>
      <c r="C141" s="528" t="s">
        <v>442</v>
      </c>
      <c r="D141" s="350" t="str">
        <f>+RIGHT(C141,8)</f>
        <v>JE001920</v>
      </c>
      <c r="E141" s="539">
        <v>162560</v>
      </c>
      <c r="F141" s="583">
        <f>162560-81280</f>
        <v>81280</v>
      </c>
      <c r="G141" s="315" t="s">
        <v>158</v>
      </c>
      <c r="H141" s="322" t="s">
        <v>1007</v>
      </c>
      <c r="I141" s="281" t="s">
        <v>80</v>
      </c>
      <c r="J141" s="316" t="s">
        <v>170</v>
      </c>
      <c r="K141" s="301">
        <v>43627</v>
      </c>
      <c r="L141" s="283">
        <f t="shared" si="83"/>
        <v>43650</v>
      </c>
      <c r="M141" s="284">
        <f t="shared" ca="1" si="84"/>
        <v>95</v>
      </c>
      <c r="N141" s="468">
        <f t="shared" ca="1" si="85"/>
        <v>118</v>
      </c>
      <c r="O141" s="584"/>
      <c r="P141" s="286">
        <f t="shared" si="86"/>
        <v>81280</v>
      </c>
      <c r="Q141" s="287"/>
      <c r="R141" s="288"/>
      <c r="S141" s="287"/>
      <c r="T141" s="287"/>
      <c r="U141" s="287" t="s">
        <v>52</v>
      </c>
      <c r="V141" s="282"/>
      <c r="W141" s="355"/>
      <c r="X141" s="356"/>
      <c r="Y141" s="326"/>
      <c r="Z141" s="309"/>
      <c r="AA141" s="293">
        <f t="shared" si="87"/>
        <v>0</v>
      </c>
      <c r="AB141" s="294"/>
      <c r="AC141" s="357"/>
      <c r="AD141" s="282"/>
      <c r="AE141" s="296"/>
      <c r="AF141" s="287"/>
      <c r="AG141" s="294" t="s">
        <v>48</v>
      </c>
      <c r="AH141" s="494"/>
      <c r="AI141" s="286" t="s">
        <v>918</v>
      </c>
      <c r="AJ141" s="297">
        <f>VLOOKUP(D141,[1]Hoja1!$G$6:$I$225,3,0)</f>
        <v>81280</v>
      </c>
      <c r="AK141" s="298">
        <f t="shared" si="88"/>
        <v>0</v>
      </c>
      <c r="AL141" s="588"/>
    </row>
    <row r="142" spans="1:38" s="528" customFormat="1">
      <c r="A142" s="528" t="s">
        <v>402</v>
      </c>
      <c r="B142" s="528" t="s">
        <v>410</v>
      </c>
      <c r="C142" s="528" t="s">
        <v>411</v>
      </c>
      <c r="D142" s="350" t="str">
        <f>+RIGHT(C142,8)</f>
        <v>JT328554</v>
      </c>
      <c r="E142" s="539">
        <v>249200</v>
      </c>
      <c r="F142" s="583">
        <f>249200-124600</f>
        <v>124600</v>
      </c>
      <c r="G142" s="315" t="s">
        <v>158</v>
      </c>
      <c r="H142" s="322" t="s">
        <v>1007</v>
      </c>
      <c r="I142" s="281" t="s">
        <v>55</v>
      </c>
      <c r="J142" s="316" t="s">
        <v>170</v>
      </c>
      <c r="K142" s="301">
        <v>43627</v>
      </c>
      <c r="L142" s="283">
        <f t="shared" si="83"/>
        <v>43650</v>
      </c>
      <c r="M142" s="284">
        <f t="shared" ca="1" si="84"/>
        <v>95</v>
      </c>
      <c r="N142" s="468">
        <f t="shared" ca="1" si="85"/>
        <v>118</v>
      </c>
      <c r="O142" s="584"/>
      <c r="P142" s="286">
        <f t="shared" si="86"/>
        <v>124600</v>
      </c>
      <c r="Q142" s="287"/>
      <c r="R142" s="529"/>
      <c r="U142" s="287" t="s">
        <v>52</v>
      </c>
      <c r="V142" s="530"/>
      <c r="Y142" s="531"/>
      <c r="Z142" s="531"/>
      <c r="AA142" s="293">
        <f t="shared" si="87"/>
        <v>0</v>
      </c>
      <c r="AE142" s="532"/>
      <c r="AG142" s="294" t="s">
        <v>48</v>
      </c>
      <c r="AH142" s="478"/>
      <c r="AI142" s="286" t="s">
        <v>918</v>
      </c>
      <c r="AJ142" s="297">
        <f>VLOOKUP(D142,[1]Hoja1!$G$6:$I$225,3,0)</f>
        <v>124600</v>
      </c>
      <c r="AK142" s="298">
        <f t="shared" si="88"/>
        <v>0</v>
      </c>
      <c r="AL142" s="588"/>
    </row>
    <row r="143" spans="1:38" s="528" customFormat="1">
      <c r="A143" s="528" t="s">
        <v>459</v>
      </c>
      <c r="B143" s="528" t="s">
        <v>494</v>
      </c>
      <c r="C143" s="528" t="s">
        <v>495</v>
      </c>
      <c r="D143" s="350" t="str">
        <f>+RIGHT(C143,8)</f>
        <v>GN760112</v>
      </c>
      <c r="E143" s="539">
        <v>238080</v>
      </c>
      <c r="F143" s="583">
        <f>238080-119040</f>
        <v>119040</v>
      </c>
      <c r="G143" s="315" t="s">
        <v>158</v>
      </c>
      <c r="H143" s="322" t="s">
        <v>1007</v>
      </c>
      <c r="I143" s="281" t="s">
        <v>55</v>
      </c>
      <c r="J143" s="316" t="s">
        <v>170</v>
      </c>
      <c r="K143" s="301">
        <v>43627</v>
      </c>
      <c r="L143" s="283">
        <f t="shared" si="83"/>
        <v>43650</v>
      </c>
      <c r="M143" s="284">
        <f t="shared" ca="1" si="84"/>
        <v>95</v>
      </c>
      <c r="N143" s="468">
        <f t="shared" ca="1" si="85"/>
        <v>118</v>
      </c>
      <c r="O143" s="584"/>
      <c r="P143" s="286">
        <f t="shared" si="86"/>
        <v>119040</v>
      </c>
      <c r="Q143" s="287"/>
      <c r="R143" s="288"/>
      <c r="S143" s="287"/>
      <c r="T143" s="287"/>
      <c r="U143" s="287" t="s">
        <v>52</v>
      </c>
      <c r="V143" s="282"/>
      <c r="W143" s="355"/>
      <c r="X143" s="356"/>
      <c r="Y143" s="326"/>
      <c r="Z143" s="309"/>
      <c r="AA143" s="293">
        <f t="shared" si="87"/>
        <v>0</v>
      </c>
      <c r="AB143" s="294"/>
      <c r="AC143" s="357"/>
      <c r="AD143" s="282"/>
      <c r="AE143" s="296"/>
      <c r="AF143" s="287"/>
      <c r="AG143" s="294" t="s">
        <v>48</v>
      </c>
      <c r="AH143" s="478"/>
      <c r="AI143" s="286" t="s">
        <v>918</v>
      </c>
      <c r="AJ143" s="297">
        <f>VLOOKUP(D143,[1]Hoja1!$G$6:$I$225,3,0)</f>
        <v>119040</v>
      </c>
      <c r="AK143" s="298">
        <f t="shared" si="88"/>
        <v>0</v>
      </c>
      <c r="AL143" s="588"/>
    </row>
    <row r="144" spans="1:38" s="528" customFormat="1">
      <c r="A144" s="528" t="s">
        <v>306</v>
      </c>
      <c r="B144" s="528" t="s">
        <v>310</v>
      </c>
      <c r="C144" s="528" t="s">
        <v>311</v>
      </c>
      <c r="D144" s="350" t="s">
        <v>421</v>
      </c>
      <c r="E144" s="539">
        <v>161120</v>
      </c>
      <c r="F144" s="314">
        <v>161120</v>
      </c>
      <c r="G144" s="315" t="s">
        <v>158</v>
      </c>
      <c r="H144" s="278" t="s">
        <v>33</v>
      </c>
      <c r="I144" s="281" t="s">
        <v>55</v>
      </c>
      <c r="J144" s="316" t="s">
        <v>170</v>
      </c>
      <c r="K144" s="301">
        <v>43658</v>
      </c>
      <c r="L144" s="283">
        <f t="shared" si="83"/>
        <v>43681</v>
      </c>
      <c r="M144" s="284">
        <f t="shared" ca="1" si="84"/>
        <v>64</v>
      </c>
      <c r="N144" s="468">
        <f t="shared" ca="1" si="85"/>
        <v>87</v>
      </c>
      <c r="O144" s="286"/>
      <c r="P144" s="286">
        <f t="shared" si="86"/>
        <v>161120</v>
      </c>
      <c r="Q144" s="287"/>
      <c r="R144" s="288"/>
      <c r="S144" s="287"/>
      <c r="T144" s="287"/>
      <c r="U144" s="287" t="s">
        <v>52</v>
      </c>
      <c r="V144" s="282"/>
      <c r="W144" s="355"/>
      <c r="X144" s="356"/>
      <c r="Y144" s="326"/>
      <c r="Z144" s="309"/>
      <c r="AA144" s="293">
        <f t="shared" si="87"/>
        <v>0</v>
      </c>
      <c r="AB144" s="294"/>
      <c r="AC144" s="357"/>
      <c r="AD144" s="282"/>
      <c r="AE144" s="296"/>
      <c r="AF144" s="287"/>
      <c r="AG144" s="294" t="s">
        <v>48</v>
      </c>
      <c r="AH144" s="494"/>
      <c r="AI144" s="286" t="s">
        <v>918</v>
      </c>
      <c r="AJ144" s="297">
        <f>VLOOKUP(D144,[1]Hoja1!$G$6:$I$225,3,0)</f>
        <v>161120</v>
      </c>
      <c r="AK144" s="298">
        <f t="shared" si="88"/>
        <v>0</v>
      </c>
      <c r="AL144" s="588"/>
    </row>
    <row r="145" spans="1:38" s="528" customFormat="1">
      <c r="A145" s="528" t="s">
        <v>409</v>
      </c>
      <c r="B145" s="528" t="s">
        <v>385</v>
      </c>
      <c r="C145" s="528" t="s">
        <v>412</v>
      </c>
      <c r="D145" s="350" t="s">
        <v>434</v>
      </c>
      <c r="E145" s="539">
        <v>185600</v>
      </c>
      <c r="F145" s="314">
        <v>185600</v>
      </c>
      <c r="G145" s="315" t="s">
        <v>158</v>
      </c>
      <c r="H145" s="278" t="s">
        <v>33</v>
      </c>
      <c r="I145" s="281" t="s">
        <v>44</v>
      </c>
      <c r="J145" s="316" t="s">
        <v>170</v>
      </c>
      <c r="K145" s="301">
        <v>43658</v>
      </c>
      <c r="L145" s="283">
        <f t="shared" si="83"/>
        <v>43681</v>
      </c>
      <c r="M145" s="284">
        <f t="shared" ca="1" si="84"/>
        <v>64</v>
      </c>
      <c r="N145" s="468">
        <f t="shared" ca="1" si="85"/>
        <v>87</v>
      </c>
      <c r="O145" s="286"/>
      <c r="P145" s="286">
        <f t="shared" si="86"/>
        <v>185600</v>
      </c>
      <c r="Q145" s="287"/>
      <c r="R145" s="288"/>
      <c r="S145" s="287"/>
      <c r="T145" s="287"/>
      <c r="U145" s="287" t="s">
        <v>52</v>
      </c>
      <c r="V145" s="282"/>
      <c r="W145" s="355"/>
      <c r="X145" s="356"/>
      <c r="Y145" s="326"/>
      <c r="Z145" s="309"/>
      <c r="AA145" s="293">
        <f t="shared" si="87"/>
        <v>0</v>
      </c>
      <c r="AB145" s="294"/>
      <c r="AC145" s="357"/>
      <c r="AD145" s="282"/>
      <c r="AE145" s="296"/>
      <c r="AF145" s="287"/>
      <c r="AG145" s="294" t="s">
        <v>48</v>
      </c>
      <c r="AH145" s="478"/>
      <c r="AI145" s="286" t="s">
        <v>918</v>
      </c>
      <c r="AJ145" s="297">
        <f>VLOOKUP(D145,[1]Hoja1!$G$6:$I$225,3,0)</f>
        <v>185600</v>
      </c>
      <c r="AK145" s="298">
        <f t="shared" si="88"/>
        <v>0</v>
      </c>
      <c r="AL145" s="588"/>
    </row>
    <row r="146" spans="1:38" s="528" customFormat="1">
      <c r="A146" s="528" t="s">
        <v>507</v>
      </c>
      <c r="B146" s="528" t="s">
        <v>557</v>
      </c>
      <c r="C146" s="528" t="s">
        <v>558</v>
      </c>
      <c r="D146" s="350" t="str">
        <f t="shared" ref="D146:D168" si="89">+RIGHT(C146,8)</f>
        <v>JD126442</v>
      </c>
      <c r="E146" s="539">
        <v>105520</v>
      </c>
      <c r="F146" s="314">
        <v>105520</v>
      </c>
      <c r="G146" s="315" t="s">
        <v>158</v>
      </c>
      <c r="H146" s="278" t="s">
        <v>33</v>
      </c>
      <c r="I146" s="281" t="s">
        <v>1015</v>
      </c>
      <c r="J146" s="316" t="s">
        <v>170</v>
      </c>
      <c r="K146" s="301">
        <v>43658</v>
      </c>
      <c r="L146" s="283">
        <f t="shared" si="83"/>
        <v>43681</v>
      </c>
      <c r="M146" s="284">
        <f t="shared" ca="1" si="84"/>
        <v>64</v>
      </c>
      <c r="N146" s="468">
        <f t="shared" ca="1" si="85"/>
        <v>87</v>
      </c>
      <c r="O146" s="286"/>
      <c r="P146" s="286">
        <f t="shared" si="86"/>
        <v>105520</v>
      </c>
      <c r="Q146" s="287"/>
      <c r="R146" s="288"/>
      <c r="S146" s="287" t="s">
        <v>1309</v>
      </c>
      <c r="T146" s="287" t="s">
        <v>41</v>
      </c>
      <c r="U146" s="287" t="s">
        <v>31</v>
      </c>
      <c r="V146" s="282">
        <v>43738</v>
      </c>
      <c r="W146" s="355"/>
      <c r="X146" s="356"/>
      <c r="Y146" s="326">
        <v>145000</v>
      </c>
      <c r="Z146" s="309"/>
      <c r="AA146" s="293">
        <f t="shared" si="87"/>
        <v>145000</v>
      </c>
      <c r="AB146" s="294"/>
      <c r="AC146" s="357"/>
      <c r="AD146" s="282"/>
      <c r="AE146" s="296"/>
      <c r="AF146" s="287" t="s">
        <v>1310</v>
      </c>
      <c r="AG146" s="294" t="s">
        <v>48</v>
      </c>
      <c r="AH146" s="478"/>
      <c r="AI146" s="286" t="s">
        <v>918</v>
      </c>
      <c r="AJ146" s="297">
        <f>VLOOKUP(D146,[1]Hoja1!$G$6:$I$225,3,0)</f>
        <v>105520</v>
      </c>
      <c r="AK146" s="298">
        <f t="shared" si="88"/>
        <v>0</v>
      </c>
      <c r="AL146" s="588"/>
    </row>
    <row r="147" spans="1:38" s="528" customFormat="1">
      <c r="A147" s="528" t="s">
        <v>509</v>
      </c>
      <c r="B147" s="528" t="s">
        <v>561</v>
      </c>
      <c r="C147" s="528" t="s">
        <v>562</v>
      </c>
      <c r="D147" s="350" t="str">
        <f t="shared" si="89"/>
        <v>FC816080</v>
      </c>
      <c r="E147" s="539">
        <v>232000</v>
      </c>
      <c r="F147" s="314">
        <v>232000</v>
      </c>
      <c r="G147" s="315" t="s">
        <v>158</v>
      </c>
      <c r="H147" s="278" t="s">
        <v>33</v>
      </c>
      <c r="I147" s="281" t="s">
        <v>80</v>
      </c>
      <c r="J147" s="316" t="s">
        <v>170</v>
      </c>
      <c r="K147" s="301">
        <v>43658</v>
      </c>
      <c r="L147" s="283">
        <f t="shared" si="83"/>
        <v>43681</v>
      </c>
      <c r="M147" s="284">
        <f t="shared" ca="1" si="84"/>
        <v>64</v>
      </c>
      <c r="N147" s="468">
        <f t="shared" ca="1" si="85"/>
        <v>87</v>
      </c>
      <c r="O147" s="286"/>
      <c r="P147" s="286">
        <f t="shared" si="86"/>
        <v>232000</v>
      </c>
      <c r="Q147" s="287"/>
      <c r="R147" s="288"/>
      <c r="S147" s="287"/>
      <c r="T147" s="287"/>
      <c r="U147" s="287" t="s">
        <v>52</v>
      </c>
      <c r="V147" s="282"/>
      <c r="W147" s="355"/>
      <c r="X147" s="356"/>
      <c r="Y147" s="326"/>
      <c r="Z147" s="309"/>
      <c r="AA147" s="293">
        <f t="shared" si="87"/>
        <v>0</v>
      </c>
      <c r="AB147" s="294"/>
      <c r="AC147" s="357"/>
      <c r="AD147" s="282"/>
      <c r="AE147" s="296"/>
      <c r="AF147" s="287"/>
      <c r="AG147" s="294" t="s">
        <v>48</v>
      </c>
      <c r="AH147" s="478"/>
      <c r="AI147" s="286" t="s">
        <v>918</v>
      </c>
      <c r="AJ147" s="297">
        <f>VLOOKUP(D147,[1]Hoja1!$G$6:$I$225,3,0)</f>
        <v>232000</v>
      </c>
      <c r="AK147" s="298">
        <f t="shared" si="88"/>
        <v>0</v>
      </c>
      <c r="AL147" s="588"/>
    </row>
    <row r="148" spans="1:38" s="528" customFormat="1">
      <c r="A148" s="528" t="s">
        <v>602</v>
      </c>
      <c r="B148" s="528" t="s">
        <v>632</v>
      </c>
      <c r="C148" s="528" t="s">
        <v>633</v>
      </c>
      <c r="D148" s="350" t="str">
        <f t="shared" si="89"/>
        <v>GX047828</v>
      </c>
      <c r="E148" s="351">
        <v>168480</v>
      </c>
      <c r="F148" s="351">
        <v>168480</v>
      </c>
      <c r="G148" s="315" t="s">
        <v>158</v>
      </c>
      <c r="H148" s="278" t="s">
        <v>33</v>
      </c>
      <c r="I148" s="281" t="s">
        <v>80</v>
      </c>
      <c r="J148" s="316" t="s">
        <v>170</v>
      </c>
      <c r="K148" s="542">
        <v>43706</v>
      </c>
      <c r="L148" s="283">
        <f t="shared" si="83"/>
        <v>43729</v>
      </c>
      <c r="M148" s="284">
        <f t="shared" ca="1" si="84"/>
        <v>16</v>
      </c>
      <c r="N148" s="468">
        <f t="shared" ca="1" si="85"/>
        <v>39</v>
      </c>
      <c r="O148" s="286"/>
      <c r="P148" s="286">
        <f t="shared" si="86"/>
        <v>168480</v>
      </c>
      <c r="Q148" s="287"/>
      <c r="R148" s="288"/>
      <c r="S148" s="287"/>
      <c r="T148" s="287"/>
      <c r="U148" s="287" t="s">
        <v>52</v>
      </c>
      <c r="V148" s="282"/>
      <c r="W148" s="355"/>
      <c r="X148" s="356"/>
      <c r="Y148" s="326"/>
      <c r="Z148" s="309"/>
      <c r="AA148" s="293">
        <f t="shared" si="87"/>
        <v>0</v>
      </c>
      <c r="AB148" s="294"/>
      <c r="AC148" s="357"/>
      <c r="AD148" s="282"/>
      <c r="AE148" s="296"/>
      <c r="AF148" s="287"/>
      <c r="AG148" s="294" t="s">
        <v>48</v>
      </c>
      <c r="AH148" s="478"/>
      <c r="AI148" s="286" t="s">
        <v>918</v>
      </c>
      <c r="AJ148" s="297">
        <f>VLOOKUP(D148,[1]Hoja1!$G$6:$I$225,3,0)</f>
        <v>168480</v>
      </c>
      <c r="AK148" s="298">
        <f t="shared" si="88"/>
        <v>0</v>
      </c>
      <c r="AL148" s="588"/>
    </row>
    <row r="149" spans="1:38" s="528" customFormat="1">
      <c r="A149" s="528" t="s">
        <v>654</v>
      </c>
      <c r="B149" s="528" t="s">
        <v>655</v>
      </c>
      <c r="C149" s="528" t="s">
        <v>656</v>
      </c>
      <c r="D149" s="350" t="str">
        <f t="shared" si="89"/>
        <v>GD681780</v>
      </c>
      <c r="E149" s="351">
        <v>176720</v>
      </c>
      <c r="F149" s="351">
        <v>176720</v>
      </c>
      <c r="G149" s="315" t="s">
        <v>158</v>
      </c>
      <c r="H149" s="278" t="s">
        <v>33</v>
      </c>
      <c r="I149" s="281" t="s">
        <v>80</v>
      </c>
      <c r="J149" s="316" t="s">
        <v>170</v>
      </c>
      <c r="K149" s="542">
        <v>43706</v>
      </c>
      <c r="L149" s="283">
        <f t="shared" si="83"/>
        <v>43729</v>
      </c>
      <c r="M149" s="284">
        <f t="shared" ca="1" si="84"/>
        <v>16</v>
      </c>
      <c r="N149" s="468">
        <f t="shared" ca="1" si="85"/>
        <v>39</v>
      </c>
      <c r="O149" s="286"/>
      <c r="P149" s="286">
        <f t="shared" si="86"/>
        <v>176720</v>
      </c>
      <c r="Q149" s="287"/>
      <c r="R149" s="288"/>
      <c r="S149" s="287" t="s">
        <v>1170</v>
      </c>
      <c r="T149" s="287" t="s">
        <v>1171</v>
      </c>
      <c r="U149" s="287" t="s">
        <v>40</v>
      </c>
      <c r="V149" s="282" t="s">
        <v>1169</v>
      </c>
      <c r="W149" s="355"/>
      <c r="X149" s="356"/>
      <c r="Y149" s="326">
        <v>245000</v>
      </c>
      <c r="Z149" s="309">
        <f>2000+63859.74+179140.26</f>
        <v>245000</v>
      </c>
      <c r="AA149" s="293">
        <f t="shared" si="87"/>
        <v>0</v>
      </c>
      <c r="AB149" s="294" t="s">
        <v>197</v>
      </c>
      <c r="AC149" s="357" t="s">
        <v>1475</v>
      </c>
      <c r="AD149" s="282" t="s">
        <v>1476</v>
      </c>
      <c r="AE149" s="296"/>
      <c r="AF149" s="287" t="s">
        <v>1136</v>
      </c>
      <c r="AG149" s="294" t="s">
        <v>82</v>
      </c>
      <c r="AH149" s="478"/>
      <c r="AI149" s="286" t="s">
        <v>918</v>
      </c>
      <c r="AJ149" s="297">
        <f>VLOOKUP(D149,[1]Hoja1!$G$6:$I$225,3,0)</f>
        <v>176720</v>
      </c>
      <c r="AK149" s="298">
        <f t="shared" si="88"/>
        <v>0</v>
      </c>
      <c r="AL149" s="588"/>
    </row>
    <row r="150" spans="1:38" s="528" customFormat="1">
      <c r="A150" s="528" t="s">
        <v>678</v>
      </c>
      <c r="B150" s="528" t="s">
        <v>691</v>
      </c>
      <c r="C150" s="528" t="s">
        <v>692</v>
      </c>
      <c r="D150" s="350" t="str">
        <f t="shared" si="89"/>
        <v>FC807585</v>
      </c>
      <c r="E150" s="351">
        <v>348000</v>
      </c>
      <c r="F150" s="351">
        <v>348000</v>
      </c>
      <c r="G150" s="315" t="s">
        <v>158</v>
      </c>
      <c r="H150" s="278" t="s">
        <v>33</v>
      </c>
      <c r="I150" s="281" t="s">
        <v>80</v>
      </c>
      <c r="J150" s="316" t="s">
        <v>170</v>
      </c>
      <c r="K150" s="542">
        <v>43706</v>
      </c>
      <c r="L150" s="283">
        <f t="shared" si="83"/>
        <v>43729</v>
      </c>
      <c r="M150" s="284">
        <f t="shared" ca="1" si="84"/>
        <v>16</v>
      </c>
      <c r="N150" s="468">
        <f t="shared" ca="1" si="85"/>
        <v>39</v>
      </c>
      <c r="O150" s="286"/>
      <c r="P150" s="286">
        <f t="shared" si="86"/>
        <v>348000</v>
      </c>
      <c r="Q150" s="287"/>
      <c r="R150" s="288"/>
      <c r="S150" s="287"/>
      <c r="T150" s="287"/>
      <c r="U150" s="287" t="s">
        <v>52</v>
      </c>
      <c r="V150" s="282"/>
      <c r="W150" s="355"/>
      <c r="X150" s="356"/>
      <c r="Y150" s="326"/>
      <c r="Z150" s="309"/>
      <c r="AA150" s="293">
        <f t="shared" si="87"/>
        <v>0</v>
      </c>
      <c r="AB150" s="294"/>
      <c r="AC150" s="357"/>
      <c r="AD150" s="282"/>
      <c r="AE150" s="296"/>
      <c r="AF150" s="287"/>
      <c r="AG150" s="294" t="s">
        <v>48</v>
      </c>
      <c r="AH150" s="478"/>
      <c r="AI150" s="286" t="s">
        <v>918</v>
      </c>
      <c r="AJ150" s="297">
        <f>VLOOKUP(D150,[1]Hoja1!$G$6:$I$225,3,0)</f>
        <v>348000</v>
      </c>
      <c r="AK150" s="298">
        <f t="shared" si="88"/>
        <v>0</v>
      </c>
      <c r="AL150" s="588"/>
    </row>
    <row r="151" spans="1:38" s="528" customFormat="1">
      <c r="A151" s="528" t="s">
        <v>690</v>
      </c>
      <c r="B151" s="528" t="s">
        <v>693</v>
      </c>
      <c r="C151" s="528" t="s">
        <v>694</v>
      </c>
      <c r="D151" s="350" t="str">
        <f t="shared" si="89"/>
        <v>HT551489</v>
      </c>
      <c r="E151" s="351">
        <v>236080</v>
      </c>
      <c r="F151" s="351">
        <v>236080</v>
      </c>
      <c r="G151" s="315" t="s">
        <v>158</v>
      </c>
      <c r="H151" s="278" t="s">
        <v>33</v>
      </c>
      <c r="I151" s="281" t="s">
        <v>80</v>
      </c>
      <c r="J151" s="316" t="s">
        <v>170</v>
      </c>
      <c r="K151" s="542">
        <v>43706</v>
      </c>
      <c r="L151" s="283">
        <f t="shared" si="83"/>
        <v>43729</v>
      </c>
      <c r="M151" s="284">
        <f t="shared" ca="1" si="84"/>
        <v>16</v>
      </c>
      <c r="N151" s="468">
        <f t="shared" ca="1" si="85"/>
        <v>39</v>
      </c>
      <c r="O151" s="286"/>
      <c r="P151" s="286">
        <f t="shared" si="86"/>
        <v>236080</v>
      </c>
      <c r="Q151" s="287"/>
      <c r="R151" s="288"/>
      <c r="S151" s="287"/>
      <c r="T151" s="287"/>
      <c r="U151" s="287" t="s">
        <v>52</v>
      </c>
      <c r="V151" s="282"/>
      <c r="W151" s="355"/>
      <c r="X151" s="356"/>
      <c r="Y151" s="326"/>
      <c r="Z151" s="309"/>
      <c r="AA151" s="293">
        <f t="shared" si="87"/>
        <v>0</v>
      </c>
      <c r="AB151" s="294"/>
      <c r="AC151" s="357"/>
      <c r="AD151" s="282"/>
      <c r="AE151" s="296"/>
      <c r="AF151" s="287"/>
      <c r="AG151" s="294" t="s">
        <v>48</v>
      </c>
      <c r="AH151" s="478"/>
      <c r="AI151" s="286" t="s">
        <v>918</v>
      </c>
      <c r="AJ151" s="297">
        <f>VLOOKUP(D151,[1]Hoja1!$G$6:$I$225,3,0)</f>
        <v>236080</v>
      </c>
      <c r="AK151" s="298">
        <f t="shared" si="88"/>
        <v>0</v>
      </c>
      <c r="AL151" s="588"/>
    </row>
    <row r="152" spans="1:38" s="528" customFormat="1">
      <c r="A152" s="528" t="s">
        <v>801</v>
      </c>
      <c r="B152" s="528" t="s">
        <v>821</v>
      </c>
      <c r="C152" s="528" t="s">
        <v>822</v>
      </c>
      <c r="D152" s="350" t="str">
        <f t="shared" si="89"/>
        <v>H3328337</v>
      </c>
      <c r="E152" s="351">
        <v>76320</v>
      </c>
      <c r="F152" s="351">
        <v>76320</v>
      </c>
      <c r="G152" s="315" t="s">
        <v>158</v>
      </c>
      <c r="H152" s="278" t="s">
        <v>33</v>
      </c>
      <c r="I152" s="281"/>
      <c r="J152" s="316" t="s">
        <v>170</v>
      </c>
      <c r="K152" s="542">
        <v>43706</v>
      </c>
      <c r="L152" s="283">
        <f t="shared" si="83"/>
        <v>43729</v>
      </c>
      <c r="M152" s="284">
        <f t="shared" ca="1" si="84"/>
        <v>16</v>
      </c>
      <c r="N152" s="468">
        <f t="shared" ca="1" si="85"/>
        <v>39</v>
      </c>
      <c r="O152" s="286"/>
      <c r="P152" s="286">
        <f t="shared" si="86"/>
        <v>76320</v>
      </c>
      <c r="Q152" s="287"/>
      <c r="R152" s="288"/>
      <c r="S152" s="287"/>
      <c r="T152" s="287"/>
      <c r="U152" s="287" t="s">
        <v>52</v>
      </c>
      <c r="V152" s="282"/>
      <c r="W152" s="355"/>
      <c r="X152" s="356"/>
      <c r="Y152" s="326"/>
      <c r="Z152" s="309"/>
      <c r="AA152" s="293">
        <f t="shared" si="87"/>
        <v>0</v>
      </c>
      <c r="AB152" s="294"/>
      <c r="AC152" s="357"/>
      <c r="AD152" s="282"/>
      <c r="AE152" s="296"/>
      <c r="AF152" s="287"/>
      <c r="AG152" s="294" t="s">
        <v>48</v>
      </c>
      <c r="AH152" s="478"/>
      <c r="AI152" s="286" t="s">
        <v>918</v>
      </c>
      <c r="AJ152" s="297">
        <f>VLOOKUP(D152,[1]Hoja1!$G$6:$I$225,3,0)</f>
        <v>76320</v>
      </c>
      <c r="AK152" s="298">
        <f t="shared" si="88"/>
        <v>0</v>
      </c>
      <c r="AL152" s="588"/>
    </row>
    <row r="153" spans="1:38" s="528" customFormat="1">
      <c r="A153" s="528" t="s">
        <v>801</v>
      </c>
      <c r="B153" s="528" t="s">
        <v>823</v>
      </c>
      <c r="C153" s="528" t="s">
        <v>824</v>
      </c>
      <c r="D153" s="350" t="str">
        <f t="shared" si="89"/>
        <v>GG246503</v>
      </c>
      <c r="E153" s="351">
        <v>311840</v>
      </c>
      <c r="F153" s="583">
        <f>311840-135120</f>
        <v>176720</v>
      </c>
      <c r="G153" s="315" t="s">
        <v>158</v>
      </c>
      <c r="H153" s="278" t="s">
        <v>33</v>
      </c>
      <c r="I153" s="281" t="s">
        <v>80</v>
      </c>
      <c r="J153" s="316" t="s">
        <v>170</v>
      </c>
      <c r="K153" s="542">
        <v>43706</v>
      </c>
      <c r="L153" s="283">
        <f t="shared" si="83"/>
        <v>43729</v>
      </c>
      <c r="M153" s="284">
        <f t="shared" ca="1" si="84"/>
        <v>16</v>
      </c>
      <c r="N153" s="468">
        <f t="shared" ca="1" si="85"/>
        <v>39</v>
      </c>
      <c r="O153" s="286"/>
      <c r="P153" s="286">
        <f t="shared" si="86"/>
        <v>176720</v>
      </c>
      <c r="Q153" s="287"/>
      <c r="R153" s="288"/>
      <c r="S153" s="287" t="s">
        <v>969</v>
      </c>
      <c r="T153" s="287" t="s">
        <v>970</v>
      </c>
      <c r="U153" s="294" t="s">
        <v>31</v>
      </c>
      <c r="V153" s="282">
        <v>43708</v>
      </c>
      <c r="W153" s="355"/>
      <c r="X153" s="356"/>
      <c r="Y153" s="326">
        <v>470000</v>
      </c>
      <c r="Z153" s="309">
        <v>9000</v>
      </c>
      <c r="AA153" s="293">
        <f t="shared" si="87"/>
        <v>461000</v>
      </c>
      <c r="AB153" s="294" t="s">
        <v>68</v>
      </c>
      <c r="AC153" s="357" t="s">
        <v>979</v>
      </c>
      <c r="AD153" s="282">
        <v>43708</v>
      </c>
      <c r="AE153" s="296"/>
      <c r="AF153" s="287" t="s">
        <v>232</v>
      </c>
      <c r="AG153" s="294" t="s">
        <v>48</v>
      </c>
      <c r="AH153" s="478"/>
      <c r="AI153" s="286" t="s">
        <v>918</v>
      </c>
      <c r="AJ153" s="297">
        <f>VLOOKUP(D153,[1]Hoja1!$G$6:$I$225,3,0)</f>
        <v>176720</v>
      </c>
      <c r="AK153" s="298">
        <f t="shared" si="88"/>
        <v>0</v>
      </c>
      <c r="AL153" s="588"/>
    </row>
    <row r="154" spans="1:38" s="528" customFormat="1">
      <c r="A154" s="528" t="s">
        <v>801</v>
      </c>
      <c r="B154" s="528" t="s">
        <v>825</v>
      </c>
      <c r="C154" s="528" t="s">
        <v>826</v>
      </c>
      <c r="D154" s="350" t="str">
        <f t="shared" si="89"/>
        <v>G0770325</v>
      </c>
      <c r="E154" s="351">
        <v>86640</v>
      </c>
      <c r="F154" s="351">
        <v>86640</v>
      </c>
      <c r="G154" s="315" t="s">
        <v>158</v>
      </c>
      <c r="H154" s="278" t="s">
        <v>33</v>
      </c>
      <c r="I154" s="281" t="s">
        <v>32</v>
      </c>
      <c r="J154" s="316" t="s">
        <v>170</v>
      </c>
      <c r="K154" s="542">
        <v>43706</v>
      </c>
      <c r="L154" s="283">
        <f t="shared" si="83"/>
        <v>43729</v>
      </c>
      <c r="M154" s="284">
        <f t="shared" ca="1" si="84"/>
        <v>16</v>
      </c>
      <c r="N154" s="468">
        <f t="shared" ca="1" si="85"/>
        <v>39</v>
      </c>
      <c r="O154" s="286"/>
      <c r="P154" s="286">
        <f t="shared" si="86"/>
        <v>86640</v>
      </c>
      <c r="Q154" s="287"/>
      <c r="R154" s="288"/>
      <c r="S154" s="287" t="s">
        <v>1332</v>
      </c>
      <c r="T154" s="287" t="s">
        <v>1333</v>
      </c>
      <c r="U154" s="287" t="s">
        <v>31</v>
      </c>
      <c r="V154" s="282">
        <v>43738</v>
      </c>
      <c r="W154" s="355"/>
      <c r="X154" s="356"/>
      <c r="Y154" s="326">
        <v>134000</v>
      </c>
      <c r="Z154" s="309">
        <f>10000+124000</f>
        <v>134000</v>
      </c>
      <c r="AA154" s="293">
        <f t="shared" si="87"/>
        <v>0</v>
      </c>
      <c r="AB154" s="294" t="s">
        <v>197</v>
      </c>
      <c r="AC154" s="357" t="s">
        <v>1477</v>
      </c>
      <c r="AD154" s="282" t="s">
        <v>1478</v>
      </c>
      <c r="AE154" s="296"/>
      <c r="AF154" s="287" t="s">
        <v>174</v>
      </c>
      <c r="AG154" s="294" t="s">
        <v>82</v>
      </c>
      <c r="AH154" s="478"/>
      <c r="AI154" s="286" t="s">
        <v>918</v>
      </c>
      <c r="AJ154" s="297">
        <f>VLOOKUP(D154,[1]Hoja1!$G$6:$I$225,3,0)</f>
        <v>86640</v>
      </c>
      <c r="AK154" s="298">
        <f t="shared" si="88"/>
        <v>0</v>
      </c>
      <c r="AL154" s="588"/>
    </row>
    <row r="155" spans="1:38" s="528" customFormat="1">
      <c r="A155" s="528" t="s">
        <v>805</v>
      </c>
      <c r="B155" s="528" t="s">
        <v>827</v>
      </c>
      <c r="C155" s="528" t="s">
        <v>828</v>
      </c>
      <c r="D155" s="350" t="str">
        <f t="shared" si="89"/>
        <v>JK147373</v>
      </c>
      <c r="E155" s="351">
        <v>227760</v>
      </c>
      <c r="F155" s="351">
        <v>227760</v>
      </c>
      <c r="G155" s="315" t="s">
        <v>158</v>
      </c>
      <c r="H155" s="278" t="s">
        <v>33</v>
      </c>
      <c r="I155" s="281" t="s">
        <v>80</v>
      </c>
      <c r="J155" s="316" t="s">
        <v>170</v>
      </c>
      <c r="K155" s="542">
        <v>43706</v>
      </c>
      <c r="L155" s="283">
        <f t="shared" si="83"/>
        <v>43729</v>
      </c>
      <c r="M155" s="284">
        <f t="shared" ca="1" si="84"/>
        <v>16</v>
      </c>
      <c r="N155" s="468">
        <f t="shared" ca="1" si="85"/>
        <v>39</v>
      </c>
      <c r="O155" s="286"/>
      <c r="P155" s="286">
        <f t="shared" si="86"/>
        <v>227760</v>
      </c>
      <c r="Q155" s="287"/>
      <c r="R155" s="288"/>
      <c r="S155" s="287"/>
      <c r="T155" s="287"/>
      <c r="U155" s="287" t="s">
        <v>52</v>
      </c>
      <c r="V155" s="282"/>
      <c r="W155" s="355"/>
      <c r="X155" s="356"/>
      <c r="Y155" s="326"/>
      <c r="Z155" s="309"/>
      <c r="AA155" s="293">
        <f t="shared" si="87"/>
        <v>0</v>
      </c>
      <c r="AB155" s="294"/>
      <c r="AC155" s="357"/>
      <c r="AD155" s="282"/>
      <c r="AE155" s="296"/>
      <c r="AF155" s="287"/>
      <c r="AG155" s="294" t="s">
        <v>48</v>
      </c>
      <c r="AH155" s="478"/>
      <c r="AI155" s="286" t="s">
        <v>918</v>
      </c>
      <c r="AJ155" s="297">
        <f>VLOOKUP(D155,[1]Hoja1!$G$6:$I$225,3,0)</f>
        <v>227760</v>
      </c>
      <c r="AK155" s="298">
        <f t="shared" si="88"/>
        <v>0</v>
      </c>
      <c r="AL155" s="588"/>
    </row>
    <row r="156" spans="1:38" s="528" customFormat="1">
      <c r="A156" s="528" t="s">
        <v>817</v>
      </c>
      <c r="B156" s="528" t="s">
        <v>204</v>
      </c>
      <c r="C156" s="528" t="s">
        <v>831</v>
      </c>
      <c r="D156" s="350" t="str">
        <f t="shared" si="89"/>
        <v>HH006296</v>
      </c>
      <c r="E156" s="351">
        <v>92000</v>
      </c>
      <c r="F156" s="351">
        <v>92000</v>
      </c>
      <c r="G156" s="315" t="s">
        <v>158</v>
      </c>
      <c r="H156" s="278" t="s">
        <v>33</v>
      </c>
      <c r="I156" s="281" t="s">
        <v>32</v>
      </c>
      <c r="J156" s="316" t="s">
        <v>170</v>
      </c>
      <c r="K156" s="542">
        <v>43706</v>
      </c>
      <c r="L156" s="283">
        <f t="shared" si="83"/>
        <v>43729</v>
      </c>
      <c r="M156" s="284">
        <f t="shared" ca="1" si="84"/>
        <v>16</v>
      </c>
      <c r="N156" s="468">
        <f t="shared" ca="1" si="85"/>
        <v>39</v>
      </c>
      <c r="O156" s="286"/>
      <c r="P156" s="286">
        <f t="shared" si="86"/>
        <v>92000</v>
      </c>
      <c r="Q156" s="287"/>
      <c r="R156" s="288"/>
      <c r="S156" s="287"/>
      <c r="T156" s="287"/>
      <c r="U156" s="287" t="s">
        <v>52</v>
      </c>
      <c r="V156" s="282"/>
      <c r="W156" s="355"/>
      <c r="X156" s="356"/>
      <c r="Y156" s="326"/>
      <c r="Z156" s="309"/>
      <c r="AA156" s="293">
        <f t="shared" si="87"/>
        <v>0</v>
      </c>
      <c r="AB156" s="294"/>
      <c r="AC156" s="357"/>
      <c r="AD156" s="282"/>
      <c r="AE156" s="296"/>
      <c r="AF156" s="287"/>
      <c r="AG156" s="294" t="s">
        <v>48</v>
      </c>
      <c r="AH156" s="478"/>
      <c r="AI156" s="286" t="s">
        <v>918</v>
      </c>
      <c r="AJ156" s="297">
        <f>VLOOKUP(D156,[1]Hoja1!$G$6:$I$225,3,0)</f>
        <v>92000</v>
      </c>
      <c r="AK156" s="298">
        <f t="shared" si="88"/>
        <v>0</v>
      </c>
      <c r="AL156" s="588"/>
    </row>
    <row r="157" spans="1:38" s="528" customFormat="1">
      <c r="A157" s="528" t="s">
        <v>817</v>
      </c>
      <c r="B157" s="528" t="s">
        <v>832</v>
      </c>
      <c r="C157" s="528" t="s">
        <v>833</v>
      </c>
      <c r="D157" s="350" t="str">
        <f t="shared" si="89"/>
        <v>HT527870</v>
      </c>
      <c r="E157" s="351">
        <v>208880</v>
      </c>
      <c r="F157" s="351">
        <v>208880</v>
      </c>
      <c r="G157" s="315" t="s">
        <v>158</v>
      </c>
      <c r="H157" s="278" t="s">
        <v>33</v>
      </c>
      <c r="I157" s="281"/>
      <c r="J157" s="316" t="s">
        <v>170</v>
      </c>
      <c r="K157" s="542">
        <v>43706</v>
      </c>
      <c r="L157" s="283">
        <f t="shared" si="83"/>
        <v>43729</v>
      </c>
      <c r="M157" s="284">
        <f t="shared" ca="1" si="84"/>
        <v>16</v>
      </c>
      <c r="N157" s="468">
        <f t="shared" ca="1" si="85"/>
        <v>39</v>
      </c>
      <c r="O157" s="286"/>
      <c r="P157" s="286">
        <f t="shared" si="86"/>
        <v>208880</v>
      </c>
      <c r="Q157" s="287"/>
      <c r="R157" s="288"/>
      <c r="S157" s="287"/>
      <c r="T157" s="287"/>
      <c r="U157" s="287" t="s">
        <v>52</v>
      </c>
      <c r="V157" s="282"/>
      <c r="W157" s="355"/>
      <c r="X157" s="356"/>
      <c r="Y157" s="326"/>
      <c r="Z157" s="309"/>
      <c r="AA157" s="293">
        <f t="shared" si="87"/>
        <v>0</v>
      </c>
      <c r="AB157" s="294"/>
      <c r="AC157" s="357"/>
      <c r="AD157" s="282"/>
      <c r="AE157" s="296"/>
      <c r="AF157" s="287"/>
      <c r="AG157" s="294" t="s">
        <v>48</v>
      </c>
      <c r="AH157" s="478"/>
      <c r="AI157" s="286" t="s">
        <v>918</v>
      </c>
      <c r="AJ157" s="297">
        <f>VLOOKUP(D157,[1]Hoja1!$G$6:$I$225,3,0)</f>
        <v>208880</v>
      </c>
      <c r="AK157" s="298">
        <f t="shared" si="88"/>
        <v>0</v>
      </c>
      <c r="AL157" s="588"/>
    </row>
    <row r="158" spans="1:38" s="528" customFormat="1">
      <c r="A158" s="536" t="s">
        <v>887</v>
      </c>
      <c r="B158" s="536" t="s">
        <v>386</v>
      </c>
      <c r="C158" s="541" t="s">
        <v>903</v>
      </c>
      <c r="D158" s="350" t="str">
        <f t="shared" si="89"/>
        <v>GT128635</v>
      </c>
      <c r="E158" s="534">
        <v>144000</v>
      </c>
      <c r="F158" s="534">
        <v>144000</v>
      </c>
      <c r="G158" s="315" t="s">
        <v>158</v>
      </c>
      <c r="H158" s="278" t="s">
        <v>33</v>
      </c>
      <c r="I158" s="281" t="s">
        <v>80</v>
      </c>
      <c r="J158" s="316" t="s">
        <v>170</v>
      </c>
      <c r="K158" s="542">
        <v>43706</v>
      </c>
      <c r="L158" s="283">
        <f t="shared" si="83"/>
        <v>43729</v>
      </c>
      <c r="M158" s="284">
        <f t="shared" ca="1" si="84"/>
        <v>16</v>
      </c>
      <c r="N158" s="468">
        <f t="shared" ca="1" si="85"/>
        <v>39</v>
      </c>
      <c r="O158" s="286"/>
      <c r="P158" s="286">
        <f t="shared" si="86"/>
        <v>144000</v>
      </c>
      <c r="Q158" s="287"/>
      <c r="R158" s="288"/>
      <c r="S158" s="287"/>
      <c r="T158" s="287"/>
      <c r="U158" s="287" t="s">
        <v>52</v>
      </c>
      <c r="V158" s="282"/>
      <c r="W158" s="355"/>
      <c r="X158" s="356"/>
      <c r="Y158" s="326"/>
      <c r="Z158" s="309"/>
      <c r="AA158" s="293">
        <f t="shared" si="87"/>
        <v>0</v>
      </c>
      <c r="AB158" s="294"/>
      <c r="AC158" s="357"/>
      <c r="AD158" s="282"/>
      <c r="AE158" s="296"/>
      <c r="AF158" s="287"/>
      <c r="AG158" s="294" t="s">
        <v>48</v>
      </c>
      <c r="AH158" s="478"/>
      <c r="AI158" s="286" t="s">
        <v>918</v>
      </c>
      <c r="AJ158" s="297">
        <f>VLOOKUP(D158,[1]Hoja1!$G$6:$I$225,3,0)</f>
        <v>144000</v>
      </c>
      <c r="AK158" s="298">
        <f t="shared" si="88"/>
        <v>0</v>
      </c>
      <c r="AL158" s="588"/>
    </row>
    <row r="159" spans="1:38" s="528" customFormat="1">
      <c r="A159" s="528" t="s">
        <v>817</v>
      </c>
      <c r="B159" s="528" t="s">
        <v>829</v>
      </c>
      <c r="C159" s="528" t="s">
        <v>830</v>
      </c>
      <c r="D159" s="350" t="str">
        <f t="shared" si="89"/>
        <v>J7508740</v>
      </c>
      <c r="E159" s="351">
        <v>177200</v>
      </c>
      <c r="F159" s="351">
        <v>177200</v>
      </c>
      <c r="G159" s="315" t="s">
        <v>158</v>
      </c>
      <c r="H159" s="278" t="s">
        <v>33</v>
      </c>
      <c r="I159" s="281" t="s">
        <v>80</v>
      </c>
      <c r="J159" s="316" t="s">
        <v>170</v>
      </c>
      <c r="K159" s="542">
        <v>43718</v>
      </c>
      <c r="L159" s="283">
        <f>K159+23</f>
        <v>43741</v>
      </c>
      <c r="M159" s="284">
        <f t="shared" ref="M159:M168" ca="1" si="90">$A$1-L159</f>
        <v>4</v>
      </c>
      <c r="N159" s="468">
        <f t="shared" ref="N159:N168" ca="1" si="91">+$A$1-K159</f>
        <v>27</v>
      </c>
      <c r="O159" s="286"/>
      <c r="P159" s="286">
        <f>+F159</f>
        <v>177200</v>
      </c>
      <c r="Q159" s="287"/>
      <c r="R159" s="288"/>
      <c r="S159" s="287"/>
      <c r="T159" s="287"/>
      <c r="U159" s="287" t="s">
        <v>52</v>
      </c>
      <c r="V159" s="282"/>
      <c r="W159" s="355"/>
      <c r="X159" s="356"/>
      <c r="Y159" s="326"/>
      <c r="Z159" s="309"/>
      <c r="AA159" s="293">
        <f>+Y159-Z159</f>
        <v>0</v>
      </c>
      <c r="AB159" s="294"/>
      <c r="AC159" s="357"/>
      <c r="AD159" s="282"/>
      <c r="AE159" s="296"/>
      <c r="AF159" s="287"/>
      <c r="AG159" s="294" t="s">
        <v>48</v>
      </c>
      <c r="AH159" s="478"/>
      <c r="AI159" s="286" t="s">
        <v>918</v>
      </c>
      <c r="AJ159" s="297">
        <f>VLOOKUP(D159,[1]Hoja1!$G$6:$I$225,3,0)</f>
        <v>177200</v>
      </c>
      <c r="AK159" s="298">
        <f t="shared" ref="AK159:AK168" si="92">+AJ159-F159</f>
        <v>0</v>
      </c>
      <c r="AL159" s="590"/>
    </row>
    <row r="160" spans="1:38" s="528" customFormat="1">
      <c r="A160" s="536" t="s">
        <v>900</v>
      </c>
      <c r="B160" s="536" t="s">
        <v>902</v>
      </c>
      <c r="C160" s="536" t="s">
        <v>904</v>
      </c>
      <c r="D160" s="350" t="str">
        <f t="shared" si="89"/>
        <v>GH000591</v>
      </c>
      <c r="E160" s="534">
        <v>77920</v>
      </c>
      <c r="F160" s="534">
        <v>77920</v>
      </c>
      <c r="G160" s="315" t="s">
        <v>158</v>
      </c>
      <c r="H160" s="278" t="s">
        <v>33</v>
      </c>
      <c r="I160" s="281" t="s">
        <v>80</v>
      </c>
      <c r="J160" s="316" t="s">
        <v>170</v>
      </c>
      <c r="K160" s="542">
        <v>43718</v>
      </c>
      <c r="L160" s="283">
        <f>K160+23</f>
        <v>43741</v>
      </c>
      <c r="M160" s="284">
        <f t="shared" ca="1" si="90"/>
        <v>4</v>
      </c>
      <c r="N160" s="468">
        <f t="shared" ca="1" si="91"/>
        <v>27</v>
      </c>
      <c r="O160" s="286"/>
      <c r="P160" s="286">
        <f>+F160</f>
        <v>77920</v>
      </c>
      <c r="Q160" s="287"/>
      <c r="R160" s="288"/>
      <c r="S160" s="287"/>
      <c r="T160" s="287"/>
      <c r="U160" s="287" t="s">
        <v>52</v>
      </c>
      <c r="V160" s="282"/>
      <c r="W160" s="355"/>
      <c r="X160" s="356"/>
      <c r="Y160" s="326"/>
      <c r="Z160" s="309"/>
      <c r="AA160" s="293">
        <f>+Y160-Z160</f>
        <v>0</v>
      </c>
      <c r="AB160" s="294"/>
      <c r="AC160" s="357"/>
      <c r="AD160" s="282"/>
      <c r="AE160" s="296"/>
      <c r="AF160" s="287"/>
      <c r="AG160" s="294" t="s">
        <v>48</v>
      </c>
      <c r="AH160" s="478"/>
      <c r="AI160" s="286" t="s">
        <v>918</v>
      </c>
      <c r="AJ160" s="297">
        <f>VLOOKUP(D160,[1]Hoja1!$G$6:$I$225,3,0)</f>
        <v>77920</v>
      </c>
      <c r="AK160" s="298">
        <f t="shared" si="92"/>
        <v>0</v>
      </c>
      <c r="AL160" s="590"/>
    </row>
    <row r="161" spans="1:38" s="528" customFormat="1">
      <c r="A161" s="536" t="s">
        <v>910</v>
      </c>
      <c r="B161" s="536" t="s">
        <v>962</v>
      </c>
      <c r="C161" s="536" t="s">
        <v>965</v>
      </c>
      <c r="D161" s="350" t="str">
        <f t="shared" si="89"/>
        <v>HW610542</v>
      </c>
      <c r="E161" s="534">
        <v>260000</v>
      </c>
      <c r="F161" s="534">
        <v>260000</v>
      </c>
      <c r="G161" s="315" t="s">
        <v>158</v>
      </c>
      <c r="H161" s="278" t="s">
        <v>33</v>
      </c>
      <c r="I161" s="281" t="s">
        <v>44</v>
      </c>
      <c r="J161" s="316" t="s">
        <v>170</v>
      </c>
      <c r="K161" s="542">
        <v>43718</v>
      </c>
      <c r="L161" s="283">
        <f>K161+23</f>
        <v>43741</v>
      </c>
      <c r="M161" s="284">
        <f t="shared" ca="1" si="90"/>
        <v>4</v>
      </c>
      <c r="N161" s="468">
        <f t="shared" ca="1" si="91"/>
        <v>27</v>
      </c>
      <c r="O161" s="286"/>
      <c r="P161" s="286">
        <f>+F161</f>
        <v>260000</v>
      </c>
      <c r="Q161" s="287"/>
      <c r="R161" s="288"/>
      <c r="S161" s="287"/>
      <c r="T161" s="287"/>
      <c r="U161" s="287" t="s">
        <v>52</v>
      </c>
      <c r="V161" s="282"/>
      <c r="W161" s="355"/>
      <c r="X161" s="356"/>
      <c r="Y161" s="326"/>
      <c r="Z161" s="309"/>
      <c r="AA161" s="293">
        <f>+Y161-Z161</f>
        <v>0</v>
      </c>
      <c r="AB161" s="294"/>
      <c r="AC161" s="357"/>
      <c r="AD161" s="282"/>
      <c r="AE161" s="296"/>
      <c r="AF161" s="287"/>
      <c r="AG161" s="294" t="s">
        <v>48</v>
      </c>
      <c r="AH161" s="478"/>
      <c r="AI161" s="286" t="s">
        <v>918</v>
      </c>
      <c r="AJ161" s="297">
        <f>VLOOKUP(D161,[1]Hoja1!$G$6:$I$225,3,0)</f>
        <v>260000</v>
      </c>
      <c r="AK161" s="298">
        <f t="shared" si="92"/>
        <v>0</v>
      </c>
      <c r="AL161" s="590"/>
    </row>
    <row r="162" spans="1:38" s="528" customFormat="1">
      <c r="A162" s="536" t="s">
        <v>955</v>
      </c>
      <c r="B162" s="536" t="s">
        <v>963</v>
      </c>
      <c r="C162" s="536" t="s">
        <v>967</v>
      </c>
      <c r="D162" s="350" t="str">
        <f t="shared" si="89"/>
        <v>FE057053</v>
      </c>
      <c r="E162" s="534">
        <v>127680</v>
      </c>
      <c r="F162" s="534">
        <v>127680</v>
      </c>
      <c r="G162" s="315" t="s">
        <v>158</v>
      </c>
      <c r="H162" s="278" t="s">
        <v>33</v>
      </c>
      <c r="I162" s="281" t="s">
        <v>55</v>
      </c>
      <c r="J162" s="316" t="s">
        <v>170</v>
      </c>
      <c r="K162" s="542">
        <v>43718</v>
      </c>
      <c r="L162" s="283">
        <f t="shared" ref="L162:L168" si="93">K162+23</f>
        <v>43741</v>
      </c>
      <c r="M162" s="284">
        <f t="shared" ca="1" si="90"/>
        <v>4</v>
      </c>
      <c r="N162" s="468">
        <f t="shared" ca="1" si="91"/>
        <v>27</v>
      </c>
      <c r="O162" s="286"/>
      <c r="P162" s="286">
        <f>+F162</f>
        <v>127680</v>
      </c>
      <c r="Q162" s="287"/>
      <c r="R162" s="288"/>
      <c r="S162" s="287"/>
      <c r="T162" s="287"/>
      <c r="U162" s="287" t="s">
        <v>52</v>
      </c>
      <c r="V162" s="282"/>
      <c r="W162" s="355"/>
      <c r="X162" s="356"/>
      <c r="Y162" s="326"/>
      <c r="Z162" s="309"/>
      <c r="AA162" s="293">
        <f t="shared" ref="AA162:AA168" si="94">+Y162-Z162</f>
        <v>0</v>
      </c>
      <c r="AB162" s="294"/>
      <c r="AC162" s="357"/>
      <c r="AD162" s="282"/>
      <c r="AE162" s="296"/>
      <c r="AF162" s="287"/>
      <c r="AG162" s="294" t="s">
        <v>48</v>
      </c>
      <c r="AH162" s="478"/>
      <c r="AI162" s="286" t="s">
        <v>918</v>
      </c>
      <c r="AJ162" s="297">
        <f>VLOOKUP(D162,[1]Hoja1!$G$6:$I$225,3,0)</f>
        <v>127680</v>
      </c>
      <c r="AK162" s="298">
        <f t="shared" si="92"/>
        <v>0</v>
      </c>
      <c r="AL162" s="590"/>
    </row>
    <row r="163" spans="1:38" s="528" customFormat="1">
      <c r="A163" s="536" t="s">
        <v>961</v>
      </c>
      <c r="B163" s="536" t="s">
        <v>964</v>
      </c>
      <c r="C163" s="536" t="s">
        <v>968</v>
      </c>
      <c r="D163" s="350" t="str">
        <f t="shared" si="89"/>
        <v>FJ130321</v>
      </c>
      <c r="E163" s="534">
        <v>237200</v>
      </c>
      <c r="F163" s="534">
        <v>237200</v>
      </c>
      <c r="G163" s="315" t="s">
        <v>158</v>
      </c>
      <c r="H163" s="278" t="s">
        <v>33</v>
      </c>
      <c r="I163" s="281" t="s">
        <v>80</v>
      </c>
      <c r="J163" s="316" t="s">
        <v>170</v>
      </c>
      <c r="K163" s="542">
        <v>43718</v>
      </c>
      <c r="L163" s="283">
        <f t="shared" si="93"/>
        <v>43741</v>
      </c>
      <c r="M163" s="284">
        <f t="shared" ca="1" si="90"/>
        <v>4</v>
      </c>
      <c r="N163" s="468">
        <f t="shared" ca="1" si="91"/>
        <v>27</v>
      </c>
      <c r="O163" s="286"/>
      <c r="P163" s="286">
        <f>+F163</f>
        <v>237200</v>
      </c>
      <c r="Q163" s="287"/>
      <c r="R163" s="288"/>
      <c r="S163" s="287"/>
      <c r="T163" s="287"/>
      <c r="U163" s="287" t="s">
        <v>52</v>
      </c>
      <c r="V163" s="282"/>
      <c r="W163" s="355"/>
      <c r="X163" s="356"/>
      <c r="Y163" s="326"/>
      <c r="Z163" s="309"/>
      <c r="AA163" s="293">
        <f t="shared" si="94"/>
        <v>0</v>
      </c>
      <c r="AB163" s="294"/>
      <c r="AC163" s="357"/>
      <c r="AD163" s="282"/>
      <c r="AE163" s="296"/>
      <c r="AF163" s="287"/>
      <c r="AG163" s="294" t="s">
        <v>48</v>
      </c>
      <c r="AH163" s="478"/>
      <c r="AI163" s="286" t="s">
        <v>918</v>
      </c>
      <c r="AJ163" s="297">
        <f>VLOOKUP(D163,[1]Hoja1!$G$6:$I$225,3,0)</f>
        <v>237200</v>
      </c>
      <c r="AK163" s="298">
        <f t="shared" si="92"/>
        <v>0</v>
      </c>
      <c r="AL163" s="590"/>
    </row>
    <row r="164" spans="1:38" s="528" customFormat="1">
      <c r="A164" s="536" t="s">
        <v>997</v>
      </c>
      <c r="B164" s="536" t="s">
        <v>1056</v>
      </c>
      <c r="C164" s="536" t="s">
        <v>1068</v>
      </c>
      <c r="D164" s="350" t="str">
        <f t="shared" si="89"/>
        <v>GC441949</v>
      </c>
      <c r="E164" s="534">
        <v>325520</v>
      </c>
      <c r="F164" s="534">
        <v>325520</v>
      </c>
      <c r="G164" s="315" t="s">
        <v>158</v>
      </c>
      <c r="H164" s="278" t="s">
        <v>33</v>
      </c>
      <c r="I164" s="281" t="s">
        <v>80</v>
      </c>
      <c r="J164" s="316" t="s">
        <v>170</v>
      </c>
      <c r="K164" s="542">
        <v>43732</v>
      </c>
      <c r="L164" s="283">
        <f t="shared" si="93"/>
        <v>43755</v>
      </c>
      <c r="M164" s="284">
        <f t="shared" ca="1" si="90"/>
        <v>-10</v>
      </c>
      <c r="N164" s="468">
        <f t="shared" ca="1" si="91"/>
        <v>13</v>
      </c>
      <c r="O164" s="286"/>
      <c r="P164" s="286">
        <f>F164+O164</f>
        <v>325520</v>
      </c>
      <c r="Q164" s="287"/>
      <c r="R164" s="288"/>
      <c r="S164" s="287"/>
      <c r="T164" s="287"/>
      <c r="U164" s="294" t="s">
        <v>52</v>
      </c>
      <c r="V164" s="282"/>
      <c r="W164" s="355"/>
      <c r="X164" s="356"/>
      <c r="Y164" s="326"/>
      <c r="Z164" s="309"/>
      <c r="AA164" s="293">
        <f t="shared" si="94"/>
        <v>0</v>
      </c>
      <c r="AB164" s="294"/>
      <c r="AC164" s="357"/>
      <c r="AD164" s="282"/>
      <c r="AE164" s="296"/>
      <c r="AF164" s="287"/>
      <c r="AG164" s="294" t="s">
        <v>48</v>
      </c>
      <c r="AH164" s="478"/>
      <c r="AI164" s="294" t="s">
        <v>1133</v>
      </c>
      <c r="AJ164" s="297">
        <f>VLOOKUP(D164,[1]Hoja1!$G$6:$I$225,3,0)</f>
        <v>325520</v>
      </c>
      <c r="AK164" s="298">
        <f t="shared" si="92"/>
        <v>0</v>
      </c>
      <c r="AL164" s="590"/>
    </row>
    <row r="165" spans="1:38" s="528" customFormat="1">
      <c r="A165" s="536" t="s">
        <v>1003</v>
      </c>
      <c r="B165" s="536" t="s">
        <v>1057</v>
      </c>
      <c r="C165" s="536" t="s">
        <v>1069</v>
      </c>
      <c r="D165" s="350" t="str">
        <f t="shared" si="89"/>
        <v>HG544916</v>
      </c>
      <c r="E165" s="534">
        <v>248000</v>
      </c>
      <c r="F165" s="534">
        <v>248000</v>
      </c>
      <c r="G165" s="315" t="s">
        <v>158</v>
      </c>
      <c r="H165" s="278" t="s">
        <v>33</v>
      </c>
      <c r="I165" s="281" t="s">
        <v>44</v>
      </c>
      <c r="J165" s="316" t="s">
        <v>170</v>
      </c>
      <c r="K165" s="542">
        <v>43732</v>
      </c>
      <c r="L165" s="283">
        <f t="shared" si="93"/>
        <v>43755</v>
      </c>
      <c r="M165" s="284">
        <f t="shared" ca="1" si="90"/>
        <v>-10</v>
      </c>
      <c r="N165" s="468">
        <f t="shared" ca="1" si="91"/>
        <v>13</v>
      </c>
      <c r="O165" s="286"/>
      <c r="P165" s="286">
        <f>F165+O165</f>
        <v>248000</v>
      </c>
      <c r="Q165" s="287"/>
      <c r="R165" s="288"/>
      <c r="S165" s="287"/>
      <c r="T165" s="287"/>
      <c r="U165" s="294" t="s">
        <v>52</v>
      </c>
      <c r="V165" s="282"/>
      <c r="W165" s="355"/>
      <c r="X165" s="356"/>
      <c r="Y165" s="326"/>
      <c r="Z165" s="309"/>
      <c r="AA165" s="293">
        <f t="shared" si="94"/>
        <v>0</v>
      </c>
      <c r="AB165" s="294"/>
      <c r="AC165" s="357"/>
      <c r="AD165" s="282"/>
      <c r="AE165" s="296"/>
      <c r="AF165" s="287"/>
      <c r="AG165" s="294" t="s">
        <v>48</v>
      </c>
      <c r="AH165" s="478"/>
      <c r="AI165" s="294" t="s">
        <v>1133</v>
      </c>
      <c r="AJ165" s="297">
        <f>VLOOKUP(D165,[1]Hoja1!$G$6:$I$225,3,0)</f>
        <v>248000</v>
      </c>
      <c r="AK165" s="298">
        <f t="shared" si="92"/>
        <v>0</v>
      </c>
      <c r="AL165" s="590"/>
    </row>
    <row r="166" spans="1:38" s="528" customFormat="1">
      <c r="A166" s="536" t="s">
        <v>1003</v>
      </c>
      <c r="B166" s="536" t="s">
        <v>1058</v>
      </c>
      <c r="C166" s="536" t="s">
        <v>1070</v>
      </c>
      <c r="D166" s="350" t="str">
        <f t="shared" si="89"/>
        <v>GS588984</v>
      </c>
      <c r="E166" s="534">
        <v>106400</v>
      </c>
      <c r="F166" s="534">
        <v>106400</v>
      </c>
      <c r="G166" s="315" t="s">
        <v>158</v>
      </c>
      <c r="H166" s="278" t="s">
        <v>33</v>
      </c>
      <c r="I166" s="281" t="s">
        <v>55</v>
      </c>
      <c r="J166" s="316" t="s">
        <v>170</v>
      </c>
      <c r="K166" s="542">
        <v>43732</v>
      </c>
      <c r="L166" s="283">
        <f t="shared" si="93"/>
        <v>43755</v>
      </c>
      <c r="M166" s="284">
        <f t="shared" ca="1" si="90"/>
        <v>-10</v>
      </c>
      <c r="N166" s="468">
        <f t="shared" ca="1" si="91"/>
        <v>13</v>
      </c>
      <c r="O166" s="286"/>
      <c r="P166" s="286">
        <f>F166+O166</f>
        <v>106400</v>
      </c>
      <c r="Q166" s="287"/>
      <c r="R166" s="288"/>
      <c r="S166" s="287"/>
      <c r="T166" s="287"/>
      <c r="U166" s="294" t="s">
        <v>52</v>
      </c>
      <c r="V166" s="282"/>
      <c r="W166" s="355"/>
      <c r="X166" s="356"/>
      <c r="Y166" s="326"/>
      <c r="Z166" s="309"/>
      <c r="AA166" s="293">
        <f t="shared" si="94"/>
        <v>0</v>
      </c>
      <c r="AB166" s="294"/>
      <c r="AC166" s="357"/>
      <c r="AD166" s="282"/>
      <c r="AE166" s="296"/>
      <c r="AF166" s="287"/>
      <c r="AG166" s="294" t="s">
        <v>48</v>
      </c>
      <c r="AH166" s="478"/>
      <c r="AI166" s="294" t="s">
        <v>1133</v>
      </c>
      <c r="AJ166" s="297">
        <f>VLOOKUP(D166,[1]Hoja1!$G$6:$I$225,3,0)</f>
        <v>106400</v>
      </c>
      <c r="AK166" s="298">
        <f t="shared" si="92"/>
        <v>0</v>
      </c>
      <c r="AL166" s="590"/>
    </row>
    <row r="167" spans="1:38" s="528" customFormat="1">
      <c r="A167" s="536" t="s">
        <v>961</v>
      </c>
      <c r="B167" s="536" t="s">
        <v>1060</v>
      </c>
      <c r="C167" s="536" t="s">
        <v>1072</v>
      </c>
      <c r="D167" s="350" t="str">
        <f t="shared" si="89"/>
        <v>HM189248</v>
      </c>
      <c r="E167" s="534">
        <v>84560</v>
      </c>
      <c r="F167" s="534">
        <v>84560</v>
      </c>
      <c r="G167" s="315" t="s">
        <v>158</v>
      </c>
      <c r="H167" s="278" t="s">
        <v>33</v>
      </c>
      <c r="I167" s="281" t="s">
        <v>80</v>
      </c>
      <c r="J167" s="316" t="s">
        <v>170</v>
      </c>
      <c r="K167" s="542">
        <v>43732</v>
      </c>
      <c r="L167" s="283">
        <f t="shared" si="93"/>
        <v>43755</v>
      </c>
      <c r="M167" s="284">
        <f t="shared" ca="1" si="90"/>
        <v>-10</v>
      </c>
      <c r="N167" s="468">
        <f t="shared" ca="1" si="91"/>
        <v>13</v>
      </c>
      <c r="O167" s="286"/>
      <c r="P167" s="286">
        <f>F167+O167</f>
        <v>84560</v>
      </c>
      <c r="Q167" s="287"/>
      <c r="R167" s="288"/>
      <c r="S167" s="287"/>
      <c r="T167" s="287"/>
      <c r="U167" s="294" t="s">
        <v>52</v>
      </c>
      <c r="V167" s="282"/>
      <c r="W167" s="355"/>
      <c r="X167" s="356"/>
      <c r="Y167" s="326"/>
      <c r="Z167" s="309"/>
      <c r="AA167" s="293">
        <f t="shared" si="94"/>
        <v>0</v>
      </c>
      <c r="AB167" s="294"/>
      <c r="AC167" s="357"/>
      <c r="AD167" s="282"/>
      <c r="AE167" s="296"/>
      <c r="AF167" s="287"/>
      <c r="AG167" s="294" t="s">
        <v>48</v>
      </c>
      <c r="AH167" s="478"/>
      <c r="AI167" s="294" t="s">
        <v>1133</v>
      </c>
      <c r="AJ167" s="297">
        <f>VLOOKUP(D167,[1]Hoja1!$G$6:$I$225,3,0)</f>
        <v>84560</v>
      </c>
      <c r="AK167" s="298">
        <f t="shared" si="92"/>
        <v>0</v>
      </c>
      <c r="AL167" s="590"/>
    </row>
    <row r="168" spans="1:38" s="528" customFormat="1">
      <c r="A168" s="536" t="s">
        <v>961</v>
      </c>
      <c r="B168" s="536" t="s">
        <v>492</v>
      </c>
      <c r="C168" s="536" t="s">
        <v>1075</v>
      </c>
      <c r="D168" s="350" t="str">
        <f t="shared" si="89"/>
        <v>GX047740</v>
      </c>
      <c r="E168" s="534">
        <v>140800</v>
      </c>
      <c r="F168" s="534">
        <v>140800</v>
      </c>
      <c r="G168" s="315" t="s">
        <v>158</v>
      </c>
      <c r="H168" s="278" t="s">
        <v>33</v>
      </c>
      <c r="I168" s="281" t="s">
        <v>80</v>
      </c>
      <c r="J168" s="316" t="s">
        <v>170</v>
      </c>
      <c r="K168" s="542">
        <v>43732</v>
      </c>
      <c r="L168" s="283">
        <f t="shared" si="93"/>
        <v>43755</v>
      </c>
      <c r="M168" s="284">
        <f t="shared" ca="1" si="90"/>
        <v>-10</v>
      </c>
      <c r="N168" s="468">
        <f t="shared" ca="1" si="91"/>
        <v>13</v>
      </c>
      <c r="O168" s="286"/>
      <c r="P168" s="286">
        <f>F168+O168</f>
        <v>140800</v>
      </c>
      <c r="Q168" s="287"/>
      <c r="R168" s="288"/>
      <c r="S168" s="287"/>
      <c r="T168" s="287"/>
      <c r="U168" s="294" t="s">
        <v>52</v>
      </c>
      <c r="V168" s="282"/>
      <c r="W168" s="355"/>
      <c r="X168" s="356"/>
      <c r="Y168" s="326"/>
      <c r="Z168" s="309"/>
      <c r="AA168" s="293">
        <f t="shared" si="94"/>
        <v>0</v>
      </c>
      <c r="AB168" s="294"/>
      <c r="AC168" s="357"/>
      <c r="AD168" s="282"/>
      <c r="AE168" s="296"/>
      <c r="AF168" s="287"/>
      <c r="AG168" s="294" t="s">
        <v>48</v>
      </c>
      <c r="AH168" s="478"/>
      <c r="AI168" s="294" t="s">
        <v>1133</v>
      </c>
      <c r="AJ168" s="297">
        <f>VLOOKUP(D168,[1]Hoja1!$G$6:$I$225,3,0)</f>
        <v>140800</v>
      </c>
      <c r="AK168" s="298">
        <f t="shared" si="92"/>
        <v>0</v>
      </c>
      <c r="AL168" s="590"/>
    </row>
    <row r="169" spans="1:38" s="408" customFormat="1" ht="32.25" customHeight="1">
      <c r="A169" s="431" t="s">
        <v>131</v>
      </c>
      <c r="B169" s="431"/>
      <c r="C169" s="431" t="s">
        <v>131</v>
      </c>
      <c r="D169" s="431"/>
      <c r="E169" s="431" t="s">
        <v>131</v>
      </c>
      <c r="F169" s="431"/>
      <c r="G169" s="431" t="s">
        <v>131</v>
      </c>
      <c r="H169" s="431"/>
      <c r="I169" s="431"/>
      <c r="J169" s="431"/>
      <c r="K169" s="431" t="s">
        <v>131</v>
      </c>
      <c r="L169" s="431"/>
      <c r="M169" s="431"/>
      <c r="N169" s="431" t="s">
        <v>131</v>
      </c>
      <c r="O169" s="431"/>
      <c r="P169" s="431"/>
      <c r="Q169" s="431"/>
      <c r="R169" s="431"/>
      <c r="S169" s="431" t="s">
        <v>131</v>
      </c>
      <c r="T169" s="431" t="s">
        <v>131</v>
      </c>
      <c r="U169" s="431" t="s">
        <v>202</v>
      </c>
      <c r="V169" s="431"/>
      <c r="W169" s="431" t="s">
        <v>131</v>
      </c>
      <c r="X169" s="431"/>
      <c r="Y169" s="431" t="s">
        <v>131</v>
      </c>
      <c r="Z169" s="432"/>
      <c r="AA169" s="431" t="s">
        <v>131</v>
      </c>
      <c r="AB169" s="431"/>
      <c r="AC169" s="431" t="s">
        <v>131</v>
      </c>
      <c r="AD169" s="431"/>
      <c r="AE169" s="431" t="s">
        <v>131</v>
      </c>
      <c r="AF169" s="431" t="s">
        <v>131</v>
      </c>
      <c r="AG169" s="431"/>
      <c r="AH169" s="431"/>
      <c r="AI169" s="431" t="s">
        <v>131</v>
      </c>
      <c r="AJ169" s="431"/>
      <c r="AK169" s="431"/>
      <c r="AL169" s="591"/>
    </row>
    <row r="170" spans="1:38" s="300" customFormat="1" ht="12" customHeight="1">
      <c r="A170" s="278" t="s">
        <v>376</v>
      </c>
      <c r="B170" s="278" t="s">
        <v>227</v>
      </c>
      <c r="C170" s="278" t="s">
        <v>377</v>
      </c>
      <c r="D170" s="260" t="str">
        <f t="shared" ref="D170:D176" si="95">+RIGHT(C170,8)</f>
        <v>KG541736</v>
      </c>
      <c r="E170" s="279">
        <v>574843.80000000005</v>
      </c>
      <c r="F170" s="459">
        <f>574843.8*0.85</f>
        <v>488617.23000000004</v>
      </c>
      <c r="G170" s="280" t="s">
        <v>158</v>
      </c>
      <c r="H170" s="322" t="s">
        <v>1002</v>
      </c>
      <c r="I170" s="281" t="s">
        <v>44</v>
      </c>
      <c r="J170" s="299" t="s">
        <v>131</v>
      </c>
      <c r="K170" s="282">
        <v>43698</v>
      </c>
      <c r="L170" s="323">
        <v>58</v>
      </c>
      <c r="M170" s="278">
        <f t="shared" ref="M170:M175" ca="1" si="96">$A$1-K170</f>
        <v>47</v>
      </c>
      <c r="N170" s="285">
        <v>9.4E-2</v>
      </c>
      <c r="O170" s="324">
        <f t="shared" ref="O170:O176" ca="1" si="97">F170*N170/360*M170</f>
        <v>5996.4192281666674</v>
      </c>
      <c r="P170" s="286">
        <f t="shared" ref="P170:P176" ca="1" si="98">O170+F170</f>
        <v>494613.64922816673</v>
      </c>
      <c r="Q170" s="287"/>
      <c r="R170" s="288"/>
      <c r="S170" s="287"/>
      <c r="T170" s="287"/>
      <c r="U170" s="287" t="s">
        <v>52</v>
      </c>
      <c r="V170" s="502"/>
      <c r="W170" s="290"/>
      <c r="X170" s="290"/>
      <c r="Y170" s="326"/>
      <c r="Z170" s="292"/>
      <c r="AA170" s="293">
        <f t="shared" ref="AA170:AA186" si="99">+Y170-Z170</f>
        <v>0</v>
      </c>
      <c r="AB170" s="294"/>
      <c r="AC170" s="294"/>
      <c r="AD170" s="295"/>
      <c r="AE170" s="296"/>
      <c r="AF170" s="287"/>
      <c r="AG170" s="294" t="s">
        <v>48</v>
      </c>
      <c r="AH170" s="478"/>
      <c r="AI170" s="294" t="s">
        <v>362</v>
      </c>
      <c r="AJ170" s="278"/>
      <c r="AK170" s="331"/>
      <c r="AL170" s="588">
        <f ca="1">+$A$1-A170</f>
        <v>195</v>
      </c>
    </row>
    <row r="171" spans="1:38" s="300" customFormat="1" ht="12" customHeight="1">
      <c r="A171" s="278" t="s">
        <v>395</v>
      </c>
      <c r="B171" s="278" t="s">
        <v>172</v>
      </c>
      <c r="C171" s="278" t="s">
        <v>396</v>
      </c>
      <c r="D171" s="260" t="str">
        <f t="shared" si="95"/>
        <v>KT762712</v>
      </c>
      <c r="E171" s="279">
        <v>490557.04</v>
      </c>
      <c r="F171" s="459">
        <f>490557.04*0.85</f>
        <v>416973.484</v>
      </c>
      <c r="G171" s="280" t="s">
        <v>158</v>
      </c>
      <c r="H171" s="322" t="s">
        <v>1002</v>
      </c>
      <c r="I171" s="281" t="s">
        <v>80</v>
      </c>
      <c r="J171" s="299" t="s">
        <v>131</v>
      </c>
      <c r="K171" s="282">
        <v>43712</v>
      </c>
      <c r="L171" s="323">
        <v>58</v>
      </c>
      <c r="M171" s="278">
        <f t="shared" ca="1" si="96"/>
        <v>33</v>
      </c>
      <c r="N171" s="285">
        <v>9.3299999999999994E-2</v>
      </c>
      <c r="O171" s="324">
        <f t="shared" ca="1" si="97"/>
        <v>3566.1657219099998</v>
      </c>
      <c r="P171" s="286">
        <f t="shared" ca="1" si="98"/>
        <v>420539.64972191001</v>
      </c>
      <c r="Q171" s="287"/>
      <c r="R171" s="288"/>
      <c r="S171" s="287" t="s">
        <v>1026</v>
      </c>
      <c r="T171" s="287" t="s">
        <v>1027</v>
      </c>
      <c r="U171" s="287" t="s">
        <v>202</v>
      </c>
      <c r="V171" s="502">
        <v>43720</v>
      </c>
      <c r="W171" s="290"/>
      <c r="X171" s="290"/>
      <c r="Y171" s="326">
        <v>464000</v>
      </c>
      <c r="Z171" s="292"/>
      <c r="AA171" s="293">
        <f t="shared" si="99"/>
        <v>464000</v>
      </c>
      <c r="AB171" s="294"/>
      <c r="AC171" s="294"/>
      <c r="AD171" s="295"/>
      <c r="AE171" s="296"/>
      <c r="AF171" s="287" t="s">
        <v>65</v>
      </c>
      <c r="AG171" s="294" t="s">
        <v>48</v>
      </c>
      <c r="AH171" s="478"/>
      <c r="AI171" s="294" t="s">
        <v>362</v>
      </c>
      <c r="AJ171" s="278"/>
      <c r="AK171" s="331"/>
      <c r="AL171" s="588">
        <f ca="1">+$A$1-A171</f>
        <v>185</v>
      </c>
    </row>
    <row r="172" spans="1:38" s="300" customFormat="1" ht="12" customHeight="1">
      <c r="A172" s="278" t="s">
        <v>395</v>
      </c>
      <c r="B172" s="278" t="s">
        <v>71</v>
      </c>
      <c r="C172" s="278" t="s">
        <v>397</v>
      </c>
      <c r="D172" s="260" t="str">
        <f t="shared" si="95"/>
        <v>KH004379</v>
      </c>
      <c r="E172" s="279">
        <v>194174.72</v>
      </c>
      <c r="F172" s="459">
        <f>194174.72*0.85</f>
        <v>165048.51199999999</v>
      </c>
      <c r="G172" s="280" t="s">
        <v>158</v>
      </c>
      <c r="H172" s="322" t="s">
        <v>1002</v>
      </c>
      <c r="I172" s="281" t="s">
        <v>80</v>
      </c>
      <c r="J172" s="299" t="s">
        <v>131</v>
      </c>
      <c r="K172" s="282">
        <v>43712</v>
      </c>
      <c r="L172" s="323">
        <v>58</v>
      </c>
      <c r="M172" s="278">
        <f t="shared" ca="1" si="96"/>
        <v>33</v>
      </c>
      <c r="N172" s="285">
        <v>9.3299999999999994E-2</v>
      </c>
      <c r="O172" s="324">
        <f t="shared" ca="1" si="97"/>
        <v>1411.5773988799999</v>
      </c>
      <c r="P172" s="286">
        <f t="shared" ca="1" si="98"/>
        <v>166460.08939887999</v>
      </c>
      <c r="Q172" s="287"/>
      <c r="R172" s="288"/>
      <c r="S172" s="287" t="s">
        <v>981</v>
      </c>
      <c r="T172" s="287" t="s">
        <v>982</v>
      </c>
      <c r="U172" s="287" t="s">
        <v>37</v>
      </c>
      <c r="V172" s="502">
        <v>43711</v>
      </c>
      <c r="W172" s="290"/>
      <c r="X172" s="290"/>
      <c r="Y172" s="326">
        <v>189900</v>
      </c>
      <c r="Z172" s="292">
        <v>50</v>
      </c>
      <c r="AA172" s="293">
        <f t="shared" si="99"/>
        <v>189850</v>
      </c>
      <c r="AB172" s="294" t="s">
        <v>123</v>
      </c>
      <c r="AC172" s="294" t="s">
        <v>1229</v>
      </c>
      <c r="AD172" s="295">
        <v>43711</v>
      </c>
      <c r="AE172" s="296"/>
      <c r="AF172" s="287" t="s">
        <v>173</v>
      </c>
      <c r="AG172" s="294" t="s">
        <v>48</v>
      </c>
      <c r="AH172" s="478"/>
      <c r="AI172" s="294" t="s">
        <v>362</v>
      </c>
      <c r="AJ172" s="278"/>
      <c r="AK172" s="331"/>
      <c r="AL172" s="588">
        <f t="shared" ref="AL172:AL226" ca="1" si="100">+$A$1-A172</f>
        <v>185</v>
      </c>
    </row>
    <row r="173" spans="1:38" s="300" customFormat="1" ht="12" customHeight="1">
      <c r="A173" s="278" t="s">
        <v>395</v>
      </c>
      <c r="B173" s="278" t="s">
        <v>71</v>
      </c>
      <c r="C173" s="278" t="s">
        <v>398</v>
      </c>
      <c r="D173" s="260" t="str">
        <f t="shared" si="95"/>
        <v>KH005320</v>
      </c>
      <c r="E173" s="279">
        <v>194174.72</v>
      </c>
      <c r="F173" s="459">
        <f>194174.72*0.85</f>
        <v>165048.51199999999</v>
      </c>
      <c r="G173" s="280" t="s">
        <v>158</v>
      </c>
      <c r="H173" s="322" t="s">
        <v>1002</v>
      </c>
      <c r="I173" s="281" t="s">
        <v>80</v>
      </c>
      <c r="J173" s="299" t="s">
        <v>131</v>
      </c>
      <c r="K173" s="282">
        <v>43712</v>
      </c>
      <c r="L173" s="323">
        <v>58</v>
      </c>
      <c r="M173" s="278">
        <f t="shared" ca="1" si="96"/>
        <v>33</v>
      </c>
      <c r="N173" s="285">
        <v>9.3299999999999994E-2</v>
      </c>
      <c r="O173" s="324">
        <f t="shared" ca="1" si="97"/>
        <v>1411.5773988799999</v>
      </c>
      <c r="P173" s="286">
        <f t="shared" ca="1" si="98"/>
        <v>166460.08939887999</v>
      </c>
      <c r="Q173" s="287"/>
      <c r="R173" s="288"/>
      <c r="S173" s="287" t="s">
        <v>789</v>
      </c>
      <c r="T173" s="325" t="s">
        <v>790</v>
      </c>
      <c r="U173" s="287" t="s">
        <v>37</v>
      </c>
      <c r="V173" s="502" t="s">
        <v>764</v>
      </c>
      <c r="W173" s="290"/>
      <c r="X173" s="290"/>
      <c r="Y173" s="326">
        <v>214900</v>
      </c>
      <c r="Z173" s="292">
        <f>5000+4000</f>
        <v>9000</v>
      </c>
      <c r="AA173" s="293">
        <f t="shared" si="99"/>
        <v>205900</v>
      </c>
      <c r="AB173" s="294" t="s">
        <v>203</v>
      </c>
      <c r="AC173" s="294" t="s">
        <v>1131</v>
      </c>
      <c r="AD173" s="295" t="s">
        <v>1132</v>
      </c>
      <c r="AE173" s="296"/>
      <c r="AF173" s="287" t="s">
        <v>230</v>
      </c>
      <c r="AG173" s="294" t="s">
        <v>48</v>
      </c>
      <c r="AH173" s="478"/>
      <c r="AI173" s="294" t="s">
        <v>362</v>
      </c>
      <c r="AJ173" s="278"/>
      <c r="AK173" s="331"/>
      <c r="AL173" s="588">
        <f t="shared" ca="1" si="100"/>
        <v>185</v>
      </c>
    </row>
    <row r="174" spans="1:38" s="300" customFormat="1" ht="12" customHeight="1">
      <c r="A174" s="278" t="s">
        <v>395</v>
      </c>
      <c r="B174" s="278" t="s">
        <v>71</v>
      </c>
      <c r="C174" s="278" t="s">
        <v>399</v>
      </c>
      <c r="D174" s="260" t="str">
        <f t="shared" si="95"/>
        <v>KH005478</v>
      </c>
      <c r="E174" s="279">
        <v>194174.72</v>
      </c>
      <c r="F174" s="459">
        <f>194174.72*0.85</f>
        <v>165048.51199999999</v>
      </c>
      <c r="G174" s="280" t="s">
        <v>158</v>
      </c>
      <c r="H174" s="322" t="s">
        <v>1002</v>
      </c>
      <c r="I174" s="281" t="s">
        <v>80</v>
      </c>
      <c r="J174" s="299" t="s">
        <v>131</v>
      </c>
      <c r="K174" s="282">
        <v>43712</v>
      </c>
      <c r="L174" s="323">
        <v>58</v>
      </c>
      <c r="M174" s="278">
        <f t="shared" ca="1" si="96"/>
        <v>33</v>
      </c>
      <c r="N174" s="285">
        <v>9.3299999999999994E-2</v>
      </c>
      <c r="O174" s="324">
        <f t="shared" ca="1" si="97"/>
        <v>1411.5773988799999</v>
      </c>
      <c r="P174" s="286">
        <f t="shared" ca="1" si="98"/>
        <v>166460.08939887999</v>
      </c>
      <c r="Q174" s="287"/>
      <c r="R174" s="288"/>
      <c r="S174" s="287" t="s">
        <v>983</v>
      </c>
      <c r="T174" s="287" t="s">
        <v>984</v>
      </c>
      <c r="U174" s="287" t="s">
        <v>37</v>
      </c>
      <c r="V174" s="502">
        <v>43711</v>
      </c>
      <c r="W174" s="290"/>
      <c r="X174" s="290"/>
      <c r="Y174" s="326">
        <v>189900</v>
      </c>
      <c r="Z174" s="292"/>
      <c r="AA174" s="293">
        <f t="shared" si="99"/>
        <v>189900</v>
      </c>
      <c r="AB174" s="294"/>
      <c r="AC174" s="294"/>
      <c r="AD174" s="295"/>
      <c r="AE174" s="296"/>
      <c r="AF174" s="287" t="s">
        <v>222</v>
      </c>
      <c r="AG174" s="294" t="s">
        <v>48</v>
      </c>
      <c r="AH174" s="478"/>
      <c r="AI174" s="294" t="s">
        <v>362</v>
      </c>
      <c r="AJ174" s="278"/>
      <c r="AK174" s="331"/>
      <c r="AL174" s="588">
        <f t="shared" ca="1" si="100"/>
        <v>185</v>
      </c>
    </row>
    <row r="175" spans="1:38" s="300" customFormat="1" ht="12" customHeight="1">
      <c r="A175" s="278" t="s">
        <v>400</v>
      </c>
      <c r="B175" s="278" t="s">
        <v>169</v>
      </c>
      <c r="C175" s="278" t="s">
        <v>401</v>
      </c>
      <c r="D175" s="260" t="str">
        <f t="shared" si="95"/>
        <v>KT762559</v>
      </c>
      <c r="E175" s="279">
        <v>527218.84</v>
      </c>
      <c r="F175" s="459">
        <f>527218.84*0.85</f>
        <v>448136.01399999997</v>
      </c>
      <c r="G175" s="280" t="s">
        <v>158</v>
      </c>
      <c r="H175" s="322" t="s">
        <v>1002</v>
      </c>
      <c r="I175" s="281" t="s">
        <v>80</v>
      </c>
      <c r="J175" s="299" t="s">
        <v>131</v>
      </c>
      <c r="K175" s="282">
        <v>43712</v>
      </c>
      <c r="L175" s="323">
        <v>58</v>
      </c>
      <c r="M175" s="278">
        <f t="shared" ca="1" si="96"/>
        <v>33</v>
      </c>
      <c r="N175" s="285">
        <v>9.3299999999999994E-2</v>
      </c>
      <c r="O175" s="324">
        <f t="shared" ca="1" si="97"/>
        <v>3832.6832597349999</v>
      </c>
      <c r="P175" s="286">
        <f t="shared" ca="1" si="98"/>
        <v>451968.69725973497</v>
      </c>
      <c r="Q175" s="287"/>
      <c r="R175" s="288"/>
      <c r="S175" s="287"/>
      <c r="T175" s="287"/>
      <c r="U175" s="287" t="s">
        <v>52</v>
      </c>
      <c r="V175" s="502"/>
      <c r="W175" s="290"/>
      <c r="X175" s="290"/>
      <c r="Y175" s="326"/>
      <c r="Z175" s="292"/>
      <c r="AA175" s="293">
        <f t="shared" si="99"/>
        <v>0</v>
      </c>
      <c r="AB175" s="294"/>
      <c r="AC175" s="294"/>
      <c r="AD175" s="295"/>
      <c r="AE175" s="296"/>
      <c r="AF175" s="287"/>
      <c r="AG175" s="294" t="s">
        <v>48</v>
      </c>
      <c r="AH175" s="478"/>
      <c r="AI175" s="294" t="s">
        <v>362</v>
      </c>
      <c r="AJ175" s="278"/>
      <c r="AK175" s="331"/>
      <c r="AL175" s="588">
        <f t="shared" ca="1" si="100"/>
        <v>182</v>
      </c>
    </row>
    <row r="176" spans="1:38" s="300" customFormat="1" ht="12" customHeight="1">
      <c r="A176" s="278" t="s">
        <v>403</v>
      </c>
      <c r="B176" s="278" t="s">
        <v>169</v>
      </c>
      <c r="C176" s="278" t="s">
        <v>405</v>
      </c>
      <c r="D176" s="260" t="str">
        <f t="shared" si="95"/>
        <v>KT762719</v>
      </c>
      <c r="E176" s="279">
        <v>527218.84</v>
      </c>
      <c r="F176" s="459">
        <f>527218.84*0.85</f>
        <v>448136.01399999997</v>
      </c>
      <c r="G176" s="280" t="s">
        <v>158</v>
      </c>
      <c r="H176" s="322" t="s">
        <v>1002</v>
      </c>
      <c r="I176" s="281" t="s">
        <v>32</v>
      </c>
      <c r="J176" s="299" t="s">
        <v>131</v>
      </c>
      <c r="K176" s="282">
        <v>43712</v>
      </c>
      <c r="L176" s="323">
        <v>58</v>
      </c>
      <c r="M176" s="278">
        <f t="shared" ref="M176:M198" ca="1" si="101">$A$1-K176</f>
        <v>33</v>
      </c>
      <c r="N176" s="285">
        <v>9.3299999999999994E-2</v>
      </c>
      <c r="O176" s="324">
        <f t="shared" ca="1" si="97"/>
        <v>3832.6832597349999</v>
      </c>
      <c r="P176" s="286">
        <f t="shared" ca="1" si="98"/>
        <v>451968.69725973497</v>
      </c>
      <c r="Q176" s="287"/>
      <c r="R176" s="288"/>
      <c r="S176" s="287"/>
      <c r="T176" s="287"/>
      <c r="U176" s="287" t="s">
        <v>52</v>
      </c>
      <c r="V176" s="502"/>
      <c r="W176" s="290"/>
      <c r="X176" s="290"/>
      <c r="Y176" s="326"/>
      <c r="Z176" s="292"/>
      <c r="AA176" s="293">
        <f t="shared" si="99"/>
        <v>0</v>
      </c>
      <c r="AB176" s="294"/>
      <c r="AC176" s="294"/>
      <c r="AD176" s="295"/>
      <c r="AE176" s="296"/>
      <c r="AF176" s="287"/>
      <c r="AG176" s="294" t="s">
        <v>48</v>
      </c>
      <c r="AH176" s="478"/>
      <c r="AI176" s="294" t="s">
        <v>362</v>
      </c>
      <c r="AJ176" s="278"/>
      <c r="AK176" s="331"/>
      <c r="AL176" s="588">
        <f t="shared" ca="1" si="100"/>
        <v>180</v>
      </c>
    </row>
    <row r="177" spans="1:38" s="299" customFormat="1">
      <c r="A177" s="301" t="s">
        <v>414</v>
      </c>
      <c r="B177" s="299" t="s">
        <v>146</v>
      </c>
      <c r="C177" s="299" t="s">
        <v>415</v>
      </c>
      <c r="D177" s="260" t="str">
        <f t="shared" ref="D177:D217" si="102">+RIGHT(C177,8)</f>
        <v>KK240586</v>
      </c>
      <c r="E177" s="279">
        <v>400983</v>
      </c>
      <c r="F177" s="459">
        <f>400983*0.85</f>
        <v>340835.55</v>
      </c>
      <c r="G177" s="299" t="s">
        <v>158</v>
      </c>
      <c r="H177" s="278" t="s">
        <v>33</v>
      </c>
      <c r="I177" s="281" t="s">
        <v>56</v>
      </c>
      <c r="J177" s="299" t="s">
        <v>131</v>
      </c>
      <c r="K177" s="282">
        <v>43741</v>
      </c>
      <c r="L177" s="334">
        <v>60</v>
      </c>
      <c r="M177" s="278">
        <f t="shared" ca="1" si="101"/>
        <v>4</v>
      </c>
      <c r="N177" s="285">
        <v>9.7699999999999995E-2</v>
      </c>
      <c r="O177" s="324">
        <f t="shared" ref="O177:O198" ca="1" si="103">F177*N177/360*M177</f>
        <v>369.99592483333328</v>
      </c>
      <c r="P177" s="286">
        <f t="shared" ref="P177:P198" ca="1" si="104">O177+F177</f>
        <v>341205.54592483334</v>
      </c>
      <c r="Q177" s="287"/>
      <c r="R177" s="332"/>
      <c r="S177" s="386"/>
      <c r="T177" s="533"/>
      <c r="U177" s="299" t="s">
        <v>52</v>
      </c>
      <c r="V177" s="282"/>
      <c r="W177" s="357"/>
      <c r="X177" s="282"/>
      <c r="Y177" s="326"/>
      <c r="Z177" s="292"/>
      <c r="AA177" s="293">
        <f t="shared" si="99"/>
        <v>0</v>
      </c>
      <c r="AC177" s="357"/>
      <c r="AD177" s="282"/>
      <c r="AE177" s="387"/>
      <c r="AG177" s="294" t="s">
        <v>48</v>
      </c>
      <c r="AI177" s="294" t="s">
        <v>362</v>
      </c>
      <c r="AJ177" s="278"/>
      <c r="AK177" s="328"/>
      <c r="AL177" s="588">
        <f t="shared" ca="1" si="100"/>
        <v>163</v>
      </c>
    </row>
    <row r="178" spans="1:38" s="299" customFormat="1">
      <c r="A178" s="301" t="s">
        <v>414</v>
      </c>
      <c r="B178" s="299" t="s">
        <v>146</v>
      </c>
      <c r="C178" s="299" t="s">
        <v>416</v>
      </c>
      <c r="D178" s="260" t="str">
        <f t="shared" si="102"/>
        <v>KK241302</v>
      </c>
      <c r="E178" s="279">
        <v>400983</v>
      </c>
      <c r="F178" s="459">
        <f>400983*0.85</f>
        <v>340835.55</v>
      </c>
      <c r="G178" s="299" t="s">
        <v>158</v>
      </c>
      <c r="H178" s="278" t="s">
        <v>33</v>
      </c>
      <c r="I178" s="281" t="s">
        <v>80</v>
      </c>
      <c r="J178" s="299" t="s">
        <v>131</v>
      </c>
      <c r="K178" s="282">
        <v>43741</v>
      </c>
      <c r="L178" s="334">
        <v>60</v>
      </c>
      <c r="M178" s="278">
        <f t="shared" ca="1" si="101"/>
        <v>4</v>
      </c>
      <c r="N178" s="285">
        <v>9.7699999999999995E-2</v>
      </c>
      <c r="O178" s="324">
        <f t="shared" ca="1" si="103"/>
        <v>369.99592483333328</v>
      </c>
      <c r="P178" s="286">
        <f t="shared" ca="1" si="104"/>
        <v>341205.54592483334</v>
      </c>
      <c r="Q178" s="287"/>
      <c r="R178" s="332"/>
      <c r="S178" s="386"/>
      <c r="T178" s="533"/>
      <c r="U178" s="299" t="s">
        <v>52</v>
      </c>
      <c r="V178" s="282"/>
      <c r="W178" s="357"/>
      <c r="X178" s="282"/>
      <c r="Y178" s="326"/>
      <c r="Z178" s="292"/>
      <c r="AA178" s="293">
        <f t="shared" si="99"/>
        <v>0</v>
      </c>
      <c r="AC178" s="357"/>
      <c r="AD178" s="282"/>
      <c r="AE178" s="387"/>
      <c r="AG178" s="294" t="s">
        <v>48</v>
      </c>
      <c r="AI178" s="294" t="s">
        <v>362</v>
      </c>
      <c r="AJ178" s="278"/>
      <c r="AK178" s="328"/>
      <c r="AL178" s="588">
        <f t="shared" ca="1" si="100"/>
        <v>163</v>
      </c>
    </row>
    <row r="179" spans="1:38" s="299" customFormat="1">
      <c r="A179" s="301" t="s">
        <v>422</v>
      </c>
      <c r="B179" s="299" t="s">
        <v>288</v>
      </c>
      <c r="C179" s="299" t="s">
        <v>429</v>
      </c>
      <c r="D179" s="260" t="str">
        <f t="shared" si="102"/>
        <v>KY324622</v>
      </c>
      <c r="E179" s="279">
        <v>288603.36</v>
      </c>
      <c r="F179" s="459">
        <f>288603.36*0.85</f>
        <v>245312.85599999997</v>
      </c>
      <c r="G179" s="299" t="s">
        <v>158</v>
      </c>
      <c r="H179" s="278" t="s">
        <v>33</v>
      </c>
      <c r="I179" s="492" t="s">
        <v>80</v>
      </c>
      <c r="J179" s="299" t="s">
        <v>131</v>
      </c>
      <c r="K179" s="282">
        <v>43741</v>
      </c>
      <c r="L179" s="334">
        <v>60</v>
      </c>
      <c r="M179" s="278">
        <f t="shared" ca="1" si="101"/>
        <v>4</v>
      </c>
      <c r="N179" s="285">
        <v>9.7699999999999995E-2</v>
      </c>
      <c r="O179" s="324">
        <f t="shared" ca="1" si="103"/>
        <v>266.30073367999995</v>
      </c>
      <c r="P179" s="286">
        <f t="shared" ca="1" si="104"/>
        <v>245579.15673367996</v>
      </c>
      <c r="Q179" s="287"/>
      <c r="R179" s="332"/>
      <c r="S179" s="287"/>
      <c r="T179" s="287"/>
      <c r="U179" s="299" t="s">
        <v>52</v>
      </c>
      <c r="V179" s="502"/>
      <c r="W179" s="357"/>
      <c r="X179" s="282"/>
      <c r="Y179" s="326"/>
      <c r="Z179" s="292"/>
      <c r="AA179" s="293">
        <f t="shared" si="99"/>
        <v>0</v>
      </c>
      <c r="AC179" s="357"/>
      <c r="AD179" s="282"/>
      <c r="AE179" s="387"/>
      <c r="AF179" s="287"/>
      <c r="AG179" s="294" t="s">
        <v>48</v>
      </c>
      <c r="AI179" s="294" t="s">
        <v>362</v>
      </c>
      <c r="AJ179" s="278"/>
      <c r="AK179" s="328"/>
      <c r="AL179" s="588">
        <f t="shared" ca="1" si="100"/>
        <v>161</v>
      </c>
    </row>
    <row r="180" spans="1:38" s="299" customFormat="1">
      <c r="A180" s="301" t="s">
        <v>435</v>
      </c>
      <c r="B180" s="299" t="s">
        <v>404</v>
      </c>
      <c r="C180" s="299" t="s">
        <v>436</v>
      </c>
      <c r="D180" s="260" t="str">
        <f t="shared" si="102"/>
        <v>KT764020</v>
      </c>
      <c r="E180" s="279">
        <v>447376.04</v>
      </c>
      <c r="F180" s="459">
        <f>447376.04*0.85</f>
        <v>380269.63399999996</v>
      </c>
      <c r="G180" s="299" t="s">
        <v>158</v>
      </c>
      <c r="H180" s="278" t="s">
        <v>33</v>
      </c>
      <c r="I180" s="281" t="s">
        <v>56</v>
      </c>
      <c r="J180" s="299" t="s">
        <v>131</v>
      </c>
      <c r="K180" s="282">
        <v>43741</v>
      </c>
      <c r="L180" s="334">
        <v>60</v>
      </c>
      <c r="M180" s="278">
        <f t="shared" ca="1" si="101"/>
        <v>4</v>
      </c>
      <c r="N180" s="285">
        <v>9.7699999999999995E-2</v>
      </c>
      <c r="O180" s="324">
        <f t="shared" ca="1" si="103"/>
        <v>412.80381379777771</v>
      </c>
      <c r="P180" s="286">
        <f t="shared" ca="1" si="104"/>
        <v>380682.43781379773</v>
      </c>
      <c r="Q180" s="287"/>
      <c r="R180" s="332"/>
      <c r="S180" s="386"/>
      <c r="T180" s="533"/>
      <c r="U180" s="299" t="s">
        <v>52</v>
      </c>
      <c r="V180" s="282"/>
      <c r="W180" s="357"/>
      <c r="X180" s="282"/>
      <c r="Y180" s="326"/>
      <c r="Z180" s="292"/>
      <c r="AA180" s="293">
        <f t="shared" si="99"/>
        <v>0</v>
      </c>
      <c r="AC180" s="357"/>
      <c r="AD180" s="282"/>
      <c r="AE180" s="387"/>
      <c r="AG180" s="294" t="s">
        <v>48</v>
      </c>
      <c r="AI180" s="294" t="s">
        <v>362</v>
      </c>
      <c r="AJ180" s="278"/>
      <c r="AK180" s="328"/>
      <c r="AL180" s="588">
        <f t="shared" ca="1" si="100"/>
        <v>157</v>
      </c>
    </row>
    <row r="181" spans="1:38" s="299" customFormat="1">
      <c r="A181" s="301" t="s">
        <v>435</v>
      </c>
      <c r="B181" s="299" t="s">
        <v>404</v>
      </c>
      <c r="C181" s="299" t="s">
        <v>437</v>
      </c>
      <c r="D181" s="260" t="str">
        <f t="shared" si="102"/>
        <v>KT764021</v>
      </c>
      <c r="E181" s="279">
        <v>447376.04</v>
      </c>
      <c r="F181" s="459">
        <f>447376.04*0.85</f>
        <v>380269.63399999996</v>
      </c>
      <c r="G181" s="299" t="s">
        <v>158</v>
      </c>
      <c r="H181" s="278" t="s">
        <v>33</v>
      </c>
      <c r="I181" s="281" t="s">
        <v>44</v>
      </c>
      <c r="J181" s="299" t="s">
        <v>131</v>
      </c>
      <c r="K181" s="282">
        <v>43741</v>
      </c>
      <c r="L181" s="334">
        <v>60</v>
      </c>
      <c r="M181" s="278">
        <f t="shared" ca="1" si="101"/>
        <v>4</v>
      </c>
      <c r="N181" s="285">
        <v>9.7699999999999995E-2</v>
      </c>
      <c r="O181" s="324">
        <f t="shared" ca="1" si="103"/>
        <v>412.80381379777771</v>
      </c>
      <c r="P181" s="286">
        <f t="shared" ca="1" si="104"/>
        <v>380682.43781379773</v>
      </c>
      <c r="Q181" s="287"/>
      <c r="R181" s="332"/>
      <c r="S181" s="386"/>
      <c r="T181" s="533"/>
      <c r="U181" s="299" t="s">
        <v>52</v>
      </c>
      <c r="V181" s="282"/>
      <c r="W181" s="357"/>
      <c r="X181" s="282"/>
      <c r="Y181" s="326"/>
      <c r="Z181" s="292"/>
      <c r="AA181" s="293">
        <f t="shared" si="99"/>
        <v>0</v>
      </c>
      <c r="AC181" s="357"/>
      <c r="AD181" s="282"/>
      <c r="AE181" s="387"/>
      <c r="AG181" s="294" t="s">
        <v>48</v>
      </c>
      <c r="AI181" s="294" t="s">
        <v>362</v>
      </c>
      <c r="AJ181" s="278"/>
      <c r="AK181" s="328"/>
      <c r="AL181" s="588">
        <f t="shared" ca="1" si="100"/>
        <v>157</v>
      </c>
    </row>
    <row r="182" spans="1:38" s="299" customFormat="1">
      <c r="A182" s="301" t="s">
        <v>439</v>
      </c>
      <c r="B182" s="299" t="s">
        <v>248</v>
      </c>
      <c r="C182" s="299" t="s">
        <v>440</v>
      </c>
      <c r="D182" s="260" t="str">
        <f t="shared" si="102"/>
        <v>KT778779</v>
      </c>
      <c r="E182" s="279">
        <v>424309.44</v>
      </c>
      <c r="F182" s="459">
        <f>424309.44*0.85</f>
        <v>360663.02399999998</v>
      </c>
      <c r="G182" s="299" t="s">
        <v>158</v>
      </c>
      <c r="H182" s="278" t="s">
        <v>33</v>
      </c>
      <c r="I182" s="281" t="s">
        <v>44</v>
      </c>
      <c r="J182" s="299" t="s">
        <v>131</v>
      </c>
      <c r="K182" s="282">
        <v>43741</v>
      </c>
      <c r="L182" s="334">
        <v>60</v>
      </c>
      <c r="M182" s="278">
        <f t="shared" ca="1" si="101"/>
        <v>4</v>
      </c>
      <c r="N182" s="285">
        <v>9.7699999999999995E-2</v>
      </c>
      <c r="O182" s="324">
        <f t="shared" ca="1" si="103"/>
        <v>391.51974938666666</v>
      </c>
      <c r="P182" s="286">
        <f t="shared" ca="1" si="104"/>
        <v>361054.54374938662</v>
      </c>
      <c r="Q182" s="287"/>
      <c r="R182" s="332"/>
      <c r="S182" s="386" t="s">
        <v>1327</v>
      </c>
      <c r="T182" s="533" t="s">
        <v>1328</v>
      </c>
      <c r="U182" s="299" t="s">
        <v>31</v>
      </c>
      <c r="V182" s="282">
        <v>43738</v>
      </c>
      <c r="W182" s="357"/>
      <c r="X182" s="282"/>
      <c r="Y182" s="326">
        <v>454900</v>
      </c>
      <c r="Z182" s="292">
        <v>10000</v>
      </c>
      <c r="AA182" s="293">
        <f t="shared" si="99"/>
        <v>444900</v>
      </c>
      <c r="AB182" s="299" t="s">
        <v>68</v>
      </c>
      <c r="AC182" s="357" t="s">
        <v>1358</v>
      </c>
      <c r="AD182" s="282">
        <v>43738</v>
      </c>
      <c r="AE182" s="387"/>
      <c r="AF182" s="299" t="s">
        <v>180</v>
      </c>
      <c r="AG182" s="294" t="s">
        <v>48</v>
      </c>
      <c r="AI182" s="294" t="s">
        <v>362</v>
      </c>
      <c r="AJ182" s="278"/>
      <c r="AK182" s="328"/>
      <c r="AL182" s="588">
        <f t="shared" ca="1" si="100"/>
        <v>153</v>
      </c>
    </row>
    <row r="183" spans="1:38" s="299" customFormat="1">
      <c r="A183" s="301" t="s">
        <v>439</v>
      </c>
      <c r="B183" s="299" t="s">
        <v>248</v>
      </c>
      <c r="C183" s="299" t="s">
        <v>441</v>
      </c>
      <c r="D183" s="260" t="str">
        <f t="shared" si="102"/>
        <v>KT778780</v>
      </c>
      <c r="E183" s="279">
        <v>424309.44</v>
      </c>
      <c r="F183" s="459">
        <f>424309.44*0.85</f>
        <v>360663.02399999998</v>
      </c>
      <c r="G183" s="299" t="s">
        <v>158</v>
      </c>
      <c r="H183" s="278" t="s">
        <v>33</v>
      </c>
      <c r="I183" s="281" t="s">
        <v>56</v>
      </c>
      <c r="J183" s="299" t="s">
        <v>131</v>
      </c>
      <c r="K183" s="282">
        <v>43741</v>
      </c>
      <c r="L183" s="334">
        <v>60</v>
      </c>
      <c r="M183" s="278">
        <f t="shared" ca="1" si="101"/>
        <v>4</v>
      </c>
      <c r="N183" s="285">
        <v>9.7699999999999995E-2</v>
      </c>
      <c r="O183" s="324">
        <f t="shared" ca="1" si="103"/>
        <v>391.51974938666666</v>
      </c>
      <c r="P183" s="286">
        <f t="shared" ca="1" si="104"/>
        <v>361054.54374938662</v>
      </c>
      <c r="Q183" s="287"/>
      <c r="R183" s="332"/>
      <c r="S183" s="386"/>
      <c r="T183" s="533"/>
      <c r="U183" s="299" t="s">
        <v>52</v>
      </c>
      <c r="V183" s="282"/>
      <c r="W183" s="357"/>
      <c r="X183" s="282"/>
      <c r="Y183" s="326"/>
      <c r="Z183" s="292"/>
      <c r="AA183" s="293">
        <f t="shared" si="99"/>
        <v>0</v>
      </c>
      <c r="AC183" s="357"/>
      <c r="AD183" s="282"/>
      <c r="AE183" s="387"/>
      <c r="AG183" s="294" t="s">
        <v>48</v>
      </c>
      <c r="AI183" s="294" t="s">
        <v>362</v>
      </c>
      <c r="AJ183" s="278"/>
      <c r="AK183" s="328"/>
      <c r="AL183" s="588">
        <f t="shared" ca="1" si="100"/>
        <v>153</v>
      </c>
    </row>
    <row r="184" spans="1:38" s="300" customFormat="1" ht="12" customHeight="1">
      <c r="A184" s="278" t="s">
        <v>414</v>
      </c>
      <c r="B184" s="278" t="s">
        <v>146</v>
      </c>
      <c r="C184" s="278" t="s">
        <v>417</v>
      </c>
      <c r="D184" s="260" t="str">
        <f t="shared" si="102"/>
        <v>KK242159</v>
      </c>
      <c r="E184" s="279">
        <v>400983</v>
      </c>
      <c r="F184" s="279">
        <v>400983</v>
      </c>
      <c r="G184" s="280" t="s">
        <v>158</v>
      </c>
      <c r="H184" s="278" t="s">
        <v>33</v>
      </c>
      <c r="I184" s="281" t="s">
        <v>56</v>
      </c>
      <c r="J184" s="299" t="s">
        <v>131</v>
      </c>
      <c r="K184" s="282">
        <v>43629</v>
      </c>
      <c r="L184" s="334">
        <v>120</v>
      </c>
      <c r="M184" s="604">
        <f t="shared" ca="1" si="101"/>
        <v>116</v>
      </c>
      <c r="N184" s="285">
        <v>9.7600000000000006E-2</v>
      </c>
      <c r="O184" s="324">
        <f t="shared" ca="1" si="103"/>
        <v>12610.469813333333</v>
      </c>
      <c r="P184" s="286">
        <f t="shared" ca="1" si="104"/>
        <v>413593.46981333336</v>
      </c>
      <c r="Q184" s="287"/>
      <c r="R184" s="288"/>
      <c r="S184" s="287"/>
      <c r="T184" s="287"/>
      <c r="U184" s="299" t="s">
        <v>52</v>
      </c>
      <c r="V184" s="502"/>
      <c r="W184" s="290"/>
      <c r="X184" s="290"/>
      <c r="Y184" s="326"/>
      <c r="Z184" s="292"/>
      <c r="AA184" s="293">
        <f t="shared" si="99"/>
        <v>0</v>
      </c>
      <c r="AB184" s="294"/>
      <c r="AC184" s="294"/>
      <c r="AD184" s="295"/>
      <c r="AE184" s="296"/>
      <c r="AF184" s="287"/>
      <c r="AG184" s="294" t="s">
        <v>48</v>
      </c>
      <c r="AH184" s="478"/>
      <c r="AI184" s="294" t="s">
        <v>362</v>
      </c>
      <c r="AJ184" s="278"/>
      <c r="AK184" s="328"/>
      <c r="AL184" s="588">
        <f t="shared" ca="1" si="100"/>
        <v>163</v>
      </c>
    </row>
    <row r="185" spans="1:38" s="300" customFormat="1" ht="12" customHeight="1">
      <c r="A185" s="278" t="s">
        <v>414</v>
      </c>
      <c r="B185" s="278" t="s">
        <v>146</v>
      </c>
      <c r="C185" s="278" t="s">
        <v>418</v>
      </c>
      <c r="D185" s="260" t="str">
        <f t="shared" si="102"/>
        <v>KK242193</v>
      </c>
      <c r="E185" s="279">
        <v>400983</v>
      </c>
      <c r="F185" s="279">
        <v>400983</v>
      </c>
      <c r="G185" s="280" t="s">
        <v>158</v>
      </c>
      <c r="H185" s="278" t="s">
        <v>33</v>
      </c>
      <c r="I185" s="281" t="s">
        <v>69</v>
      </c>
      <c r="J185" s="299" t="s">
        <v>131</v>
      </c>
      <c r="K185" s="282">
        <v>43629</v>
      </c>
      <c r="L185" s="334">
        <v>120</v>
      </c>
      <c r="M185" s="604">
        <f t="shared" ca="1" si="101"/>
        <v>116</v>
      </c>
      <c r="N185" s="285">
        <v>9.7600000000000006E-2</v>
      </c>
      <c r="O185" s="324">
        <f t="shared" ca="1" si="103"/>
        <v>12610.469813333333</v>
      </c>
      <c r="P185" s="286">
        <f t="shared" ca="1" si="104"/>
        <v>413593.46981333336</v>
      </c>
      <c r="Q185" s="287"/>
      <c r="R185" s="288"/>
      <c r="S185" s="287"/>
      <c r="T185" s="287"/>
      <c r="U185" s="299" t="s">
        <v>52</v>
      </c>
      <c r="V185" s="502"/>
      <c r="W185" s="290"/>
      <c r="X185" s="290"/>
      <c r="Y185" s="326"/>
      <c r="Z185" s="292"/>
      <c r="AA185" s="293">
        <f t="shared" si="99"/>
        <v>0</v>
      </c>
      <c r="AB185" s="294"/>
      <c r="AC185" s="294"/>
      <c r="AD185" s="295"/>
      <c r="AE185" s="296"/>
      <c r="AF185" s="287"/>
      <c r="AG185" s="294" t="s">
        <v>48</v>
      </c>
      <c r="AH185" s="478"/>
      <c r="AI185" s="294" t="s">
        <v>362</v>
      </c>
      <c r="AJ185" s="278"/>
      <c r="AK185" s="328"/>
      <c r="AL185" s="588">
        <f t="shared" ca="1" si="100"/>
        <v>163</v>
      </c>
    </row>
    <row r="186" spans="1:38" s="300" customFormat="1" ht="12" customHeight="1">
      <c r="A186" s="278" t="s">
        <v>414</v>
      </c>
      <c r="B186" s="278" t="s">
        <v>146</v>
      </c>
      <c r="C186" s="278" t="s">
        <v>419</v>
      </c>
      <c r="D186" s="260" t="str">
        <f t="shared" si="102"/>
        <v>KK244604</v>
      </c>
      <c r="E186" s="279">
        <v>400983</v>
      </c>
      <c r="F186" s="279">
        <v>400983</v>
      </c>
      <c r="G186" s="280" t="s">
        <v>158</v>
      </c>
      <c r="H186" s="278" t="s">
        <v>33</v>
      </c>
      <c r="I186" s="492" t="s">
        <v>80</v>
      </c>
      <c r="J186" s="299" t="s">
        <v>131</v>
      </c>
      <c r="K186" s="282">
        <v>43629</v>
      </c>
      <c r="L186" s="334">
        <v>120</v>
      </c>
      <c r="M186" s="604">
        <f t="shared" ca="1" si="101"/>
        <v>116</v>
      </c>
      <c r="N186" s="285">
        <v>9.7600000000000006E-2</v>
      </c>
      <c r="O186" s="324">
        <f t="shared" ca="1" si="103"/>
        <v>12610.469813333333</v>
      </c>
      <c r="P186" s="286">
        <f t="shared" ca="1" si="104"/>
        <v>413593.46981333336</v>
      </c>
      <c r="Q186" s="287"/>
      <c r="R186" s="288"/>
      <c r="S186" s="287" t="s">
        <v>985</v>
      </c>
      <c r="T186" s="287" t="s">
        <v>986</v>
      </c>
      <c r="U186" s="299" t="s">
        <v>31</v>
      </c>
      <c r="V186" s="502">
        <v>43711</v>
      </c>
      <c r="W186" s="290"/>
      <c r="X186" s="290"/>
      <c r="Y186" s="326">
        <v>400900</v>
      </c>
      <c r="Z186" s="292">
        <f>155900+5425.32</f>
        <v>161325.32</v>
      </c>
      <c r="AA186" s="293">
        <f t="shared" si="99"/>
        <v>239574.68</v>
      </c>
      <c r="AB186" s="299" t="s">
        <v>68</v>
      </c>
      <c r="AC186" s="294" t="s">
        <v>998</v>
      </c>
      <c r="AD186" s="295">
        <v>43712</v>
      </c>
      <c r="AE186" s="296"/>
      <c r="AF186" s="287" t="s">
        <v>180</v>
      </c>
      <c r="AG186" s="294" t="s">
        <v>48</v>
      </c>
      <c r="AH186" s="478"/>
      <c r="AI186" s="294" t="s">
        <v>362</v>
      </c>
      <c r="AJ186" s="278"/>
      <c r="AK186" s="328"/>
      <c r="AL186" s="588">
        <f t="shared" ca="1" si="100"/>
        <v>163</v>
      </c>
    </row>
    <row r="187" spans="1:38" s="300" customFormat="1" ht="12" customHeight="1">
      <c r="A187" s="278" t="s">
        <v>444</v>
      </c>
      <c r="B187" s="278" t="s">
        <v>404</v>
      </c>
      <c r="C187" s="278" t="s">
        <v>445</v>
      </c>
      <c r="D187" s="260" t="str">
        <f t="shared" si="102"/>
        <v>KT778782</v>
      </c>
      <c r="E187" s="279">
        <v>447376.04</v>
      </c>
      <c r="F187" s="279">
        <v>447376.04</v>
      </c>
      <c r="G187" s="280" t="s">
        <v>158</v>
      </c>
      <c r="H187" s="278" t="s">
        <v>33</v>
      </c>
      <c r="I187" s="281" t="s">
        <v>80</v>
      </c>
      <c r="J187" s="299" t="s">
        <v>131</v>
      </c>
      <c r="K187" s="282">
        <v>43629</v>
      </c>
      <c r="L187" s="334">
        <v>120</v>
      </c>
      <c r="M187" s="604">
        <f t="shared" ca="1" si="101"/>
        <v>116</v>
      </c>
      <c r="N187" s="285">
        <v>9.7600000000000006E-2</v>
      </c>
      <c r="O187" s="324">
        <f t="shared" ca="1" si="103"/>
        <v>14069.479373511111</v>
      </c>
      <c r="P187" s="286">
        <f t="shared" ca="1" si="104"/>
        <v>461445.51937351108</v>
      </c>
      <c r="Q187" s="287"/>
      <c r="R187" s="288"/>
      <c r="S187" s="287"/>
      <c r="T187" s="287"/>
      <c r="U187" s="299" t="s">
        <v>52</v>
      </c>
      <c r="V187" s="502"/>
      <c r="W187" s="290"/>
      <c r="X187" s="290"/>
      <c r="Y187" s="326"/>
      <c r="Z187" s="292"/>
      <c r="AA187" s="293">
        <f t="shared" ref="AA187:AA224" si="105">+Y187-Z187</f>
        <v>0</v>
      </c>
      <c r="AB187" s="294"/>
      <c r="AC187" s="294"/>
      <c r="AD187" s="295"/>
      <c r="AE187" s="296"/>
      <c r="AF187" s="287"/>
      <c r="AG187" s="294" t="s">
        <v>48</v>
      </c>
      <c r="AH187" s="478"/>
      <c r="AI187" s="294" t="s">
        <v>362</v>
      </c>
      <c r="AJ187" s="278"/>
      <c r="AK187" s="328"/>
      <c r="AL187" s="588">
        <f t="shared" ca="1" si="100"/>
        <v>152</v>
      </c>
    </row>
    <row r="188" spans="1:38" s="300" customFormat="1" ht="12" customHeight="1">
      <c r="A188" s="301">
        <v>43517</v>
      </c>
      <c r="B188" s="278" t="s">
        <v>408</v>
      </c>
      <c r="C188" s="278" t="s">
        <v>356</v>
      </c>
      <c r="D188" s="260" t="str">
        <f t="shared" si="102"/>
        <v>KC673647</v>
      </c>
      <c r="E188" s="279">
        <v>709341.16</v>
      </c>
      <c r="F188" s="279">
        <v>709341.16</v>
      </c>
      <c r="G188" s="280" t="s">
        <v>158</v>
      </c>
      <c r="H188" s="278" t="s">
        <v>33</v>
      </c>
      <c r="I188" s="281" t="s">
        <v>80</v>
      </c>
      <c r="J188" s="299" t="s">
        <v>131</v>
      </c>
      <c r="K188" s="282">
        <v>43635</v>
      </c>
      <c r="L188" s="334">
        <v>120</v>
      </c>
      <c r="M188" s="278">
        <f t="shared" ca="1" si="101"/>
        <v>110</v>
      </c>
      <c r="N188" s="285">
        <v>9.7699999999999995E-2</v>
      </c>
      <c r="O188" s="324">
        <f t="shared" ca="1" si="103"/>
        <v>21175.80401811111</v>
      </c>
      <c r="P188" s="286">
        <f t="shared" ca="1" si="104"/>
        <v>730516.96401811112</v>
      </c>
      <c r="Q188" s="287"/>
      <c r="R188" s="288"/>
      <c r="S188" s="287"/>
      <c r="T188" s="287"/>
      <c r="U188" s="299" t="s">
        <v>52</v>
      </c>
      <c r="V188" s="502"/>
      <c r="W188" s="290"/>
      <c r="X188" s="290"/>
      <c r="Y188" s="326"/>
      <c r="Z188" s="292"/>
      <c r="AA188" s="293">
        <f t="shared" si="105"/>
        <v>0</v>
      </c>
      <c r="AB188" s="294"/>
      <c r="AC188" s="294"/>
      <c r="AD188" s="295"/>
      <c r="AE188" s="296"/>
      <c r="AF188" s="287"/>
      <c r="AG188" s="294" t="s">
        <v>48</v>
      </c>
      <c r="AH188" s="478"/>
      <c r="AI188" s="294" t="s">
        <v>362</v>
      </c>
      <c r="AJ188" s="278"/>
      <c r="AK188" s="328"/>
      <c r="AL188" s="588">
        <f t="shared" ca="1" si="100"/>
        <v>228</v>
      </c>
    </row>
    <row r="189" spans="1:38" s="300" customFormat="1" ht="12" customHeight="1">
      <c r="A189" s="278" t="s">
        <v>379</v>
      </c>
      <c r="B189" s="278" t="s">
        <v>268</v>
      </c>
      <c r="C189" s="278" t="s">
        <v>380</v>
      </c>
      <c r="D189" s="260" t="str">
        <f t="shared" si="102"/>
        <v>KN772418</v>
      </c>
      <c r="E189" s="279">
        <v>965904.16</v>
      </c>
      <c r="F189" s="279">
        <v>965904.16</v>
      </c>
      <c r="G189" s="280" t="s">
        <v>158</v>
      </c>
      <c r="H189" s="278" t="s">
        <v>33</v>
      </c>
      <c r="I189" s="281" t="s">
        <v>69</v>
      </c>
      <c r="J189" s="299" t="s">
        <v>131</v>
      </c>
      <c r="K189" s="282">
        <v>43635</v>
      </c>
      <c r="L189" s="334">
        <v>120</v>
      </c>
      <c r="M189" s="278">
        <f t="shared" ca="1" si="101"/>
        <v>110</v>
      </c>
      <c r="N189" s="285">
        <v>9.7699999999999995E-2</v>
      </c>
      <c r="O189" s="324">
        <f t="shared" ca="1" si="103"/>
        <v>28834.922243111108</v>
      </c>
      <c r="P189" s="286">
        <f t="shared" ca="1" si="104"/>
        <v>994739.0822431111</v>
      </c>
      <c r="Q189" s="287"/>
      <c r="R189" s="288"/>
      <c r="S189" s="287"/>
      <c r="T189" s="287"/>
      <c r="U189" s="299" t="s">
        <v>52</v>
      </c>
      <c r="V189" s="502"/>
      <c r="W189" s="290"/>
      <c r="X189" s="290"/>
      <c r="Y189" s="326"/>
      <c r="Z189" s="292"/>
      <c r="AA189" s="293">
        <f t="shared" si="105"/>
        <v>0</v>
      </c>
      <c r="AB189" s="294"/>
      <c r="AC189" s="294"/>
      <c r="AD189" s="295"/>
      <c r="AE189" s="296"/>
      <c r="AF189" s="287"/>
      <c r="AG189" s="294" t="s">
        <v>48</v>
      </c>
      <c r="AH189" s="478"/>
      <c r="AI189" s="294" t="s">
        <v>362</v>
      </c>
      <c r="AJ189" s="278"/>
      <c r="AK189" s="328"/>
      <c r="AL189" s="588">
        <f t="shared" ca="1" si="100"/>
        <v>191</v>
      </c>
    </row>
    <row r="190" spans="1:38" s="300" customFormat="1" ht="12" customHeight="1">
      <c r="A190" s="278" t="s">
        <v>406</v>
      </c>
      <c r="B190" s="278" t="s">
        <v>287</v>
      </c>
      <c r="C190" s="278" t="s">
        <v>407</v>
      </c>
      <c r="D190" s="260" t="str">
        <f t="shared" si="102"/>
        <v>KN820359</v>
      </c>
      <c r="E190" s="279">
        <v>897783.16</v>
      </c>
      <c r="F190" s="279">
        <v>897783.16</v>
      </c>
      <c r="G190" s="280" t="s">
        <v>158</v>
      </c>
      <c r="H190" s="278" t="s">
        <v>33</v>
      </c>
      <c r="I190" s="281" t="s">
        <v>55</v>
      </c>
      <c r="J190" s="299" t="s">
        <v>131</v>
      </c>
      <c r="K190" s="282">
        <v>43635</v>
      </c>
      <c r="L190" s="334">
        <v>120</v>
      </c>
      <c r="M190" s="278">
        <f t="shared" ca="1" si="101"/>
        <v>110</v>
      </c>
      <c r="N190" s="285">
        <v>9.7699999999999995E-2</v>
      </c>
      <c r="O190" s="324">
        <f t="shared" ca="1" si="103"/>
        <v>26801.321168111113</v>
      </c>
      <c r="P190" s="286">
        <f t="shared" ca="1" si="104"/>
        <v>924584.48116811109</v>
      </c>
      <c r="Q190" s="287"/>
      <c r="R190" s="288"/>
      <c r="S190" s="287"/>
      <c r="T190" s="287"/>
      <c r="U190" s="299" t="s">
        <v>52</v>
      </c>
      <c r="V190" s="502"/>
      <c r="W190" s="290"/>
      <c r="X190" s="290"/>
      <c r="Y190" s="326"/>
      <c r="Z190" s="292"/>
      <c r="AA190" s="293">
        <f t="shared" si="105"/>
        <v>0</v>
      </c>
      <c r="AB190" s="294"/>
      <c r="AC190" s="294"/>
      <c r="AD190" s="295"/>
      <c r="AE190" s="296"/>
      <c r="AF190" s="287"/>
      <c r="AG190" s="294" t="s">
        <v>48</v>
      </c>
      <c r="AH190" s="478"/>
      <c r="AI190" s="294" t="s">
        <v>362</v>
      </c>
      <c r="AJ190" s="278"/>
      <c r="AK190" s="328"/>
      <c r="AL190" s="588">
        <f t="shared" ca="1" si="100"/>
        <v>178</v>
      </c>
    </row>
    <row r="191" spans="1:38" s="300" customFormat="1" ht="12" customHeight="1">
      <c r="A191" s="278" t="s">
        <v>414</v>
      </c>
      <c r="B191" s="278" t="s">
        <v>209</v>
      </c>
      <c r="C191" s="278" t="s">
        <v>420</v>
      </c>
      <c r="D191" s="260" t="str">
        <f t="shared" si="102"/>
        <v>KW615042</v>
      </c>
      <c r="E191" s="279">
        <v>742964.92</v>
      </c>
      <c r="F191" s="279">
        <v>742964.92</v>
      </c>
      <c r="G191" s="280" t="s">
        <v>158</v>
      </c>
      <c r="H191" s="278" t="s">
        <v>33</v>
      </c>
      <c r="I191" s="281" t="s">
        <v>80</v>
      </c>
      <c r="J191" s="299" t="s">
        <v>131</v>
      </c>
      <c r="K191" s="282">
        <v>43635</v>
      </c>
      <c r="L191" s="334">
        <v>120</v>
      </c>
      <c r="M191" s="278">
        <f t="shared" ca="1" si="101"/>
        <v>110</v>
      </c>
      <c r="N191" s="285">
        <v>9.7699999999999995E-2</v>
      </c>
      <c r="O191" s="324">
        <f t="shared" ca="1" si="103"/>
        <v>22179.566653444446</v>
      </c>
      <c r="P191" s="286">
        <f t="shared" ca="1" si="104"/>
        <v>765144.48665344447</v>
      </c>
      <c r="Q191" s="287"/>
      <c r="R191" s="288"/>
      <c r="S191" s="287"/>
      <c r="T191" s="287"/>
      <c r="U191" s="299" t="s">
        <v>52</v>
      </c>
      <c r="V191" s="502"/>
      <c r="W191" s="290"/>
      <c r="X191" s="290"/>
      <c r="Y191" s="326"/>
      <c r="Z191" s="292"/>
      <c r="AA191" s="293">
        <f t="shared" si="105"/>
        <v>0</v>
      </c>
      <c r="AB191" s="294"/>
      <c r="AC191" s="294"/>
      <c r="AD191" s="295"/>
      <c r="AE191" s="296"/>
      <c r="AF191" s="287"/>
      <c r="AG191" s="294" t="s">
        <v>48</v>
      </c>
      <c r="AH191" s="478"/>
      <c r="AI191" s="294" t="s">
        <v>362</v>
      </c>
      <c r="AJ191" s="278"/>
      <c r="AK191" s="328"/>
      <c r="AL191" s="588">
        <f t="shared" ca="1" si="100"/>
        <v>163</v>
      </c>
    </row>
    <row r="192" spans="1:38" s="300" customFormat="1" ht="12" customHeight="1">
      <c r="A192" s="278" t="s">
        <v>457</v>
      </c>
      <c r="B192" s="278" t="s">
        <v>73</v>
      </c>
      <c r="C192" s="278" t="s">
        <v>458</v>
      </c>
      <c r="D192" s="260" t="str">
        <f t="shared" si="102"/>
        <v>KH006848</v>
      </c>
      <c r="E192" s="279">
        <v>234852.44</v>
      </c>
      <c r="F192" s="279">
        <v>234852.44</v>
      </c>
      <c r="G192" s="280" t="s">
        <v>158</v>
      </c>
      <c r="H192" s="278" t="s">
        <v>33</v>
      </c>
      <c r="I192" s="281" t="s">
        <v>56</v>
      </c>
      <c r="J192" s="299" t="s">
        <v>131</v>
      </c>
      <c r="K192" s="282">
        <v>43635</v>
      </c>
      <c r="L192" s="334">
        <v>120</v>
      </c>
      <c r="M192" s="278">
        <f t="shared" ca="1" si="101"/>
        <v>110</v>
      </c>
      <c r="N192" s="285">
        <v>9.7699999999999995E-2</v>
      </c>
      <c r="O192" s="324">
        <f t="shared" ca="1" si="103"/>
        <v>7010.9977018888885</v>
      </c>
      <c r="P192" s="286">
        <f t="shared" ca="1" si="104"/>
        <v>241863.43770188888</v>
      </c>
      <c r="Q192" s="287"/>
      <c r="R192" s="288"/>
      <c r="S192" s="287"/>
      <c r="T192" s="287"/>
      <c r="U192" s="299" t="s">
        <v>52</v>
      </c>
      <c r="V192" s="502"/>
      <c r="W192" s="290"/>
      <c r="X192" s="290"/>
      <c r="Y192" s="326"/>
      <c r="Z192" s="292"/>
      <c r="AA192" s="293">
        <f t="shared" si="105"/>
        <v>0</v>
      </c>
      <c r="AB192" s="294"/>
      <c r="AC192" s="294"/>
      <c r="AD192" s="295"/>
      <c r="AE192" s="296"/>
      <c r="AF192" s="287"/>
      <c r="AG192" s="294" t="s">
        <v>48</v>
      </c>
      <c r="AH192" s="478"/>
      <c r="AI192" s="294" t="s">
        <v>362</v>
      </c>
      <c r="AJ192" s="278"/>
      <c r="AK192" s="328"/>
      <c r="AL192" s="588">
        <f t="shared" ca="1" si="100"/>
        <v>139</v>
      </c>
    </row>
    <row r="193" spans="1:38" s="300" customFormat="1" ht="12" customHeight="1">
      <c r="A193" s="278" t="s">
        <v>459</v>
      </c>
      <c r="B193" s="278" t="s">
        <v>363</v>
      </c>
      <c r="C193" s="278" t="s">
        <v>460</v>
      </c>
      <c r="D193" s="260" t="str">
        <f t="shared" si="102"/>
        <v>KK248042</v>
      </c>
      <c r="E193" s="279">
        <v>416361.12</v>
      </c>
      <c r="F193" s="279">
        <v>416361.12</v>
      </c>
      <c r="G193" s="280" t="s">
        <v>158</v>
      </c>
      <c r="H193" s="278" t="s">
        <v>33</v>
      </c>
      <c r="I193" s="281" t="s">
        <v>69</v>
      </c>
      <c r="J193" s="299" t="s">
        <v>131</v>
      </c>
      <c r="K193" s="282">
        <v>43635</v>
      </c>
      <c r="L193" s="334">
        <v>120</v>
      </c>
      <c r="M193" s="278">
        <f t="shared" ca="1" si="101"/>
        <v>110</v>
      </c>
      <c r="N193" s="285">
        <v>9.7699999999999995E-2</v>
      </c>
      <c r="O193" s="324">
        <f t="shared" ca="1" si="103"/>
        <v>12429.535990666667</v>
      </c>
      <c r="P193" s="286">
        <f t="shared" ca="1" si="104"/>
        <v>428790.65599066665</v>
      </c>
      <c r="Q193" s="287"/>
      <c r="R193" s="288"/>
      <c r="S193" s="287"/>
      <c r="T193" s="287"/>
      <c r="U193" s="299" t="s">
        <v>52</v>
      </c>
      <c r="V193" s="502"/>
      <c r="W193" s="290"/>
      <c r="X193" s="290"/>
      <c r="Y193" s="326"/>
      <c r="Z193" s="292"/>
      <c r="AA193" s="293">
        <f t="shared" si="105"/>
        <v>0</v>
      </c>
      <c r="AB193" s="294"/>
      <c r="AC193" s="294"/>
      <c r="AD193" s="295"/>
      <c r="AE193" s="296"/>
      <c r="AF193" s="287"/>
      <c r="AG193" s="294" t="s">
        <v>48</v>
      </c>
      <c r="AH193" s="478"/>
      <c r="AI193" s="294" t="s">
        <v>362</v>
      </c>
      <c r="AJ193" s="278"/>
      <c r="AK193" s="328"/>
      <c r="AL193" s="588">
        <f t="shared" ca="1" si="100"/>
        <v>138</v>
      </c>
    </row>
    <row r="194" spans="1:38" s="300" customFormat="1" ht="12" customHeight="1">
      <c r="A194" s="278" t="s">
        <v>459</v>
      </c>
      <c r="B194" s="278" t="s">
        <v>146</v>
      </c>
      <c r="C194" s="278" t="s">
        <v>461</v>
      </c>
      <c r="D194" s="260" t="str">
        <f t="shared" si="102"/>
        <v>KK249171</v>
      </c>
      <c r="E194" s="279">
        <v>400983</v>
      </c>
      <c r="F194" s="279">
        <v>400983</v>
      </c>
      <c r="G194" s="280" t="s">
        <v>158</v>
      </c>
      <c r="H194" s="278" t="s">
        <v>33</v>
      </c>
      <c r="I194" s="281" t="s">
        <v>44</v>
      </c>
      <c r="J194" s="299" t="s">
        <v>131</v>
      </c>
      <c r="K194" s="282">
        <v>43635</v>
      </c>
      <c r="L194" s="334">
        <v>120</v>
      </c>
      <c r="M194" s="278">
        <f t="shared" ca="1" si="101"/>
        <v>110</v>
      </c>
      <c r="N194" s="285">
        <v>9.7699999999999995E-2</v>
      </c>
      <c r="O194" s="324">
        <f t="shared" ca="1" si="103"/>
        <v>11970.456391666667</v>
      </c>
      <c r="P194" s="286">
        <f t="shared" ca="1" si="104"/>
        <v>412953.45639166667</v>
      </c>
      <c r="Q194" s="287"/>
      <c r="R194" s="288"/>
      <c r="S194" s="287"/>
      <c r="T194" s="287"/>
      <c r="U194" s="299" t="s">
        <v>52</v>
      </c>
      <c r="V194" s="502"/>
      <c r="W194" s="290"/>
      <c r="X194" s="290"/>
      <c r="Y194" s="326"/>
      <c r="Z194" s="292"/>
      <c r="AA194" s="293">
        <f t="shared" si="105"/>
        <v>0</v>
      </c>
      <c r="AB194" s="294"/>
      <c r="AC194" s="294"/>
      <c r="AD194" s="295"/>
      <c r="AE194" s="296"/>
      <c r="AF194" s="287"/>
      <c r="AG194" s="294" t="s">
        <v>48</v>
      </c>
      <c r="AH194" s="478"/>
      <c r="AI194" s="294" t="s">
        <v>362</v>
      </c>
      <c r="AJ194" s="278"/>
      <c r="AK194" s="328"/>
      <c r="AL194" s="588">
        <f t="shared" ca="1" si="100"/>
        <v>138</v>
      </c>
    </row>
    <row r="195" spans="1:38" s="300" customFormat="1" ht="12" customHeight="1">
      <c r="A195" s="278" t="s">
        <v>459</v>
      </c>
      <c r="B195" s="278" t="s">
        <v>146</v>
      </c>
      <c r="C195" s="278" t="s">
        <v>462</v>
      </c>
      <c r="D195" s="260" t="str">
        <f t="shared" si="102"/>
        <v>KK249172</v>
      </c>
      <c r="E195" s="279">
        <v>400983</v>
      </c>
      <c r="F195" s="279">
        <v>400983</v>
      </c>
      <c r="G195" s="280" t="s">
        <v>158</v>
      </c>
      <c r="H195" s="278" t="s">
        <v>33</v>
      </c>
      <c r="I195" s="281" t="s">
        <v>55</v>
      </c>
      <c r="J195" s="299" t="s">
        <v>131</v>
      </c>
      <c r="K195" s="282">
        <v>43635</v>
      </c>
      <c r="L195" s="334">
        <v>120</v>
      </c>
      <c r="M195" s="278">
        <f t="shared" ca="1" si="101"/>
        <v>110</v>
      </c>
      <c r="N195" s="285">
        <v>9.7699999999999995E-2</v>
      </c>
      <c r="O195" s="324">
        <f t="shared" ca="1" si="103"/>
        <v>11970.456391666667</v>
      </c>
      <c r="P195" s="286">
        <f t="shared" ca="1" si="104"/>
        <v>412953.45639166667</v>
      </c>
      <c r="Q195" s="287"/>
      <c r="R195" s="288"/>
      <c r="S195" s="287"/>
      <c r="T195" s="287"/>
      <c r="U195" s="299" t="s">
        <v>52</v>
      </c>
      <c r="V195" s="502"/>
      <c r="W195" s="290"/>
      <c r="X195" s="290"/>
      <c r="Y195" s="326"/>
      <c r="Z195" s="292"/>
      <c r="AA195" s="293">
        <f t="shared" si="105"/>
        <v>0</v>
      </c>
      <c r="AB195" s="294"/>
      <c r="AC195" s="294"/>
      <c r="AD195" s="295"/>
      <c r="AE195" s="296"/>
      <c r="AF195" s="287"/>
      <c r="AG195" s="294" t="s">
        <v>48</v>
      </c>
      <c r="AH195" s="478"/>
      <c r="AI195" s="294" t="s">
        <v>362</v>
      </c>
      <c r="AJ195" s="278"/>
      <c r="AK195" s="328"/>
      <c r="AL195" s="588">
        <f t="shared" ca="1" si="100"/>
        <v>138</v>
      </c>
    </row>
    <row r="196" spans="1:38" s="300" customFormat="1" ht="12" customHeight="1">
      <c r="A196" s="278" t="s">
        <v>459</v>
      </c>
      <c r="B196" s="278" t="s">
        <v>146</v>
      </c>
      <c r="C196" s="278" t="s">
        <v>463</v>
      </c>
      <c r="D196" s="260" t="str">
        <f t="shared" si="102"/>
        <v>KK249367</v>
      </c>
      <c r="E196" s="279">
        <v>400983</v>
      </c>
      <c r="F196" s="279">
        <v>400983</v>
      </c>
      <c r="G196" s="280" t="s">
        <v>158</v>
      </c>
      <c r="H196" s="278" t="s">
        <v>33</v>
      </c>
      <c r="I196" s="281" t="s">
        <v>55</v>
      </c>
      <c r="J196" s="299" t="s">
        <v>131</v>
      </c>
      <c r="K196" s="282">
        <v>43635</v>
      </c>
      <c r="L196" s="334">
        <v>120</v>
      </c>
      <c r="M196" s="278">
        <f t="shared" ca="1" si="101"/>
        <v>110</v>
      </c>
      <c r="N196" s="285">
        <v>9.7699999999999995E-2</v>
      </c>
      <c r="O196" s="324">
        <f t="shared" ca="1" si="103"/>
        <v>11970.456391666667</v>
      </c>
      <c r="P196" s="286">
        <f t="shared" ca="1" si="104"/>
        <v>412953.45639166667</v>
      </c>
      <c r="Q196" s="287"/>
      <c r="R196" s="288"/>
      <c r="S196" s="287"/>
      <c r="T196" s="287"/>
      <c r="U196" s="299" t="s">
        <v>52</v>
      </c>
      <c r="V196" s="502"/>
      <c r="W196" s="290"/>
      <c r="X196" s="290"/>
      <c r="Y196" s="326"/>
      <c r="Z196" s="292"/>
      <c r="AA196" s="293">
        <f t="shared" si="105"/>
        <v>0</v>
      </c>
      <c r="AB196" s="294"/>
      <c r="AC196" s="294"/>
      <c r="AD196" s="295"/>
      <c r="AE196" s="296"/>
      <c r="AF196" s="287"/>
      <c r="AG196" s="294" t="s">
        <v>48</v>
      </c>
      <c r="AH196" s="478"/>
      <c r="AI196" s="294" t="s">
        <v>362</v>
      </c>
      <c r="AJ196" s="278"/>
      <c r="AK196" s="328"/>
      <c r="AL196" s="588">
        <f t="shared" ca="1" si="100"/>
        <v>138</v>
      </c>
    </row>
    <row r="197" spans="1:38" s="300" customFormat="1" ht="12" customHeight="1">
      <c r="A197" s="278" t="s">
        <v>459</v>
      </c>
      <c r="B197" s="278" t="s">
        <v>268</v>
      </c>
      <c r="C197" s="278" t="s">
        <v>464</v>
      </c>
      <c r="D197" s="260" t="str">
        <f t="shared" si="102"/>
        <v>KN772417</v>
      </c>
      <c r="E197" s="279">
        <v>965904.16</v>
      </c>
      <c r="F197" s="279">
        <v>965904.16</v>
      </c>
      <c r="G197" s="280" t="s">
        <v>158</v>
      </c>
      <c r="H197" s="278" t="s">
        <v>33</v>
      </c>
      <c r="I197" s="281" t="s">
        <v>55</v>
      </c>
      <c r="J197" s="299" t="s">
        <v>131</v>
      </c>
      <c r="K197" s="282">
        <v>43635</v>
      </c>
      <c r="L197" s="334">
        <v>120</v>
      </c>
      <c r="M197" s="278">
        <f t="shared" ca="1" si="101"/>
        <v>110</v>
      </c>
      <c r="N197" s="285">
        <v>9.7699999999999995E-2</v>
      </c>
      <c r="O197" s="324">
        <f t="shared" ca="1" si="103"/>
        <v>28834.922243111108</v>
      </c>
      <c r="P197" s="286">
        <f t="shared" ca="1" si="104"/>
        <v>994739.0822431111</v>
      </c>
      <c r="Q197" s="287"/>
      <c r="R197" s="288"/>
      <c r="S197" s="287"/>
      <c r="T197" s="287"/>
      <c r="U197" s="299" t="s">
        <v>52</v>
      </c>
      <c r="V197" s="502"/>
      <c r="W197" s="290"/>
      <c r="X197" s="290"/>
      <c r="Y197" s="326"/>
      <c r="Z197" s="292"/>
      <c r="AA197" s="293">
        <f t="shared" si="105"/>
        <v>0</v>
      </c>
      <c r="AB197" s="294"/>
      <c r="AC197" s="294"/>
      <c r="AD197" s="295"/>
      <c r="AE197" s="296"/>
      <c r="AF197" s="287"/>
      <c r="AG197" s="294" t="s">
        <v>48</v>
      </c>
      <c r="AH197" s="478"/>
      <c r="AI197" s="294" t="s">
        <v>362</v>
      </c>
      <c r="AJ197" s="278"/>
      <c r="AK197" s="328"/>
      <c r="AL197" s="588">
        <f t="shared" ca="1" si="100"/>
        <v>138</v>
      </c>
    </row>
    <row r="198" spans="1:38" s="300" customFormat="1" ht="12" customHeight="1">
      <c r="A198" s="278" t="s">
        <v>465</v>
      </c>
      <c r="B198" s="278" t="s">
        <v>466</v>
      </c>
      <c r="C198" s="278" t="s">
        <v>467</v>
      </c>
      <c r="D198" s="260" t="str">
        <f t="shared" si="102"/>
        <v>KW648074</v>
      </c>
      <c r="E198" s="279">
        <v>649734.56000000006</v>
      </c>
      <c r="F198" s="279">
        <v>649734.56000000006</v>
      </c>
      <c r="G198" s="280" t="s">
        <v>158</v>
      </c>
      <c r="H198" s="278" t="s">
        <v>33</v>
      </c>
      <c r="I198" s="281" t="s">
        <v>231</v>
      </c>
      <c r="J198" s="299" t="s">
        <v>131</v>
      </c>
      <c r="K198" s="282">
        <v>43635</v>
      </c>
      <c r="L198" s="334">
        <v>120</v>
      </c>
      <c r="M198" s="278">
        <f t="shared" ca="1" si="101"/>
        <v>110</v>
      </c>
      <c r="N198" s="285">
        <v>9.7699999999999995E-2</v>
      </c>
      <c r="O198" s="324">
        <f t="shared" ca="1" si="103"/>
        <v>19396.381434222225</v>
      </c>
      <c r="P198" s="286">
        <f t="shared" ca="1" si="104"/>
        <v>669130.94143422227</v>
      </c>
      <c r="Q198" s="287"/>
      <c r="R198" s="288"/>
      <c r="S198" s="287"/>
      <c r="T198" s="287"/>
      <c r="U198" s="299" t="s">
        <v>52</v>
      </c>
      <c r="V198" s="502"/>
      <c r="W198" s="290"/>
      <c r="X198" s="290"/>
      <c r="Y198" s="326"/>
      <c r="Z198" s="292"/>
      <c r="AA198" s="293">
        <f t="shared" si="105"/>
        <v>0</v>
      </c>
      <c r="AB198" s="294"/>
      <c r="AC198" s="294"/>
      <c r="AD198" s="295"/>
      <c r="AE198" s="296"/>
      <c r="AF198" s="287"/>
      <c r="AG198" s="294" t="s">
        <v>48</v>
      </c>
      <c r="AH198" s="478"/>
      <c r="AI198" s="294" t="s">
        <v>362</v>
      </c>
      <c r="AJ198" s="278"/>
      <c r="AK198" s="328"/>
      <c r="AL198" s="588">
        <f t="shared" ca="1" si="100"/>
        <v>136</v>
      </c>
    </row>
    <row r="199" spans="1:38" s="300" customFormat="1" ht="12" customHeight="1">
      <c r="A199" s="278" t="s">
        <v>475</v>
      </c>
      <c r="B199" s="278" t="s">
        <v>224</v>
      </c>
      <c r="C199" s="278" t="s">
        <v>484</v>
      </c>
      <c r="D199" s="260" t="str">
        <f t="shared" si="102"/>
        <v>KR704918</v>
      </c>
      <c r="E199" s="279">
        <v>807605.92</v>
      </c>
      <c r="F199" s="279">
        <v>807605.92</v>
      </c>
      <c r="G199" s="280" t="s">
        <v>158</v>
      </c>
      <c r="H199" s="278" t="s">
        <v>33</v>
      </c>
      <c r="I199" s="281" t="s">
        <v>69</v>
      </c>
      <c r="J199" s="299" t="s">
        <v>131</v>
      </c>
      <c r="K199" s="282">
        <v>43664</v>
      </c>
      <c r="L199" s="334">
        <v>120</v>
      </c>
      <c r="M199" s="278">
        <f ca="1">$A$1-K199</f>
        <v>81</v>
      </c>
      <c r="N199" s="285">
        <v>9.7000000000000003E-2</v>
      </c>
      <c r="O199" s="324">
        <f ca="1">F199*N199/360*M199</f>
        <v>17625.999204000003</v>
      </c>
      <c r="P199" s="286">
        <f t="shared" ref="P199:P241" ca="1" si="106">O199+F199</f>
        <v>825231.91920400003</v>
      </c>
      <c r="Q199" s="287"/>
      <c r="R199" s="288"/>
      <c r="S199" s="287"/>
      <c r="T199" s="287"/>
      <c r="U199" s="299" t="s">
        <v>52</v>
      </c>
      <c r="V199" s="502"/>
      <c r="W199" s="290"/>
      <c r="X199" s="290"/>
      <c r="Y199" s="326"/>
      <c r="Z199" s="292"/>
      <c r="AA199" s="293">
        <f t="shared" si="105"/>
        <v>0</v>
      </c>
      <c r="AB199" s="294"/>
      <c r="AC199" s="294"/>
      <c r="AD199" s="295"/>
      <c r="AE199" s="296"/>
      <c r="AF199" s="287"/>
      <c r="AG199" s="294" t="s">
        <v>48</v>
      </c>
      <c r="AH199" s="478"/>
      <c r="AI199" s="294" t="s">
        <v>362</v>
      </c>
      <c r="AJ199" s="278"/>
      <c r="AK199" s="328"/>
      <c r="AL199" s="588">
        <f t="shared" ca="1" si="100"/>
        <v>130</v>
      </c>
    </row>
    <row r="200" spans="1:38" s="300" customFormat="1" ht="12" customHeight="1">
      <c r="A200" s="278" t="s">
        <v>497</v>
      </c>
      <c r="B200" s="278" t="s">
        <v>404</v>
      </c>
      <c r="C200" s="278" t="s">
        <v>499</v>
      </c>
      <c r="D200" s="260" t="str">
        <f t="shared" si="102"/>
        <v>KT804758</v>
      </c>
      <c r="E200" s="279">
        <v>447376.04</v>
      </c>
      <c r="F200" s="279">
        <v>447376.04</v>
      </c>
      <c r="G200" s="280" t="s">
        <v>158</v>
      </c>
      <c r="H200" s="278" t="s">
        <v>33</v>
      </c>
      <c r="I200" s="281" t="s">
        <v>56</v>
      </c>
      <c r="J200" s="299" t="s">
        <v>131</v>
      </c>
      <c r="K200" s="282">
        <v>43664</v>
      </c>
      <c r="L200" s="334">
        <v>120</v>
      </c>
      <c r="M200" s="278">
        <f ca="1">$A$1-K200</f>
        <v>81</v>
      </c>
      <c r="N200" s="285">
        <v>9.7000000000000003E-2</v>
      </c>
      <c r="O200" s="324">
        <f ca="1">F200*N200/360*M200</f>
        <v>9763.9820729999992</v>
      </c>
      <c r="P200" s="286">
        <f t="shared" ca="1" si="106"/>
        <v>457140.02207299997</v>
      </c>
      <c r="Q200" s="287"/>
      <c r="R200" s="288"/>
      <c r="S200" s="287"/>
      <c r="T200" s="287"/>
      <c r="U200" s="299" t="s">
        <v>52</v>
      </c>
      <c r="V200" s="502"/>
      <c r="W200" s="290"/>
      <c r="X200" s="290"/>
      <c r="Y200" s="326"/>
      <c r="Z200" s="292"/>
      <c r="AA200" s="293">
        <f t="shared" si="105"/>
        <v>0</v>
      </c>
      <c r="AB200" s="294"/>
      <c r="AC200" s="294"/>
      <c r="AD200" s="295"/>
      <c r="AE200" s="296"/>
      <c r="AF200" s="287"/>
      <c r="AG200" s="294" t="s">
        <v>48</v>
      </c>
      <c r="AH200" s="478"/>
      <c r="AI200" s="294" t="s">
        <v>362</v>
      </c>
      <c r="AJ200" s="278"/>
      <c r="AK200" s="328"/>
      <c r="AL200" s="588">
        <f t="shared" ca="1" si="100"/>
        <v>124</v>
      </c>
    </row>
    <row r="201" spans="1:38" s="300" customFormat="1" ht="12" customHeight="1">
      <c r="A201" s="278" t="s">
        <v>498</v>
      </c>
      <c r="B201" s="278" t="s">
        <v>404</v>
      </c>
      <c r="C201" s="278" t="s">
        <v>505</v>
      </c>
      <c r="D201" s="260" t="str">
        <f t="shared" si="102"/>
        <v>KT804760</v>
      </c>
      <c r="E201" s="279">
        <v>447376.04</v>
      </c>
      <c r="F201" s="279">
        <v>447376.04</v>
      </c>
      <c r="G201" s="280" t="s">
        <v>158</v>
      </c>
      <c r="H201" s="278" t="s">
        <v>33</v>
      </c>
      <c r="I201" s="281" t="s">
        <v>69</v>
      </c>
      <c r="J201" s="299" t="s">
        <v>131</v>
      </c>
      <c r="K201" s="282">
        <v>43664</v>
      </c>
      <c r="L201" s="334">
        <v>120</v>
      </c>
      <c r="M201" s="278">
        <f ca="1">$A$1-K201</f>
        <v>81</v>
      </c>
      <c r="N201" s="285">
        <v>9.7000000000000003E-2</v>
      </c>
      <c r="O201" s="324">
        <f ca="1">F201*N201/360*M201</f>
        <v>9763.9820729999992</v>
      </c>
      <c r="P201" s="286">
        <f t="shared" ca="1" si="106"/>
        <v>457140.02207299997</v>
      </c>
      <c r="Q201" s="287"/>
      <c r="R201" s="288"/>
      <c r="S201" s="287"/>
      <c r="T201" s="287"/>
      <c r="U201" s="299" t="s">
        <v>52</v>
      </c>
      <c r="V201" s="502"/>
      <c r="W201" s="290"/>
      <c r="X201" s="290"/>
      <c r="Y201" s="326"/>
      <c r="Z201" s="292"/>
      <c r="AA201" s="293">
        <f t="shared" si="105"/>
        <v>0</v>
      </c>
      <c r="AB201" s="294"/>
      <c r="AC201" s="294"/>
      <c r="AD201" s="295"/>
      <c r="AE201" s="296"/>
      <c r="AF201" s="287"/>
      <c r="AG201" s="294" t="s">
        <v>48</v>
      </c>
      <c r="AH201" s="478"/>
      <c r="AI201" s="294" t="s">
        <v>362</v>
      </c>
      <c r="AJ201" s="278"/>
      <c r="AK201" s="328"/>
      <c r="AL201" s="588">
        <f t="shared" ca="1" si="100"/>
        <v>123</v>
      </c>
    </row>
    <row r="202" spans="1:38" s="300" customFormat="1" ht="12" customHeight="1">
      <c r="A202" s="301" t="s">
        <v>507</v>
      </c>
      <c r="B202" s="278" t="s">
        <v>404</v>
      </c>
      <c r="C202" s="278" t="s">
        <v>508</v>
      </c>
      <c r="D202" s="260" t="str">
        <f t="shared" si="102"/>
        <v>KT804759</v>
      </c>
      <c r="E202" s="279">
        <v>447376.04</v>
      </c>
      <c r="F202" s="279">
        <v>447376.04</v>
      </c>
      <c r="G202" s="280" t="s">
        <v>158</v>
      </c>
      <c r="H202" s="278" t="s">
        <v>33</v>
      </c>
      <c r="I202" s="281" t="s">
        <v>44</v>
      </c>
      <c r="J202" s="299" t="s">
        <v>131</v>
      </c>
      <c r="K202" s="282">
        <v>43664</v>
      </c>
      <c r="L202" s="334">
        <v>120</v>
      </c>
      <c r="M202" s="278">
        <f ca="1">$A$1-K202</f>
        <v>81</v>
      </c>
      <c r="N202" s="285">
        <v>9.7000000000000003E-2</v>
      </c>
      <c r="O202" s="324">
        <f ca="1">F202*N202/360*M202</f>
        <v>9763.9820729999992</v>
      </c>
      <c r="P202" s="286">
        <f t="shared" ca="1" si="106"/>
        <v>457140.02207299997</v>
      </c>
      <c r="Q202" s="287"/>
      <c r="R202" s="288"/>
      <c r="S202" s="287"/>
      <c r="T202" s="287"/>
      <c r="U202" s="299" t="s">
        <v>52</v>
      </c>
      <c r="V202" s="502"/>
      <c r="W202" s="290"/>
      <c r="X202" s="290"/>
      <c r="Y202" s="326"/>
      <c r="Z202" s="292"/>
      <c r="AA202" s="293">
        <f t="shared" si="105"/>
        <v>0</v>
      </c>
      <c r="AB202" s="294"/>
      <c r="AC202" s="294"/>
      <c r="AD202" s="295"/>
      <c r="AE202" s="296"/>
      <c r="AF202" s="287"/>
      <c r="AG202" s="294" t="s">
        <v>48</v>
      </c>
      <c r="AH202" s="478"/>
      <c r="AI202" s="294" t="s">
        <v>362</v>
      </c>
      <c r="AJ202" s="278"/>
      <c r="AK202" s="328"/>
      <c r="AL202" s="588">
        <f t="shared" ca="1" si="100"/>
        <v>121</v>
      </c>
    </row>
    <row r="203" spans="1:38" s="300" customFormat="1" ht="12" customHeight="1">
      <c r="A203" s="305" t="s">
        <v>584</v>
      </c>
      <c r="B203" s="305" t="s">
        <v>74</v>
      </c>
      <c r="C203" s="305" t="s">
        <v>587</v>
      </c>
      <c r="D203" s="260" t="str">
        <f t="shared" si="102"/>
        <v>KH008017</v>
      </c>
      <c r="E203" s="279">
        <v>223101.64</v>
      </c>
      <c r="F203" s="279">
        <f>VLOOKUP(C203,'[3]31 JULIO 19 '!$E$2:$H$28,4,0)</f>
        <v>223101.64</v>
      </c>
      <c r="G203" s="280" t="s">
        <v>158</v>
      </c>
      <c r="H203" s="278" t="s">
        <v>33</v>
      </c>
      <c r="I203" s="281" t="s">
        <v>44</v>
      </c>
      <c r="J203" s="299" t="s">
        <v>131</v>
      </c>
      <c r="K203" s="282">
        <v>43677</v>
      </c>
      <c r="L203" s="334">
        <v>120</v>
      </c>
      <c r="M203" s="278">
        <f t="shared" ref="M203:M240" ca="1" si="107">$A$1-K203</f>
        <v>68</v>
      </c>
      <c r="N203" s="285">
        <v>9.6799999999999997E-2</v>
      </c>
      <c r="O203" s="324">
        <f t="shared" ref="O203:O241" ca="1" si="108">F203*N203/360*M203</f>
        <v>4079.2895420444447</v>
      </c>
      <c r="P203" s="286">
        <f t="shared" ca="1" si="106"/>
        <v>227180.92954204447</v>
      </c>
      <c r="Q203" s="287"/>
      <c r="R203" s="288"/>
      <c r="S203" s="287"/>
      <c r="T203" s="287"/>
      <c r="U203" s="299" t="s">
        <v>52</v>
      </c>
      <c r="V203" s="502"/>
      <c r="W203" s="290"/>
      <c r="X203" s="290"/>
      <c r="Y203" s="326"/>
      <c r="Z203" s="292"/>
      <c r="AA203" s="293">
        <f t="shared" si="105"/>
        <v>0</v>
      </c>
      <c r="AB203" s="294"/>
      <c r="AC203" s="294"/>
      <c r="AD203" s="295"/>
      <c r="AE203" s="296"/>
      <c r="AF203" s="287"/>
      <c r="AG203" s="294" t="s">
        <v>48</v>
      </c>
      <c r="AH203" s="478"/>
      <c r="AI203" s="294" t="s">
        <v>362</v>
      </c>
      <c r="AJ203" s="278"/>
      <c r="AK203" s="328"/>
      <c r="AL203" s="588">
        <f t="shared" ca="1" si="100"/>
        <v>104</v>
      </c>
    </row>
    <row r="204" spans="1:38" s="300" customFormat="1" ht="12" customHeight="1">
      <c r="A204" s="305" t="s">
        <v>584</v>
      </c>
      <c r="B204" s="305" t="s">
        <v>73</v>
      </c>
      <c r="C204" s="305" t="s">
        <v>588</v>
      </c>
      <c r="D204" s="260" t="str">
        <f t="shared" si="102"/>
        <v>KH009039</v>
      </c>
      <c r="E204" s="279">
        <v>234852.44</v>
      </c>
      <c r="F204" s="279">
        <f>VLOOKUP(C204,'[3]31 JULIO 19 '!$E$2:$H$28,4,0)</f>
        <v>234852.44</v>
      </c>
      <c r="G204" s="280" t="s">
        <v>158</v>
      </c>
      <c r="H204" s="278" t="s">
        <v>33</v>
      </c>
      <c r="I204" s="281" t="s">
        <v>55</v>
      </c>
      <c r="J204" s="299" t="s">
        <v>131</v>
      </c>
      <c r="K204" s="282">
        <v>43677</v>
      </c>
      <c r="L204" s="334">
        <v>120</v>
      </c>
      <c r="M204" s="278">
        <f t="shared" ca="1" si="107"/>
        <v>68</v>
      </c>
      <c r="N204" s="285">
        <v>9.6799999999999997E-2</v>
      </c>
      <c r="O204" s="324">
        <f t="shared" ca="1" si="108"/>
        <v>4294.1463918222216</v>
      </c>
      <c r="P204" s="286">
        <f t="shared" ca="1" si="106"/>
        <v>239146.58639182223</v>
      </c>
      <c r="Q204" s="287"/>
      <c r="R204" s="288"/>
      <c r="S204" s="287" t="s">
        <v>1121</v>
      </c>
      <c r="T204" s="287" t="s">
        <v>1122</v>
      </c>
      <c r="U204" s="299" t="s">
        <v>37</v>
      </c>
      <c r="V204" s="502">
        <v>43731</v>
      </c>
      <c r="W204" s="290"/>
      <c r="X204" s="290"/>
      <c r="Y204" s="326">
        <v>254900</v>
      </c>
      <c r="Z204" s="292"/>
      <c r="AA204" s="293">
        <f t="shared" si="105"/>
        <v>254900</v>
      </c>
      <c r="AB204" s="294"/>
      <c r="AC204" s="294"/>
      <c r="AD204" s="295"/>
      <c r="AE204" s="296"/>
      <c r="AF204" s="287" t="s">
        <v>70</v>
      </c>
      <c r="AG204" s="294" t="s">
        <v>48</v>
      </c>
      <c r="AH204" s="478"/>
      <c r="AI204" s="294" t="s">
        <v>362</v>
      </c>
      <c r="AJ204" s="278"/>
      <c r="AK204" s="328"/>
      <c r="AL204" s="588">
        <f t="shared" ca="1" si="100"/>
        <v>104</v>
      </c>
    </row>
    <row r="205" spans="1:38" s="300" customFormat="1" ht="12" customHeight="1">
      <c r="A205" s="305" t="s">
        <v>590</v>
      </c>
      <c r="B205" s="305" t="s">
        <v>58</v>
      </c>
      <c r="C205" s="305" t="s">
        <v>604</v>
      </c>
      <c r="D205" s="260" t="str">
        <f t="shared" si="102"/>
        <v>KG580186</v>
      </c>
      <c r="E205" s="279">
        <v>505018.76</v>
      </c>
      <c r="F205" s="279">
        <f>VLOOKUP(C205,'[3]31 JULIO 19 '!$E$2:$H$28,4,0)</f>
        <v>505018.76</v>
      </c>
      <c r="G205" s="280" t="s">
        <v>158</v>
      </c>
      <c r="H205" s="278" t="s">
        <v>33</v>
      </c>
      <c r="I205" s="281" t="s">
        <v>44</v>
      </c>
      <c r="J205" s="299" t="s">
        <v>131</v>
      </c>
      <c r="K205" s="282">
        <v>43677</v>
      </c>
      <c r="L205" s="334">
        <v>120</v>
      </c>
      <c r="M205" s="278">
        <f t="shared" ca="1" si="107"/>
        <v>68</v>
      </c>
      <c r="N205" s="285">
        <v>9.6799999999999997E-2</v>
      </c>
      <c r="O205" s="324">
        <f t="shared" ca="1" si="108"/>
        <v>9233.987460622222</v>
      </c>
      <c r="P205" s="286">
        <f t="shared" ca="1" si="106"/>
        <v>514252.74746062222</v>
      </c>
      <c r="Q205" s="287"/>
      <c r="R205" s="288"/>
      <c r="S205" s="287"/>
      <c r="T205" s="287"/>
      <c r="U205" s="299" t="s">
        <v>52</v>
      </c>
      <c r="V205" s="502"/>
      <c r="W205" s="290"/>
      <c r="X205" s="290"/>
      <c r="Y205" s="326"/>
      <c r="Z205" s="292"/>
      <c r="AA205" s="293">
        <f t="shared" si="105"/>
        <v>0</v>
      </c>
      <c r="AB205" s="294"/>
      <c r="AC205" s="294"/>
      <c r="AD205" s="295"/>
      <c r="AE205" s="296"/>
      <c r="AF205" s="287"/>
      <c r="AG205" s="294" t="s">
        <v>48</v>
      </c>
      <c r="AH205" s="478"/>
      <c r="AI205" s="294" t="s">
        <v>362</v>
      </c>
      <c r="AJ205" s="278"/>
      <c r="AK205" s="328"/>
      <c r="AL205" s="588">
        <f t="shared" ca="1" si="100"/>
        <v>102</v>
      </c>
    </row>
    <row r="206" spans="1:38" s="300" customFormat="1" ht="12" customHeight="1">
      <c r="A206" s="305" t="s">
        <v>602</v>
      </c>
      <c r="B206" s="305" t="s">
        <v>145</v>
      </c>
      <c r="C206" s="305" t="s">
        <v>608</v>
      </c>
      <c r="D206" s="260" t="str">
        <f t="shared" si="102"/>
        <v>KK251907</v>
      </c>
      <c r="E206" s="279">
        <v>363678.56</v>
      </c>
      <c r="F206" s="279">
        <f>VLOOKUP(C206,'[3]31 JULIO 19 '!$E$2:$H$28,4,0)</f>
        <v>363678.56</v>
      </c>
      <c r="G206" s="280" t="s">
        <v>158</v>
      </c>
      <c r="H206" s="278" t="s">
        <v>33</v>
      </c>
      <c r="I206" s="281" t="s">
        <v>80</v>
      </c>
      <c r="J206" s="299" t="s">
        <v>131</v>
      </c>
      <c r="K206" s="282">
        <v>43677</v>
      </c>
      <c r="L206" s="334">
        <v>120</v>
      </c>
      <c r="M206" s="278">
        <f t="shared" ca="1" si="107"/>
        <v>68</v>
      </c>
      <c r="N206" s="285">
        <v>9.6799999999999997E-2</v>
      </c>
      <c r="O206" s="324">
        <f t="shared" ca="1" si="108"/>
        <v>6649.6604259555552</v>
      </c>
      <c r="P206" s="286">
        <f t="shared" ca="1" si="106"/>
        <v>370328.22042595554</v>
      </c>
      <c r="Q206" s="287"/>
      <c r="R206" s="288"/>
      <c r="S206" s="287"/>
      <c r="T206" s="287"/>
      <c r="U206" s="299" t="s">
        <v>52</v>
      </c>
      <c r="V206" s="502"/>
      <c r="W206" s="290"/>
      <c r="X206" s="290"/>
      <c r="Y206" s="326"/>
      <c r="Z206" s="292"/>
      <c r="AA206" s="293">
        <f t="shared" si="105"/>
        <v>0</v>
      </c>
      <c r="AB206" s="294"/>
      <c r="AC206" s="294"/>
      <c r="AD206" s="295"/>
      <c r="AE206" s="296"/>
      <c r="AF206" s="287"/>
      <c r="AG206" s="294" t="s">
        <v>48</v>
      </c>
      <c r="AH206" s="478"/>
      <c r="AI206" s="294" t="s">
        <v>362</v>
      </c>
      <c r="AJ206" s="278"/>
      <c r="AK206" s="328"/>
      <c r="AL206" s="588">
        <f t="shared" ca="1" si="100"/>
        <v>101</v>
      </c>
    </row>
    <row r="207" spans="1:38" s="300" customFormat="1" ht="12" customHeight="1">
      <c r="A207" s="305" t="s">
        <v>602</v>
      </c>
      <c r="B207" s="305" t="s">
        <v>145</v>
      </c>
      <c r="C207" s="305" t="s">
        <v>609</v>
      </c>
      <c r="D207" s="260" t="str">
        <f t="shared" si="102"/>
        <v>KK253576</v>
      </c>
      <c r="E207" s="279">
        <v>363678.56</v>
      </c>
      <c r="F207" s="279">
        <f>VLOOKUP(C207,'[3]31 JULIO 19 '!$E$2:$H$28,4,0)</f>
        <v>363678.56</v>
      </c>
      <c r="G207" s="280" t="s">
        <v>158</v>
      </c>
      <c r="H207" s="278" t="s">
        <v>33</v>
      </c>
      <c r="I207" s="281" t="s">
        <v>55</v>
      </c>
      <c r="J207" s="299" t="s">
        <v>131</v>
      </c>
      <c r="K207" s="282">
        <v>43677</v>
      </c>
      <c r="L207" s="334">
        <v>120</v>
      </c>
      <c r="M207" s="278">
        <f t="shared" ca="1" si="107"/>
        <v>68</v>
      </c>
      <c r="N207" s="285">
        <v>9.6799999999999997E-2</v>
      </c>
      <c r="O207" s="324">
        <f t="shared" ca="1" si="108"/>
        <v>6649.6604259555552</v>
      </c>
      <c r="P207" s="286">
        <f t="shared" ca="1" si="106"/>
        <v>370328.22042595554</v>
      </c>
      <c r="Q207" s="287"/>
      <c r="R207" s="288"/>
      <c r="S207" s="287"/>
      <c r="T207" s="287"/>
      <c r="U207" s="299" t="s">
        <v>52</v>
      </c>
      <c r="V207" s="502"/>
      <c r="W207" s="290"/>
      <c r="X207" s="290"/>
      <c r="Y207" s="326"/>
      <c r="Z207" s="292"/>
      <c r="AA207" s="293">
        <f t="shared" si="105"/>
        <v>0</v>
      </c>
      <c r="AB207" s="294"/>
      <c r="AC207" s="294"/>
      <c r="AD207" s="295"/>
      <c r="AE207" s="296"/>
      <c r="AF207" s="287"/>
      <c r="AG207" s="294" t="s">
        <v>48</v>
      </c>
      <c r="AH207" s="478"/>
      <c r="AI207" s="294" t="s">
        <v>362</v>
      </c>
      <c r="AJ207" s="278"/>
      <c r="AK207" s="328"/>
      <c r="AL207" s="588">
        <f t="shared" ca="1" si="100"/>
        <v>101</v>
      </c>
    </row>
    <row r="208" spans="1:38" s="300" customFormat="1" ht="12" customHeight="1">
      <c r="A208" s="305" t="s">
        <v>602</v>
      </c>
      <c r="B208" s="305" t="s">
        <v>146</v>
      </c>
      <c r="C208" s="305" t="s">
        <v>610</v>
      </c>
      <c r="D208" s="260" t="str">
        <f t="shared" si="102"/>
        <v>KK251552</v>
      </c>
      <c r="E208" s="279">
        <v>400983</v>
      </c>
      <c r="F208" s="279">
        <f>VLOOKUP(C208,'[3]31 JULIO 19 '!$E$2:$H$28,4,0)</f>
        <v>400983</v>
      </c>
      <c r="G208" s="280" t="s">
        <v>158</v>
      </c>
      <c r="H208" s="278" t="s">
        <v>33</v>
      </c>
      <c r="I208" s="281" t="s">
        <v>80</v>
      </c>
      <c r="J208" s="299" t="s">
        <v>131</v>
      </c>
      <c r="K208" s="282">
        <v>43677</v>
      </c>
      <c r="L208" s="334">
        <v>120</v>
      </c>
      <c r="M208" s="278">
        <f t="shared" ca="1" si="107"/>
        <v>68</v>
      </c>
      <c r="N208" s="285">
        <v>9.6799999999999997E-2</v>
      </c>
      <c r="O208" s="324">
        <f t="shared" ca="1" si="108"/>
        <v>7331.7513866666668</v>
      </c>
      <c r="P208" s="286">
        <f t="shared" ca="1" si="106"/>
        <v>408314.75138666667</v>
      </c>
      <c r="Q208" s="287"/>
      <c r="R208" s="288"/>
      <c r="S208" s="287"/>
      <c r="T208" s="287"/>
      <c r="U208" s="299" t="s">
        <v>52</v>
      </c>
      <c r="V208" s="502"/>
      <c r="W208" s="290"/>
      <c r="X208" s="290"/>
      <c r="Y208" s="326"/>
      <c r="Z208" s="292"/>
      <c r="AA208" s="293">
        <f t="shared" si="105"/>
        <v>0</v>
      </c>
      <c r="AB208" s="294"/>
      <c r="AC208" s="294"/>
      <c r="AD208" s="295"/>
      <c r="AE208" s="296"/>
      <c r="AF208" s="287"/>
      <c r="AG208" s="294" t="s">
        <v>48</v>
      </c>
      <c r="AH208" s="478"/>
      <c r="AI208" s="294" t="s">
        <v>362</v>
      </c>
      <c r="AJ208" s="278"/>
      <c r="AK208" s="328"/>
      <c r="AL208" s="588">
        <f t="shared" ca="1" si="100"/>
        <v>101</v>
      </c>
    </row>
    <row r="209" spans="1:38" s="300" customFormat="1" ht="12" customHeight="1">
      <c r="A209" s="305" t="s">
        <v>602</v>
      </c>
      <c r="B209" s="305" t="s">
        <v>146</v>
      </c>
      <c r="C209" s="305" t="s">
        <v>611</v>
      </c>
      <c r="D209" s="260" t="str">
        <f t="shared" si="102"/>
        <v>KK251628</v>
      </c>
      <c r="E209" s="279">
        <v>400983</v>
      </c>
      <c r="F209" s="279">
        <f>VLOOKUP(C209,'[3]31 JULIO 19 '!$E$2:$H$28,4,0)</f>
        <v>400983</v>
      </c>
      <c r="G209" s="280" t="s">
        <v>158</v>
      </c>
      <c r="H209" s="278" t="s">
        <v>33</v>
      </c>
      <c r="I209" s="281" t="s">
        <v>44</v>
      </c>
      <c r="J209" s="299" t="s">
        <v>131</v>
      </c>
      <c r="K209" s="282">
        <v>43677</v>
      </c>
      <c r="L209" s="334">
        <v>120</v>
      </c>
      <c r="M209" s="278">
        <f t="shared" ca="1" si="107"/>
        <v>68</v>
      </c>
      <c r="N209" s="285">
        <v>9.6799999999999997E-2</v>
      </c>
      <c r="O209" s="324">
        <f t="shared" ca="1" si="108"/>
        <v>7331.7513866666668</v>
      </c>
      <c r="P209" s="286">
        <f t="shared" ca="1" si="106"/>
        <v>408314.75138666667</v>
      </c>
      <c r="Q209" s="287"/>
      <c r="R209" s="288"/>
      <c r="S209" s="287"/>
      <c r="T209" s="287"/>
      <c r="U209" s="299" t="s">
        <v>52</v>
      </c>
      <c r="V209" s="502"/>
      <c r="W209" s="290"/>
      <c r="X209" s="290"/>
      <c r="Y209" s="326"/>
      <c r="Z209" s="292"/>
      <c r="AA209" s="293">
        <f t="shared" si="105"/>
        <v>0</v>
      </c>
      <c r="AB209" s="294"/>
      <c r="AC209" s="294"/>
      <c r="AD209" s="295"/>
      <c r="AE209" s="296"/>
      <c r="AF209" s="287"/>
      <c r="AG209" s="294" t="s">
        <v>48</v>
      </c>
      <c r="AH209" s="478"/>
      <c r="AI209" s="294" t="s">
        <v>362</v>
      </c>
      <c r="AJ209" s="278"/>
      <c r="AK209" s="328"/>
      <c r="AL209" s="588">
        <f t="shared" ca="1" si="100"/>
        <v>101</v>
      </c>
    </row>
    <row r="210" spans="1:38" s="300" customFormat="1" ht="12" customHeight="1">
      <c r="A210" s="305" t="s">
        <v>602</v>
      </c>
      <c r="B210" s="305" t="s">
        <v>146</v>
      </c>
      <c r="C210" s="305" t="s">
        <v>612</v>
      </c>
      <c r="D210" s="260" t="str">
        <f t="shared" si="102"/>
        <v>KK251637</v>
      </c>
      <c r="E210" s="279">
        <v>400983</v>
      </c>
      <c r="F210" s="279">
        <f>VLOOKUP(C210,'[3]31 JULIO 19 '!$E$2:$H$28,4,0)</f>
        <v>400983</v>
      </c>
      <c r="G210" s="280" t="s">
        <v>158</v>
      </c>
      <c r="H210" s="278" t="s">
        <v>33</v>
      </c>
      <c r="I210" s="281" t="s">
        <v>55</v>
      </c>
      <c r="J210" s="299" t="s">
        <v>131</v>
      </c>
      <c r="K210" s="282">
        <v>43677</v>
      </c>
      <c r="L210" s="334">
        <v>120</v>
      </c>
      <c r="M210" s="278">
        <f t="shared" ca="1" si="107"/>
        <v>68</v>
      </c>
      <c r="N210" s="285">
        <v>9.6799999999999997E-2</v>
      </c>
      <c r="O210" s="324">
        <f t="shared" ca="1" si="108"/>
        <v>7331.7513866666668</v>
      </c>
      <c r="P210" s="286">
        <f t="shared" ca="1" si="106"/>
        <v>408314.75138666667</v>
      </c>
      <c r="Q210" s="287"/>
      <c r="R210" s="288"/>
      <c r="S210" s="287"/>
      <c r="T210" s="287"/>
      <c r="U210" s="299" t="s">
        <v>52</v>
      </c>
      <c r="V210" s="502"/>
      <c r="W210" s="290"/>
      <c r="X210" s="290"/>
      <c r="Y210" s="326"/>
      <c r="Z210" s="292"/>
      <c r="AA210" s="293">
        <f t="shared" si="105"/>
        <v>0</v>
      </c>
      <c r="AB210" s="294"/>
      <c r="AC210" s="294"/>
      <c r="AD210" s="295"/>
      <c r="AE210" s="296"/>
      <c r="AF210" s="287"/>
      <c r="AG210" s="294" t="s">
        <v>48</v>
      </c>
      <c r="AH210" s="478"/>
      <c r="AI210" s="294" t="s">
        <v>362</v>
      </c>
      <c r="AJ210" s="278"/>
      <c r="AK210" s="328"/>
      <c r="AL210" s="588">
        <f t="shared" ca="1" si="100"/>
        <v>101</v>
      </c>
    </row>
    <row r="211" spans="1:38" s="300" customFormat="1" ht="12" customHeight="1">
      <c r="A211" s="305" t="s">
        <v>602</v>
      </c>
      <c r="B211" s="305" t="s">
        <v>146</v>
      </c>
      <c r="C211" s="305" t="s">
        <v>613</v>
      </c>
      <c r="D211" s="260" t="str">
        <f t="shared" si="102"/>
        <v>KK251654</v>
      </c>
      <c r="E211" s="279">
        <v>400983</v>
      </c>
      <c r="F211" s="279">
        <f>VLOOKUP(C211,'[3]31 JULIO 19 '!$E$2:$H$28,4,0)</f>
        <v>400983</v>
      </c>
      <c r="G211" s="280" t="s">
        <v>158</v>
      </c>
      <c r="H211" s="278" t="s">
        <v>33</v>
      </c>
      <c r="I211" s="281" t="s">
        <v>55</v>
      </c>
      <c r="J211" s="299" t="s">
        <v>131</v>
      </c>
      <c r="K211" s="282">
        <v>43677</v>
      </c>
      <c r="L211" s="334">
        <v>120</v>
      </c>
      <c r="M211" s="278">
        <f t="shared" ca="1" si="107"/>
        <v>68</v>
      </c>
      <c r="N211" s="285">
        <v>9.6799999999999997E-2</v>
      </c>
      <c r="O211" s="324">
        <f t="shared" ca="1" si="108"/>
        <v>7331.7513866666668</v>
      </c>
      <c r="P211" s="286">
        <f t="shared" ca="1" si="106"/>
        <v>408314.75138666667</v>
      </c>
      <c r="Q211" s="287"/>
      <c r="R211" s="288"/>
      <c r="S211" s="287"/>
      <c r="T211" s="287"/>
      <c r="U211" s="299" t="s">
        <v>52</v>
      </c>
      <c r="V211" s="502"/>
      <c r="W211" s="290"/>
      <c r="X211" s="290"/>
      <c r="Y211" s="326"/>
      <c r="Z211" s="292"/>
      <c r="AA211" s="293">
        <f t="shared" si="105"/>
        <v>0</v>
      </c>
      <c r="AB211" s="294"/>
      <c r="AC211" s="294"/>
      <c r="AD211" s="295"/>
      <c r="AE211" s="296"/>
      <c r="AF211" s="287"/>
      <c r="AG211" s="294" t="s">
        <v>48</v>
      </c>
      <c r="AH211" s="478"/>
      <c r="AI211" s="294" t="s">
        <v>362</v>
      </c>
      <c r="AJ211" s="278"/>
      <c r="AK211" s="328"/>
      <c r="AL211" s="588">
        <f t="shared" ca="1" si="100"/>
        <v>101</v>
      </c>
    </row>
    <row r="212" spans="1:38" s="300" customFormat="1" ht="12" customHeight="1">
      <c r="A212" s="305" t="s">
        <v>602</v>
      </c>
      <c r="B212" s="305" t="s">
        <v>146</v>
      </c>
      <c r="C212" s="305" t="s">
        <v>614</v>
      </c>
      <c r="D212" s="260" t="str">
        <f t="shared" si="102"/>
        <v>KK251739</v>
      </c>
      <c r="E212" s="279">
        <v>400983</v>
      </c>
      <c r="F212" s="279">
        <f>VLOOKUP(C212,'[3]31 JULIO 19 '!$E$2:$H$28,4,0)</f>
        <v>400983</v>
      </c>
      <c r="G212" s="280" t="s">
        <v>158</v>
      </c>
      <c r="H212" s="278" t="s">
        <v>33</v>
      </c>
      <c r="I212" s="281" t="s">
        <v>55</v>
      </c>
      <c r="J212" s="299" t="s">
        <v>131</v>
      </c>
      <c r="K212" s="282">
        <v>43677</v>
      </c>
      <c r="L212" s="334">
        <v>120</v>
      </c>
      <c r="M212" s="278">
        <f t="shared" ca="1" si="107"/>
        <v>68</v>
      </c>
      <c r="N212" s="285">
        <v>9.6799999999999997E-2</v>
      </c>
      <c r="O212" s="324">
        <f t="shared" ca="1" si="108"/>
        <v>7331.7513866666668</v>
      </c>
      <c r="P212" s="286">
        <f t="shared" ca="1" si="106"/>
        <v>408314.75138666667</v>
      </c>
      <c r="Q212" s="287"/>
      <c r="R212" s="288"/>
      <c r="S212" s="287"/>
      <c r="T212" s="287"/>
      <c r="U212" s="299" t="s">
        <v>52</v>
      </c>
      <c r="V212" s="502"/>
      <c r="W212" s="290"/>
      <c r="X212" s="290"/>
      <c r="Y212" s="326"/>
      <c r="Z212" s="292"/>
      <c r="AA212" s="293">
        <f t="shared" si="105"/>
        <v>0</v>
      </c>
      <c r="AB212" s="294"/>
      <c r="AC212" s="294"/>
      <c r="AD212" s="295"/>
      <c r="AE212" s="296"/>
      <c r="AF212" s="287"/>
      <c r="AG212" s="294" t="s">
        <v>48</v>
      </c>
      <c r="AH212" s="478"/>
      <c r="AI212" s="294" t="s">
        <v>362</v>
      </c>
      <c r="AJ212" s="278"/>
      <c r="AK212" s="328"/>
      <c r="AL212" s="588">
        <f t="shared" ca="1" si="100"/>
        <v>101</v>
      </c>
    </row>
    <row r="213" spans="1:38" s="300" customFormat="1" ht="12" customHeight="1">
      <c r="A213" s="305" t="s">
        <v>602</v>
      </c>
      <c r="B213" s="305" t="s">
        <v>146</v>
      </c>
      <c r="C213" s="305" t="s">
        <v>615</v>
      </c>
      <c r="D213" s="260" t="str">
        <f t="shared" si="102"/>
        <v>KK251812</v>
      </c>
      <c r="E213" s="279">
        <v>400983</v>
      </c>
      <c r="F213" s="279">
        <f>VLOOKUP(C213,'[3]31 JULIO 19 '!$E$2:$H$28,4,0)</f>
        <v>400983</v>
      </c>
      <c r="G213" s="280" t="s">
        <v>158</v>
      </c>
      <c r="H213" s="278" t="s">
        <v>33</v>
      </c>
      <c r="I213" s="281" t="s">
        <v>55</v>
      </c>
      <c r="J213" s="299" t="s">
        <v>131</v>
      </c>
      <c r="K213" s="282">
        <v>43677</v>
      </c>
      <c r="L213" s="334">
        <v>120</v>
      </c>
      <c r="M213" s="278">
        <f t="shared" ca="1" si="107"/>
        <v>68</v>
      </c>
      <c r="N213" s="285">
        <v>9.6799999999999997E-2</v>
      </c>
      <c r="O213" s="324">
        <f t="shared" ca="1" si="108"/>
        <v>7331.7513866666668</v>
      </c>
      <c r="P213" s="286">
        <f t="shared" ca="1" si="106"/>
        <v>408314.75138666667</v>
      </c>
      <c r="Q213" s="287"/>
      <c r="R213" s="288"/>
      <c r="S213" s="287"/>
      <c r="T213" s="287"/>
      <c r="U213" s="299" t="s">
        <v>52</v>
      </c>
      <c r="V213" s="502"/>
      <c r="W213" s="290"/>
      <c r="X213" s="290"/>
      <c r="Y213" s="326"/>
      <c r="Z213" s="292"/>
      <c r="AA213" s="293">
        <f t="shared" si="105"/>
        <v>0</v>
      </c>
      <c r="AB213" s="294"/>
      <c r="AC213" s="294"/>
      <c r="AD213" s="295"/>
      <c r="AE213" s="296"/>
      <c r="AF213" s="287"/>
      <c r="AG213" s="294" t="s">
        <v>48</v>
      </c>
      <c r="AH213" s="478"/>
      <c r="AI213" s="294" t="s">
        <v>362</v>
      </c>
      <c r="AJ213" s="278"/>
      <c r="AK213" s="328"/>
      <c r="AL213" s="588">
        <f t="shared" ca="1" si="100"/>
        <v>101</v>
      </c>
    </row>
    <row r="214" spans="1:38" s="300" customFormat="1" ht="12" customHeight="1">
      <c r="A214" s="305" t="s">
        <v>602</v>
      </c>
      <c r="B214" s="305" t="s">
        <v>146</v>
      </c>
      <c r="C214" s="305" t="s">
        <v>616</v>
      </c>
      <c r="D214" s="260" t="str">
        <f t="shared" si="102"/>
        <v>KK251939</v>
      </c>
      <c r="E214" s="279">
        <v>400983</v>
      </c>
      <c r="F214" s="279">
        <f>VLOOKUP(C214,'[3]31 JULIO 19 '!$E$2:$H$28,4,0)</f>
        <v>400983</v>
      </c>
      <c r="G214" s="280" t="s">
        <v>158</v>
      </c>
      <c r="H214" s="278" t="s">
        <v>33</v>
      </c>
      <c r="I214" s="281" t="s">
        <v>55</v>
      </c>
      <c r="J214" s="299" t="s">
        <v>131</v>
      </c>
      <c r="K214" s="282">
        <v>43677</v>
      </c>
      <c r="L214" s="334">
        <v>120</v>
      </c>
      <c r="M214" s="278">
        <f t="shared" ca="1" si="107"/>
        <v>68</v>
      </c>
      <c r="N214" s="285">
        <v>9.6799999999999997E-2</v>
      </c>
      <c r="O214" s="324">
        <f t="shared" ca="1" si="108"/>
        <v>7331.7513866666668</v>
      </c>
      <c r="P214" s="286">
        <f t="shared" ca="1" si="106"/>
        <v>408314.75138666667</v>
      </c>
      <c r="Q214" s="287"/>
      <c r="R214" s="288"/>
      <c r="S214" s="287"/>
      <c r="T214" s="287"/>
      <c r="U214" s="299" t="s">
        <v>52</v>
      </c>
      <c r="V214" s="502"/>
      <c r="W214" s="290"/>
      <c r="X214" s="290"/>
      <c r="Y214" s="326"/>
      <c r="Z214" s="292"/>
      <c r="AA214" s="293">
        <f t="shared" si="105"/>
        <v>0</v>
      </c>
      <c r="AB214" s="294"/>
      <c r="AC214" s="294"/>
      <c r="AD214" s="295"/>
      <c r="AE214" s="296"/>
      <c r="AF214" s="287"/>
      <c r="AG214" s="294" t="s">
        <v>48</v>
      </c>
      <c r="AH214" s="478"/>
      <c r="AI214" s="294" t="s">
        <v>362</v>
      </c>
      <c r="AJ214" s="278"/>
      <c r="AK214" s="328"/>
      <c r="AL214" s="588">
        <f t="shared" ca="1" si="100"/>
        <v>101</v>
      </c>
    </row>
    <row r="215" spans="1:38" s="300" customFormat="1" ht="12" customHeight="1">
      <c r="A215" s="305" t="s">
        <v>602</v>
      </c>
      <c r="B215" s="305" t="s">
        <v>146</v>
      </c>
      <c r="C215" s="305" t="s">
        <v>617</v>
      </c>
      <c r="D215" s="260" t="str">
        <f t="shared" si="102"/>
        <v>KK251955</v>
      </c>
      <c r="E215" s="279">
        <v>400983</v>
      </c>
      <c r="F215" s="279">
        <f>VLOOKUP(C215,'[3]31 JULIO 19 '!$E$2:$H$28,4,0)</f>
        <v>400983</v>
      </c>
      <c r="G215" s="280" t="s">
        <v>158</v>
      </c>
      <c r="H215" s="278" t="s">
        <v>33</v>
      </c>
      <c r="I215" s="281" t="s">
        <v>80</v>
      </c>
      <c r="J215" s="299" t="s">
        <v>131</v>
      </c>
      <c r="K215" s="282">
        <v>43677</v>
      </c>
      <c r="L215" s="334">
        <v>120</v>
      </c>
      <c r="M215" s="278">
        <f t="shared" ca="1" si="107"/>
        <v>68</v>
      </c>
      <c r="N215" s="285">
        <v>9.6799999999999997E-2</v>
      </c>
      <c r="O215" s="324">
        <f t="shared" ca="1" si="108"/>
        <v>7331.7513866666668</v>
      </c>
      <c r="P215" s="286">
        <f t="shared" ca="1" si="106"/>
        <v>408314.75138666667</v>
      </c>
      <c r="Q215" s="287"/>
      <c r="R215" s="288"/>
      <c r="S215" s="287"/>
      <c r="T215" s="287"/>
      <c r="U215" s="299" t="s">
        <v>52</v>
      </c>
      <c r="V215" s="502"/>
      <c r="W215" s="290"/>
      <c r="X215" s="290"/>
      <c r="Y215" s="326"/>
      <c r="Z215" s="292"/>
      <c r="AA215" s="293">
        <f t="shared" si="105"/>
        <v>0</v>
      </c>
      <c r="AB215" s="294"/>
      <c r="AC215" s="294"/>
      <c r="AD215" s="295"/>
      <c r="AE215" s="296"/>
      <c r="AF215" s="287"/>
      <c r="AG215" s="294" t="s">
        <v>48</v>
      </c>
      <c r="AH215" s="478"/>
      <c r="AI215" s="294" t="s">
        <v>362</v>
      </c>
      <c r="AJ215" s="278"/>
      <c r="AK215" s="328"/>
      <c r="AL215" s="588">
        <f t="shared" ca="1" si="100"/>
        <v>101</v>
      </c>
    </row>
    <row r="216" spans="1:38" s="300" customFormat="1" ht="12" customHeight="1">
      <c r="A216" s="305" t="s">
        <v>602</v>
      </c>
      <c r="B216" s="305" t="s">
        <v>146</v>
      </c>
      <c r="C216" s="305" t="s">
        <v>618</v>
      </c>
      <c r="D216" s="260" t="str">
        <f t="shared" si="102"/>
        <v>KK251994</v>
      </c>
      <c r="E216" s="279">
        <v>400983</v>
      </c>
      <c r="F216" s="279">
        <f>VLOOKUP(C216,'[3]31 JULIO 19 '!$E$2:$H$28,4,0)</f>
        <v>400983</v>
      </c>
      <c r="G216" s="280" t="s">
        <v>158</v>
      </c>
      <c r="H216" s="278" t="s">
        <v>33</v>
      </c>
      <c r="I216" s="281" t="s">
        <v>69</v>
      </c>
      <c r="J216" s="299" t="s">
        <v>131</v>
      </c>
      <c r="K216" s="282">
        <v>43677</v>
      </c>
      <c r="L216" s="334">
        <v>120</v>
      </c>
      <c r="M216" s="278">
        <f t="shared" ca="1" si="107"/>
        <v>68</v>
      </c>
      <c r="N216" s="285">
        <v>9.6799999999999997E-2</v>
      </c>
      <c r="O216" s="324">
        <f t="shared" ca="1" si="108"/>
        <v>7331.7513866666668</v>
      </c>
      <c r="P216" s="286">
        <f t="shared" ca="1" si="106"/>
        <v>408314.75138666667</v>
      </c>
      <c r="Q216" s="287"/>
      <c r="R216" s="288"/>
      <c r="S216" s="287"/>
      <c r="T216" s="287"/>
      <c r="U216" s="299" t="s">
        <v>52</v>
      </c>
      <c r="V216" s="502"/>
      <c r="W216" s="290"/>
      <c r="X216" s="290"/>
      <c r="Y216" s="326"/>
      <c r="Z216" s="292"/>
      <c r="AA216" s="293">
        <f t="shared" si="105"/>
        <v>0</v>
      </c>
      <c r="AB216" s="294"/>
      <c r="AC216" s="294"/>
      <c r="AD216" s="295"/>
      <c r="AE216" s="296"/>
      <c r="AF216" s="287"/>
      <c r="AG216" s="294" t="s">
        <v>48</v>
      </c>
      <c r="AH216" s="478"/>
      <c r="AI216" s="294" t="s">
        <v>362</v>
      </c>
      <c r="AJ216" s="278"/>
      <c r="AK216" s="328"/>
      <c r="AL216" s="588">
        <f t="shared" ca="1" si="100"/>
        <v>101</v>
      </c>
    </row>
    <row r="217" spans="1:38" s="300" customFormat="1" ht="12" customHeight="1">
      <c r="A217" s="305" t="s">
        <v>602</v>
      </c>
      <c r="B217" s="305" t="s">
        <v>146</v>
      </c>
      <c r="C217" s="305" t="s">
        <v>619</v>
      </c>
      <c r="D217" s="260" t="str">
        <f t="shared" si="102"/>
        <v>KK251998</v>
      </c>
      <c r="E217" s="279">
        <v>400983</v>
      </c>
      <c r="F217" s="279">
        <f>VLOOKUP(C217,'[3]31 JULIO 19 '!$E$2:$H$28,4,0)</f>
        <v>400983</v>
      </c>
      <c r="G217" s="280" t="s">
        <v>158</v>
      </c>
      <c r="H217" s="278" t="s">
        <v>33</v>
      </c>
      <c r="I217" s="281" t="s">
        <v>80</v>
      </c>
      <c r="J217" s="299" t="s">
        <v>131</v>
      </c>
      <c r="K217" s="282">
        <v>43677</v>
      </c>
      <c r="L217" s="334">
        <v>120</v>
      </c>
      <c r="M217" s="278">
        <f t="shared" ca="1" si="107"/>
        <v>68</v>
      </c>
      <c r="N217" s="285">
        <v>9.6799999999999997E-2</v>
      </c>
      <c r="O217" s="324">
        <f t="shared" ca="1" si="108"/>
        <v>7331.7513866666668</v>
      </c>
      <c r="P217" s="286">
        <f t="shared" ca="1" si="106"/>
        <v>408314.75138666667</v>
      </c>
      <c r="Q217" s="287"/>
      <c r="R217" s="288"/>
      <c r="S217" s="287"/>
      <c r="T217" s="287"/>
      <c r="U217" s="299" t="s">
        <v>52</v>
      </c>
      <c r="V217" s="502"/>
      <c r="W217" s="290"/>
      <c r="X217" s="290"/>
      <c r="Y217" s="326"/>
      <c r="Z217" s="292"/>
      <c r="AA217" s="293">
        <f t="shared" si="105"/>
        <v>0</v>
      </c>
      <c r="AB217" s="294"/>
      <c r="AC217" s="294"/>
      <c r="AD217" s="295"/>
      <c r="AE217" s="296"/>
      <c r="AF217" s="287"/>
      <c r="AG217" s="294" t="s">
        <v>48</v>
      </c>
      <c r="AH217" s="478"/>
      <c r="AI217" s="294" t="s">
        <v>362</v>
      </c>
      <c r="AJ217" s="278"/>
      <c r="AK217" s="328"/>
      <c r="AL217" s="588">
        <f t="shared" ca="1" si="100"/>
        <v>101</v>
      </c>
    </row>
    <row r="218" spans="1:38" s="300" customFormat="1" ht="12" customHeight="1">
      <c r="A218" s="305" t="s">
        <v>602</v>
      </c>
      <c r="B218" s="305" t="s">
        <v>146</v>
      </c>
      <c r="C218" s="305" t="s">
        <v>620</v>
      </c>
      <c r="D218" s="260" t="str">
        <f t="shared" ref="D218:D251" si="109">+RIGHT(C218,8)</f>
        <v>KK252007</v>
      </c>
      <c r="E218" s="279">
        <v>400983</v>
      </c>
      <c r="F218" s="279">
        <f>VLOOKUP(C218,'[3]31 JULIO 19 '!$E$2:$H$28,4,0)</f>
        <v>400983</v>
      </c>
      <c r="G218" s="280" t="s">
        <v>158</v>
      </c>
      <c r="H218" s="278" t="s">
        <v>33</v>
      </c>
      <c r="I218" s="281" t="s">
        <v>69</v>
      </c>
      <c r="J218" s="299" t="s">
        <v>131</v>
      </c>
      <c r="K218" s="282">
        <v>43677</v>
      </c>
      <c r="L218" s="334">
        <v>120</v>
      </c>
      <c r="M218" s="278">
        <f t="shared" ca="1" si="107"/>
        <v>68</v>
      </c>
      <c r="N218" s="285">
        <v>9.6799999999999997E-2</v>
      </c>
      <c r="O218" s="324">
        <f t="shared" ca="1" si="108"/>
        <v>7331.7513866666668</v>
      </c>
      <c r="P218" s="286">
        <f t="shared" ca="1" si="106"/>
        <v>408314.75138666667</v>
      </c>
      <c r="Q218" s="287"/>
      <c r="R218" s="288"/>
      <c r="S218" s="287"/>
      <c r="T218" s="287"/>
      <c r="U218" s="299" t="s">
        <v>52</v>
      </c>
      <c r="V218" s="502"/>
      <c r="W218" s="290"/>
      <c r="X218" s="290"/>
      <c r="Y218" s="326"/>
      <c r="Z218" s="292"/>
      <c r="AA218" s="293">
        <f t="shared" si="105"/>
        <v>0</v>
      </c>
      <c r="AB218" s="294"/>
      <c r="AC218" s="294"/>
      <c r="AD218" s="295"/>
      <c r="AE218" s="296"/>
      <c r="AF218" s="287"/>
      <c r="AG218" s="294" t="s">
        <v>48</v>
      </c>
      <c r="AH218" s="478"/>
      <c r="AI218" s="294" t="s">
        <v>362</v>
      </c>
      <c r="AJ218" s="278"/>
      <c r="AK218" s="328"/>
      <c r="AL218" s="588">
        <f t="shared" ca="1" si="100"/>
        <v>101</v>
      </c>
    </row>
    <row r="219" spans="1:38" s="300" customFormat="1" ht="12" customHeight="1">
      <c r="A219" s="305" t="s">
        <v>602</v>
      </c>
      <c r="B219" s="305" t="s">
        <v>146</v>
      </c>
      <c r="C219" s="305" t="s">
        <v>621</v>
      </c>
      <c r="D219" s="260" t="str">
        <f t="shared" si="109"/>
        <v>KK252018</v>
      </c>
      <c r="E219" s="279">
        <v>400983</v>
      </c>
      <c r="F219" s="279">
        <f>VLOOKUP(C219,'[3]31 JULIO 19 '!$E$2:$H$28,4,0)</f>
        <v>400983</v>
      </c>
      <c r="G219" s="280" t="s">
        <v>158</v>
      </c>
      <c r="H219" s="278" t="s">
        <v>33</v>
      </c>
      <c r="I219" s="281" t="s">
        <v>55</v>
      </c>
      <c r="J219" s="299" t="s">
        <v>131</v>
      </c>
      <c r="K219" s="282">
        <v>43677</v>
      </c>
      <c r="L219" s="334">
        <v>120</v>
      </c>
      <c r="M219" s="278">
        <f t="shared" ca="1" si="107"/>
        <v>68</v>
      </c>
      <c r="N219" s="285">
        <v>9.6799999999999997E-2</v>
      </c>
      <c r="O219" s="324">
        <f t="shared" ca="1" si="108"/>
        <v>7331.7513866666668</v>
      </c>
      <c r="P219" s="286">
        <f t="shared" ca="1" si="106"/>
        <v>408314.75138666667</v>
      </c>
      <c r="Q219" s="287"/>
      <c r="R219" s="288"/>
      <c r="S219" s="287"/>
      <c r="T219" s="287"/>
      <c r="U219" s="299" t="s">
        <v>52</v>
      </c>
      <c r="V219" s="502"/>
      <c r="W219" s="290"/>
      <c r="X219" s="290"/>
      <c r="Y219" s="326"/>
      <c r="Z219" s="292"/>
      <c r="AA219" s="293">
        <f t="shared" si="105"/>
        <v>0</v>
      </c>
      <c r="AB219" s="294"/>
      <c r="AC219" s="294"/>
      <c r="AD219" s="295"/>
      <c r="AE219" s="296"/>
      <c r="AF219" s="287"/>
      <c r="AG219" s="294" t="s">
        <v>48</v>
      </c>
      <c r="AH219" s="478"/>
      <c r="AI219" s="294" t="s">
        <v>362</v>
      </c>
      <c r="AJ219" s="278"/>
      <c r="AK219" s="328"/>
      <c r="AL219" s="588">
        <f t="shared" ca="1" si="100"/>
        <v>101</v>
      </c>
    </row>
    <row r="220" spans="1:38" s="300" customFormat="1" ht="12" customHeight="1">
      <c r="A220" s="305" t="s">
        <v>602</v>
      </c>
      <c r="B220" s="305" t="s">
        <v>146</v>
      </c>
      <c r="C220" s="305" t="s">
        <v>622</v>
      </c>
      <c r="D220" s="260" t="str">
        <f t="shared" si="109"/>
        <v>KK252178</v>
      </c>
      <c r="E220" s="279">
        <v>400983</v>
      </c>
      <c r="F220" s="279">
        <f>VLOOKUP(C220,'[3]31 JULIO 19 '!$E$2:$H$28,4,0)</f>
        <v>400983</v>
      </c>
      <c r="G220" s="280" t="s">
        <v>158</v>
      </c>
      <c r="H220" s="278" t="s">
        <v>33</v>
      </c>
      <c r="I220" s="281" t="s">
        <v>55</v>
      </c>
      <c r="J220" s="299" t="s">
        <v>131</v>
      </c>
      <c r="K220" s="282">
        <v>43677</v>
      </c>
      <c r="L220" s="334">
        <v>120</v>
      </c>
      <c r="M220" s="278">
        <f t="shared" ca="1" si="107"/>
        <v>68</v>
      </c>
      <c r="N220" s="285">
        <v>9.6799999999999997E-2</v>
      </c>
      <c r="O220" s="324">
        <f t="shared" ca="1" si="108"/>
        <v>7331.7513866666668</v>
      </c>
      <c r="P220" s="286">
        <f t="shared" ca="1" si="106"/>
        <v>408314.75138666667</v>
      </c>
      <c r="Q220" s="287"/>
      <c r="R220" s="288"/>
      <c r="S220" s="287"/>
      <c r="T220" s="287"/>
      <c r="U220" s="299" t="s">
        <v>52</v>
      </c>
      <c r="V220" s="502"/>
      <c r="W220" s="290"/>
      <c r="X220" s="290"/>
      <c r="Y220" s="326"/>
      <c r="Z220" s="292"/>
      <c r="AA220" s="293">
        <f t="shared" si="105"/>
        <v>0</v>
      </c>
      <c r="AB220" s="294"/>
      <c r="AC220" s="294"/>
      <c r="AD220" s="295"/>
      <c r="AE220" s="296"/>
      <c r="AF220" s="287"/>
      <c r="AG220" s="294" t="s">
        <v>48</v>
      </c>
      <c r="AH220" s="478"/>
      <c r="AI220" s="294" t="s">
        <v>362</v>
      </c>
      <c r="AJ220" s="278"/>
      <c r="AK220" s="328"/>
      <c r="AL220" s="588">
        <f t="shared" ca="1" si="100"/>
        <v>101</v>
      </c>
    </row>
    <row r="221" spans="1:38" s="300" customFormat="1" ht="12" customHeight="1">
      <c r="A221" s="305" t="s">
        <v>602</v>
      </c>
      <c r="B221" s="305" t="s">
        <v>146</v>
      </c>
      <c r="C221" s="305" t="s">
        <v>623</v>
      </c>
      <c r="D221" s="260" t="str">
        <f t="shared" si="109"/>
        <v>KK252226</v>
      </c>
      <c r="E221" s="279">
        <v>400983</v>
      </c>
      <c r="F221" s="279">
        <f>VLOOKUP(C221,'[3]31 JULIO 19 '!$E$2:$H$28,4,0)</f>
        <v>400983</v>
      </c>
      <c r="G221" s="280" t="s">
        <v>158</v>
      </c>
      <c r="H221" s="278" t="s">
        <v>33</v>
      </c>
      <c r="I221" s="281" t="s">
        <v>55</v>
      </c>
      <c r="J221" s="299" t="s">
        <v>131</v>
      </c>
      <c r="K221" s="282">
        <v>43677</v>
      </c>
      <c r="L221" s="334">
        <v>120</v>
      </c>
      <c r="M221" s="278">
        <f t="shared" ca="1" si="107"/>
        <v>68</v>
      </c>
      <c r="N221" s="285">
        <v>9.6799999999999997E-2</v>
      </c>
      <c r="O221" s="324">
        <f t="shared" ca="1" si="108"/>
        <v>7331.7513866666668</v>
      </c>
      <c r="P221" s="286">
        <f t="shared" ca="1" si="106"/>
        <v>408314.75138666667</v>
      </c>
      <c r="Q221" s="287"/>
      <c r="R221" s="288"/>
      <c r="S221" s="287"/>
      <c r="T221" s="287"/>
      <c r="U221" s="299" t="s">
        <v>52</v>
      </c>
      <c r="V221" s="502"/>
      <c r="W221" s="290"/>
      <c r="X221" s="290"/>
      <c r="Y221" s="326"/>
      <c r="Z221" s="292"/>
      <c r="AA221" s="293">
        <f t="shared" si="105"/>
        <v>0</v>
      </c>
      <c r="AB221" s="294"/>
      <c r="AC221" s="294"/>
      <c r="AD221" s="295"/>
      <c r="AE221" s="296"/>
      <c r="AF221" s="287"/>
      <c r="AG221" s="294" t="s">
        <v>48</v>
      </c>
      <c r="AH221" s="478"/>
      <c r="AI221" s="294" t="s">
        <v>362</v>
      </c>
      <c r="AJ221" s="278"/>
      <c r="AK221" s="328"/>
      <c r="AL221" s="588">
        <f t="shared" ca="1" si="100"/>
        <v>101</v>
      </c>
    </row>
    <row r="222" spans="1:38" s="300" customFormat="1" ht="12" customHeight="1">
      <c r="A222" s="305" t="s">
        <v>602</v>
      </c>
      <c r="B222" s="305" t="s">
        <v>363</v>
      </c>
      <c r="C222" s="305" t="s">
        <v>624</v>
      </c>
      <c r="D222" s="260" t="str">
        <f t="shared" si="109"/>
        <v>KK255735</v>
      </c>
      <c r="E222" s="279">
        <v>416361.12</v>
      </c>
      <c r="F222" s="279">
        <f>VLOOKUP(C222,'[3]31 JULIO 19 '!$E$2:$H$28,4,0)</f>
        <v>416361.12</v>
      </c>
      <c r="G222" s="280" t="s">
        <v>158</v>
      </c>
      <c r="H222" s="278" t="s">
        <v>33</v>
      </c>
      <c r="I222" s="281" t="s">
        <v>80</v>
      </c>
      <c r="J222" s="299" t="s">
        <v>131</v>
      </c>
      <c r="K222" s="282">
        <v>43677</v>
      </c>
      <c r="L222" s="334">
        <v>120</v>
      </c>
      <c r="M222" s="278">
        <f t="shared" ca="1" si="107"/>
        <v>68</v>
      </c>
      <c r="N222" s="285">
        <v>9.6799999999999997E-2</v>
      </c>
      <c r="O222" s="324">
        <f t="shared" ca="1" si="108"/>
        <v>7612.9317674666654</v>
      </c>
      <c r="P222" s="286">
        <f t="shared" ca="1" si="106"/>
        <v>423974.05176746665</v>
      </c>
      <c r="Q222" s="287"/>
      <c r="R222" s="288"/>
      <c r="S222" s="287"/>
      <c r="T222" s="287"/>
      <c r="U222" s="299" t="s">
        <v>52</v>
      </c>
      <c r="V222" s="502"/>
      <c r="W222" s="290"/>
      <c r="X222" s="290"/>
      <c r="Y222" s="326"/>
      <c r="Z222" s="292"/>
      <c r="AA222" s="293">
        <f t="shared" si="105"/>
        <v>0</v>
      </c>
      <c r="AB222" s="294"/>
      <c r="AC222" s="294"/>
      <c r="AD222" s="295"/>
      <c r="AE222" s="296"/>
      <c r="AF222" s="287"/>
      <c r="AG222" s="294" t="s">
        <v>48</v>
      </c>
      <c r="AH222" s="478"/>
      <c r="AI222" s="294" t="s">
        <v>362</v>
      </c>
      <c r="AJ222" s="278"/>
      <c r="AK222" s="328"/>
      <c r="AL222" s="588">
        <f t="shared" ca="1" si="100"/>
        <v>101</v>
      </c>
    </row>
    <row r="223" spans="1:38" s="300" customFormat="1" ht="12" customHeight="1">
      <c r="A223" s="305" t="s">
        <v>602</v>
      </c>
      <c r="B223" s="305" t="s">
        <v>120</v>
      </c>
      <c r="C223" s="305" t="s">
        <v>625</v>
      </c>
      <c r="D223" s="260" t="str">
        <f t="shared" si="109"/>
        <v>K9132937</v>
      </c>
      <c r="E223" s="279">
        <v>220010.23999999999</v>
      </c>
      <c r="F223" s="279">
        <f>VLOOKUP(C223,'[3]31 JULIO 19 '!$E$2:$H$28,4,0)</f>
        <v>220010.23999999999</v>
      </c>
      <c r="G223" s="280" t="s">
        <v>158</v>
      </c>
      <c r="H223" s="278" t="s">
        <v>33</v>
      </c>
      <c r="I223" s="281" t="s">
        <v>80</v>
      </c>
      <c r="J223" s="299" t="s">
        <v>131</v>
      </c>
      <c r="K223" s="282">
        <v>43677</v>
      </c>
      <c r="L223" s="334">
        <v>120</v>
      </c>
      <c r="M223" s="278">
        <f t="shared" ca="1" si="107"/>
        <v>68</v>
      </c>
      <c r="N223" s="285">
        <v>9.6799999999999997E-2</v>
      </c>
      <c r="O223" s="324">
        <f t="shared" ca="1" si="108"/>
        <v>4022.7650104888885</v>
      </c>
      <c r="P223" s="286">
        <f t="shared" ca="1" si="106"/>
        <v>224033.00501048888</v>
      </c>
      <c r="Q223" s="287"/>
      <c r="R223" s="288"/>
      <c r="S223" s="287"/>
      <c r="T223" s="287"/>
      <c r="U223" s="278" t="s">
        <v>52</v>
      </c>
      <c r="V223" s="502"/>
      <c r="W223" s="290"/>
      <c r="X223" s="290"/>
      <c r="Y223" s="326"/>
      <c r="Z223" s="292"/>
      <c r="AA223" s="293">
        <f t="shared" si="105"/>
        <v>0</v>
      </c>
      <c r="AB223" s="294"/>
      <c r="AC223" s="294"/>
      <c r="AD223" s="295"/>
      <c r="AE223" s="296"/>
      <c r="AF223" s="287"/>
      <c r="AG223" s="294" t="s">
        <v>48</v>
      </c>
      <c r="AH223" s="478"/>
      <c r="AI223" s="294" t="s">
        <v>362</v>
      </c>
      <c r="AJ223" s="278"/>
      <c r="AK223" s="328"/>
      <c r="AL223" s="588">
        <f t="shared" ca="1" si="100"/>
        <v>101</v>
      </c>
    </row>
    <row r="224" spans="1:38" s="300" customFormat="1" ht="12" customHeight="1">
      <c r="A224" s="278" t="s">
        <v>657</v>
      </c>
      <c r="B224" s="278" t="s">
        <v>58</v>
      </c>
      <c r="C224" s="278" t="s">
        <v>658</v>
      </c>
      <c r="D224" s="260" t="str">
        <f t="shared" si="109"/>
        <v>KG575790</v>
      </c>
      <c r="E224" s="279">
        <v>505018.76</v>
      </c>
      <c r="F224" s="279">
        <v>505018.76</v>
      </c>
      <c r="G224" s="280" t="s">
        <v>158</v>
      </c>
      <c r="H224" s="278" t="s">
        <v>33</v>
      </c>
      <c r="I224" s="281" t="s">
        <v>55</v>
      </c>
      <c r="J224" s="299" t="s">
        <v>131</v>
      </c>
      <c r="K224" s="282">
        <v>43684</v>
      </c>
      <c r="L224" s="334">
        <v>120</v>
      </c>
      <c r="M224" s="278">
        <f t="shared" ca="1" si="107"/>
        <v>61</v>
      </c>
      <c r="N224" s="285">
        <v>9.64E-2</v>
      </c>
      <c r="O224" s="324">
        <f t="shared" ca="1" si="108"/>
        <v>8249.2008786222214</v>
      </c>
      <c r="P224" s="286">
        <f t="shared" ca="1" si="106"/>
        <v>513267.96087862225</v>
      </c>
      <c r="Q224" s="287"/>
      <c r="R224" s="288"/>
      <c r="S224" s="287"/>
      <c r="T224" s="287"/>
      <c r="U224" s="299" t="s">
        <v>52</v>
      </c>
      <c r="V224" s="502"/>
      <c r="W224" s="290"/>
      <c r="X224" s="290"/>
      <c r="Y224" s="326"/>
      <c r="Z224" s="292"/>
      <c r="AA224" s="293">
        <f t="shared" si="105"/>
        <v>0</v>
      </c>
      <c r="AB224" s="294"/>
      <c r="AC224" s="294"/>
      <c r="AD224" s="295"/>
      <c r="AE224" s="296"/>
      <c r="AF224" s="287"/>
      <c r="AG224" s="294" t="s">
        <v>48</v>
      </c>
      <c r="AH224" s="494"/>
      <c r="AI224" s="378" t="s">
        <v>221</v>
      </c>
      <c r="AJ224" s="278"/>
      <c r="AK224" s="328"/>
      <c r="AL224" s="588">
        <f t="shared" ca="1" si="100"/>
        <v>91</v>
      </c>
    </row>
    <row r="225" spans="1:38" s="300" customFormat="1" ht="12" customHeight="1">
      <c r="A225" s="278" t="s">
        <v>669</v>
      </c>
      <c r="B225" s="278" t="s">
        <v>329</v>
      </c>
      <c r="C225" s="278" t="s">
        <v>670</v>
      </c>
      <c r="D225" s="260" t="str">
        <f t="shared" si="109"/>
        <v>KG600305</v>
      </c>
      <c r="E225" s="279">
        <v>571293.04</v>
      </c>
      <c r="F225" s="279">
        <v>571293.04</v>
      </c>
      <c r="G225" s="280" t="s">
        <v>158</v>
      </c>
      <c r="H225" s="278" t="s">
        <v>33</v>
      </c>
      <c r="I225" s="281" t="s">
        <v>80</v>
      </c>
      <c r="J225" s="299" t="s">
        <v>131</v>
      </c>
      <c r="K225" s="282">
        <v>43684</v>
      </c>
      <c r="L225" s="334">
        <v>120</v>
      </c>
      <c r="M225" s="278">
        <f t="shared" ca="1" si="107"/>
        <v>61</v>
      </c>
      <c r="N225" s="285">
        <v>9.64E-2</v>
      </c>
      <c r="O225" s="324">
        <f t="shared" ca="1" si="108"/>
        <v>9331.7544233777771</v>
      </c>
      <c r="P225" s="286">
        <f t="shared" ca="1" si="106"/>
        <v>580624.79442337784</v>
      </c>
      <c r="Q225" s="287"/>
      <c r="R225" s="288"/>
      <c r="S225" s="287"/>
      <c r="T225" s="287"/>
      <c r="U225" s="299" t="s">
        <v>52</v>
      </c>
      <c r="V225" s="502"/>
      <c r="W225" s="290"/>
      <c r="X225" s="290"/>
      <c r="Y225" s="326"/>
      <c r="Z225" s="292"/>
      <c r="AA225" s="293">
        <f t="shared" ref="AA225:AA267" si="110">+Y225-Z225</f>
        <v>0</v>
      </c>
      <c r="AB225" s="294"/>
      <c r="AC225" s="294"/>
      <c r="AD225" s="295"/>
      <c r="AE225" s="296"/>
      <c r="AF225" s="287"/>
      <c r="AG225" s="294" t="s">
        <v>48</v>
      </c>
      <c r="AH225" s="478"/>
      <c r="AI225" s="378" t="s">
        <v>221</v>
      </c>
      <c r="AJ225" s="278"/>
      <c r="AK225" s="328"/>
      <c r="AL225" s="588">
        <f t="shared" ca="1" si="100"/>
        <v>87</v>
      </c>
    </row>
    <row r="226" spans="1:38" s="300" customFormat="1" ht="12" customHeight="1">
      <c r="A226" s="278" t="s">
        <v>671</v>
      </c>
      <c r="B226" s="278" t="s">
        <v>74</v>
      </c>
      <c r="C226" s="278" t="s">
        <v>673</v>
      </c>
      <c r="D226" s="260" t="str">
        <f t="shared" si="109"/>
        <v>KH009854</v>
      </c>
      <c r="E226" s="279">
        <v>223101.64</v>
      </c>
      <c r="F226" s="279">
        <v>223101.64</v>
      </c>
      <c r="G226" s="280" t="s">
        <v>158</v>
      </c>
      <c r="H226" s="278" t="s">
        <v>33</v>
      </c>
      <c r="I226" s="281" t="s">
        <v>80</v>
      </c>
      <c r="J226" s="299" t="s">
        <v>131</v>
      </c>
      <c r="K226" s="282">
        <v>43689</v>
      </c>
      <c r="L226" s="334">
        <v>120</v>
      </c>
      <c r="M226" s="278">
        <f t="shared" ca="1" si="107"/>
        <v>56</v>
      </c>
      <c r="N226" s="285">
        <v>9.6500000000000002E-2</v>
      </c>
      <c r="O226" s="324">
        <f t="shared" ca="1" si="108"/>
        <v>3349.0035071111115</v>
      </c>
      <c r="P226" s="286">
        <f t="shared" ca="1" si="106"/>
        <v>226450.64350711112</v>
      </c>
      <c r="Q226" s="287"/>
      <c r="R226" s="288"/>
      <c r="S226" s="287"/>
      <c r="T226" s="287"/>
      <c r="U226" s="299" t="s">
        <v>52</v>
      </c>
      <c r="V226" s="502"/>
      <c r="W226" s="290"/>
      <c r="X226" s="290"/>
      <c r="Y226" s="326"/>
      <c r="Z226" s="292"/>
      <c r="AA226" s="293">
        <f t="shared" si="110"/>
        <v>0</v>
      </c>
      <c r="AB226" s="294"/>
      <c r="AC226" s="294"/>
      <c r="AD226" s="295"/>
      <c r="AE226" s="296"/>
      <c r="AF226" s="287"/>
      <c r="AG226" s="294" t="s">
        <v>48</v>
      </c>
      <c r="AH226" s="478"/>
      <c r="AI226" s="378" t="s">
        <v>221</v>
      </c>
      <c r="AJ226" s="278"/>
      <c r="AK226" s="328"/>
      <c r="AL226" s="588">
        <f t="shared" ca="1" si="100"/>
        <v>84</v>
      </c>
    </row>
    <row r="227" spans="1:38" s="300" customFormat="1" ht="12" customHeight="1">
      <c r="A227" s="278" t="s">
        <v>671</v>
      </c>
      <c r="B227" s="278" t="s">
        <v>74</v>
      </c>
      <c r="C227" s="278" t="s">
        <v>675</v>
      </c>
      <c r="D227" s="260" t="str">
        <f t="shared" si="109"/>
        <v>KH009972</v>
      </c>
      <c r="E227" s="279">
        <v>223101.64</v>
      </c>
      <c r="F227" s="279">
        <v>223101.64</v>
      </c>
      <c r="G227" s="280" t="s">
        <v>158</v>
      </c>
      <c r="H227" s="278" t="s">
        <v>33</v>
      </c>
      <c r="I227" s="281" t="s">
        <v>44</v>
      </c>
      <c r="J227" s="299" t="s">
        <v>131</v>
      </c>
      <c r="K227" s="282">
        <v>43689</v>
      </c>
      <c r="L227" s="334">
        <v>120</v>
      </c>
      <c r="M227" s="278">
        <f t="shared" ca="1" si="107"/>
        <v>56</v>
      </c>
      <c r="N227" s="285">
        <v>9.6500000000000002E-2</v>
      </c>
      <c r="O227" s="324">
        <f t="shared" ca="1" si="108"/>
        <v>3349.0035071111115</v>
      </c>
      <c r="P227" s="286">
        <f t="shared" ca="1" si="106"/>
        <v>226450.64350711112</v>
      </c>
      <c r="Q227" s="287"/>
      <c r="R227" s="288"/>
      <c r="S227" s="287"/>
      <c r="T227" s="287"/>
      <c r="U227" s="299" t="s">
        <v>52</v>
      </c>
      <c r="V227" s="502"/>
      <c r="W227" s="290"/>
      <c r="X227" s="290"/>
      <c r="Y227" s="326"/>
      <c r="Z227" s="292"/>
      <c r="AA227" s="293">
        <f t="shared" si="110"/>
        <v>0</v>
      </c>
      <c r="AB227" s="294"/>
      <c r="AC227" s="294"/>
      <c r="AD227" s="295"/>
      <c r="AE227" s="296"/>
      <c r="AF227" s="287"/>
      <c r="AG227" s="294" t="s">
        <v>48</v>
      </c>
      <c r="AH227" s="478"/>
      <c r="AI227" s="378" t="s">
        <v>221</v>
      </c>
      <c r="AJ227" s="278"/>
      <c r="AK227" s="328"/>
      <c r="AL227" s="588">
        <f ca="1">+$A$1-A227</f>
        <v>84</v>
      </c>
    </row>
    <row r="228" spans="1:38" s="300" customFormat="1" ht="12" customHeight="1">
      <c r="A228" s="278" t="s">
        <v>678</v>
      </c>
      <c r="B228" s="278" t="s">
        <v>74</v>
      </c>
      <c r="C228" s="278" t="s">
        <v>683</v>
      </c>
      <c r="D228" s="260" t="str">
        <f t="shared" si="109"/>
        <v>KH009885</v>
      </c>
      <c r="E228" s="279">
        <v>223101.64</v>
      </c>
      <c r="F228" s="279">
        <v>223101.64</v>
      </c>
      <c r="G228" s="280" t="s">
        <v>158</v>
      </c>
      <c r="H228" s="278" t="s">
        <v>33</v>
      </c>
      <c r="I228" s="281" t="s">
        <v>80</v>
      </c>
      <c r="J228" s="299" t="s">
        <v>131</v>
      </c>
      <c r="K228" s="282">
        <v>43689</v>
      </c>
      <c r="L228" s="334">
        <v>120</v>
      </c>
      <c r="M228" s="278">
        <f t="shared" ca="1" si="107"/>
        <v>56</v>
      </c>
      <c r="N228" s="285">
        <v>9.6500000000000002E-2</v>
      </c>
      <c r="O228" s="324">
        <f t="shared" ca="1" si="108"/>
        <v>3349.0035071111115</v>
      </c>
      <c r="P228" s="286">
        <f t="shared" ca="1" si="106"/>
        <v>226450.64350711112</v>
      </c>
      <c r="Q228" s="287"/>
      <c r="R228" s="288"/>
      <c r="S228" s="287"/>
      <c r="T228" s="287"/>
      <c r="U228" s="299" t="s">
        <v>52</v>
      </c>
      <c r="V228" s="502"/>
      <c r="W228" s="290"/>
      <c r="X228" s="290"/>
      <c r="Y228" s="326"/>
      <c r="Z228" s="292"/>
      <c r="AA228" s="293">
        <f t="shared" si="110"/>
        <v>0</v>
      </c>
      <c r="AB228" s="294"/>
      <c r="AC228" s="294"/>
      <c r="AD228" s="295"/>
      <c r="AE228" s="296"/>
      <c r="AF228" s="287"/>
      <c r="AG228" s="294" t="s">
        <v>48</v>
      </c>
      <c r="AH228" s="478"/>
      <c r="AI228" s="378" t="s">
        <v>221</v>
      </c>
      <c r="AJ228" s="278"/>
      <c r="AK228" s="328"/>
      <c r="AL228" s="588">
        <f ca="1">+$A$1-A228</f>
        <v>83</v>
      </c>
    </row>
    <row r="229" spans="1:38" s="300" customFormat="1" ht="12" customHeight="1">
      <c r="A229" s="278" t="s">
        <v>701</v>
      </c>
      <c r="B229" s="278" t="s">
        <v>745</v>
      </c>
      <c r="C229" s="278" t="s">
        <v>746</v>
      </c>
      <c r="D229" s="260" t="str">
        <f t="shared" si="109"/>
        <v>L6N85539</v>
      </c>
      <c r="E229" s="279">
        <v>269521.36</v>
      </c>
      <c r="F229" s="279">
        <v>269521.36</v>
      </c>
      <c r="G229" s="280" t="s">
        <v>158</v>
      </c>
      <c r="H229" s="278" t="s">
        <v>33</v>
      </c>
      <c r="I229" s="281" t="s">
        <v>69</v>
      </c>
      <c r="J229" s="299" t="s">
        <v>131</v>
      </c>
      <c r="K229" s="282">
        <v>43714</v>
      </c>
      <c r="L229" s="334">
        <v>119</v>
      </c>
      <c r="M229" s="278">
        <f t="shared" ca="1" si="107"/>
        <v>31</v>
      </c>
      <c r="N229" s="285">
        <v>9.3399999999999997E-2</v>
      </c>
      <c r="O229" s="324">
        <f t="shared" ca="1" si="108"/>
        <v>2167.7004048444446</v>
      </c>
      <c r="P229" s="286">
        <f t="shared" ca="1" si="106"/>
        <v>271689.06040484441</v>
      </c>
      <c r="Q229" s="287"/>
      <c r="R229" s="288"/>
      <c r="S229" s="287"/>
      <c r="T229" s="287"/>
      <c r="U229" s="299" t="s">
        <v>52</v>
      </c>
      <c r="V229" s="502"/>
      <c r="W229" s="290"/>
      <c r="X229" s="290"/>
      <c r="Y229" s="326"/>
      <c r="Z229" s="292"/>
      <c r="AA229" s="293">
        <f t="shared" si="110"/>
        <v>0</v>
      </c>
      <c r="AB229" s="294"/>
      <c r="AC229" s="294"/>
      <c r="AD229" s="295"/>
      <c r="AE229" s="296"/>
      <c r="AF229" s="287"/>
      <c r="AG229" s="294" t="s">
        <v>48</v>
      </c>
      <c r="AH229" s="478"/>
      <c r="AI229" s="378" t="s">
        <v>221</v>
      </c>
      <c r="AJ229" s="278"/>
      <c r="AK229" s="328"/>
      <c r="AL229" s="588">
        <f t="shared" ref="AL229:AL252" ca="1" si="111">+$A$1-A229</f>
        <v>73</v>
      </c>
    </row>
    <row r="230" spans="1:38" s="300" customFormat="1" ht="12" customHeight="1">
      <c r="A230" s="278" t="s">
        <v>701</v>
      </c>
      <c r="B230" s="278" t="s">
        <v>745</v>
      </c>
      <c r="C230" s="278" t="s">
        <v>747</v>
      </c>
      <c r="D230" s="260" t="str">
        <f t="shared" si="109"/>
        <v>L6N85722</v>
      </c>
      <c r="E230" s="279">
        <v>269521.36</v>
      </c>
      <c r="F230" s="279">
        <v>269521.36</v>
      </c>
      <c r="G230" s="280" t="s">
        <v>158</v>
      </c>
      <c r="H230" s="278" t="s">
        <v>33</v>
      </c>
      <c r="I230" s="281"/>
      <c r="J230" s="299" t="s">
        <v>131</v>
      </c>
      <c r="K230" s="282">
        <v>43714</v>
      </c>
      <c r="L230" s="334">
        <v>119</v>
      </c>
      <c r="M230" s="278">
        <f t="shared" ca="1" si="107"/>
        <v>31</v>
      </c>
      <c r="N230" s="285">
        <v>9.3399999999999997E-2</v>
      </c>
      <c r="O230" s="324">
        <f t="shared" ca="1" si="108"/>
        <v>2167.7004048444446</v>
      </c>
      <c r="P230" s="286">
        <f t="shared" ca="1" si="106"/>
        <v>271689.06040484441</v>
      </c>
      <c r="Q230" s="287"/>
      <c r="R230" s="288"/>
      <c r="S230" s="287"/>
      <c r="T230" s="287"/>
      <c r="U230" s="299" t="s">
        <v>52</v>
      </c>
      <c r="V230" s="502"/>
      <c r="W230" s="290"/>
      <c r="X230" s="290"/>
      <c r="Y230" s="326"/>
      <c r="Z230" s="292"/>
      <c r="AA230" s="293">
        <f t="shared" si="110"/>
        <v>0</v>
      </c>
      <c r="AB230" s="294"/>
      <c r="AC230" s="294"/>
      <c r="AD230" s="295"/>
      <c r="AE230" s="296"/>
      <c r="AF230" s="287"/>
      <c r="AG230" s="294" t="s">
        <v>48</v>
      </c>
      <c r="AH230" s="478"/>
      <c r="AI230" s="378" t="s">
        <v>221</v>
      </c>
      <c r="AJ230" s="278"/>
      <c r="AK230" s="328"/>
      <c r="AL230" s="588">
        <f t="shared" ca="1" si="111"/>
        <v>73</v>
      </c>
    </row>
    <row r="231" spans="1:38" s="300" customFormat="1" ht="12" customHeight="1">
      <c r="A231" s="278" t="s">
        <v>764</v>
      </c>
      <c r="B231" s="278" t="s">
        <v>213</v>
      </c>
      <c r="C231" s="278" t="s">
        <v>766</v>
      </c>
      <c r="D231" s="260" t="str">
        <f t="shared" si="109"/>
        <v>KT856390</v>
      </c>
      <c r="E231" s="279">
        <v>388876.08</v>
      </c>
      <c r="F231" s="279">
        <v>388876.08</v>
      </c>
      <c r="G231" s="280" t="s">
        <v>158</v>
      </c>
      <c r="H231" s="278" t="s">
        <v>33</v>
      </c>
      <c r="I231" s="281" t="s">
        <v>44</v>
      </c>
      <c r="J231" s="299" t="s">
        <v>131</v>
      </c>
      <c r="K231" s="282">
        <v>43714</v>
      </c>
      <c r="L231" s="334">
        <v>119</v>
      </c>
      <c r="M231" s="278">
        <f t="shared" ca="1" si="107"/>
        <v>31</v>
      </c>
      <c r="N231" s="285">
        <v>9.3399999999999997E-2</v>
      </c>
      <c r="O231" s="324">
        <f t="shared" ca="1" si="108"/>
        <v>3127.643894533333</v>
      </c>
      <c r="P231" s="286">
        <f t="shared" ca="1" si="106"/>
        <v>392003.72389453335</v>
      </c>
      <c r="Q231" s="287"/>
      <c r="R231" s="288"/>
      <c r="S231" s="287"/>
      <c r="T231" s="287"/>
      <c r="U231" s="299" t="s">
        <v>52</v>
      </c>
      <c r="V231" s="502"/>
      <c r="W231" s="290"/>
      <c r="X231" s="290"/>
      <c r="Y231" s="326"/>
      <c r="Z231" s="292"/>
      <c r="AA231" s="293">
        <f t="shared" si="110"/>
        <v>0</v>
      </c>
      <c r="AB231" s="294"/>
      <c r="AC231" s="294"/>
      <c r="AD231" s="295"/>
      <c r="AE231" s="296"/>
      <c r="AF231" s="287"/>
      <c r="AG231" s="294" t="s">
        <v>48</v>
      </c>
      <c r="AH231" s="478"/>
      <c r="AI231" s="378" t="s">
        <v>221</v>
      </c>
      <c r="AJ231" s="278"/>
      <c r="AK231" s="328"/>
      <c r="AL231" s="588">
        <f t="shared" ca="1" si="111"/>
        <v>68</v>
      </c>
    </row>
    <row r="232" spans="1:38" s="300" customFormat="1" ht="12" customHeight="1">
      <c r="A232" s="278" t="s">
        <v>764</v>
      </c>
      <c r="B232" s="278" t="s">
        <v>258</v>
      </c>
      <c r="C232" s="278" t="s">
        <v>767</v>
      </c>
      <c r="D232" s="260" t="str">
        <f t="shared" si="109"/>
        <v>KW626997</v>
      </c>
      <c r="E232" s="279">
        <v>784996.36</v>
      </c>
      <c r="F232" s="279">
        <v>784996.36</v>
      </c>
      <c r="G232" s="280" t="s">
        <v>158</v>
      </c>
      <c r="H232" s="278" t="s">
        <v>33</v>
      </c>
      <c r="I232" s="281" t="s">
        <v>80</v>
      </c>
      <c r="J232" s="299" t="s">
        <v>131</v>
      </c>
      <c r="K232" s="282">
        <v>43714</v>
      </c>
      <c r="L232" s="334">
        <v>119</v>
      </c>
      <c r="M232" s="278">
        <f t="shared" ca="1" si="107"/>
        <v>31</v>
      </c>
      <c r="N232" s="285">
        <v>9.3399999999999997E-2</v>
      </c>
      <c r="O232" s="324">
        <f t="shared" ca="1" si="108"/>
        <v>6313.5512798444443</v>
      </c>
      <c r="P232" s="286">
        <f t="shared" ca="1" si="106"/>
        <v>791309.91127984447</v>
      </c>
      <c r="Q232" s="287"/>
      <c r="R232" s="288"/>
      <c r="S232" s="287"/>
      <c r="T232" s="287"/>
      <c r="U232" s="299" t="s">
        <v>52</v>
      </c>
      <c r="V232" s="502"/>
      <c r="W232" s="290"/>
      <c r="X232" s="290"/>
      <c r="Y232" s="326"/>
      <c r="Z232" s="292"/>
      <c r="AA232" s="293">
        <f t="shared" si="110"/>
        <v>0</v>
      </c>
      <c r="AB232" s="294"/>
      <c r="AC232" s="294"/>
      <c r="AD232" s="295"/>
      <c r="AE232" s="296"/>
      <c r="AF232" s="287"/>
      <c r="AG232" s="294" t="s">
        <v>48</v>
      </c>
      <c r="AH232" s="478"/>
      <c r="AI232" s="378" t="s">
        <v>221</v>
      </c>
      <c r="AJ232" s="278"/>
      <c r="AK232" s="328"/>
      <c r="AL232" s="588">
        <f t="shared" ca="1" si="111"/>
        <v>68</v>
      </c>
    </row>
    <row r="233" spans="1:38" s="300" customFormat="1" ht="12" customHeight="1">
      <c r="A233" s="278" t="s">
        <v>764</v>
      </c>
      <c r="B233" s="278" t="s">
        <v>258</v>
      </c>
      <c r="C233" s="278" t="s">
        <v>768</v>
      </c>
      <c r="D233" s="260" t="str">
        <f t="shared" si="109"/>
        <v>KW674026</v>
      </c>
      <c r="E233" s="279">
        <v>784996.36</v>
      </c>
      <c r="F233" s="279">
        <v>784996.36</v>
      </c>
      <c r="G233" s="280" t="s">
        <v>158</v>
      </c>
      <c r="H233" s="278" t="s">
        <v>33</v>
      </c>
      <c r="I233" s="281" t="s">
        <v>55</v>
      </c>
      <c r="J233" s="299" t="s">
        <v>131</v>
      </c>
      <c r="K233" s="282">
        <v>43714</v>
      </c>
      <c r="L233" s="334">
        <v>119</v>
      </c>
      <c r="M233" s="278">
        <f t="shared" ca="1" si="107"/>
        <v>31</v>
      </c>
      <c r="N233" s="285">
        <v>9.3399999999999997E-2</v>
      </c>
      <c r="O233" s="324">
        <f t="shared" ca="1" si="108"/>
        <v>6313.5512798444443</v>
      </c>
      <c r="P233" s="286">
        <f t="shared" ca="1" si="106"/>
        <v>791309.91127984447</v>
      </c>
      <c r="Q233" s="287"/>
      <c r="R233" s="288"/>
      <c r="S233" s="287"/>
      <c r="T233" s="287"/>
      <c r="U233" s="299" t="s">
        <v>52</v>
      </c>
      <c r="V233" s="502"/>
      <c r="W233" s="290"/>
      <c r="X233" s="290"/>
      <c r="Y233" s="326"/>
      <c r="Z233" s="292"/>
      <c r="AA233" s="293">
        <f t="shared" si="110"/>
        <v>0</v>
      </c>
      <c r="AB233" s="294"/>
      <c r="AC233" s="294"/>
      <c r="AD233" s="295"/>
      <c r="AE233" s="296"/>
      <c r="AF233" s="287"/>
      <c r="AG233" s="294" t="s">
        <v>48</v>
      </c>
      <c r="AH233" s="478"/>
      <c r="AI233" s="378" t="s">
        <v>221</v>
      </c>
      <c r="AJ233" s="278"/>
      <c r="AK233" s="328"/>
      <c r="AL233" s="588">
        <f t="shared" ca="1" si="111"/>
        <v>68</v>
      </c>
    </row>
    <row r="234" spans="1:38" s="300" customFormat="1" ht="12" customHeight="1">
      <c r="A234" s="278" t="s">
        <v>795</v>
      </c>
      <c r="B234" s="278" t="s">
        <v>213</v>
      </c>
      <c r="C234" s="278" t="s">
        <v>796</v>
      </c>
      <c r="D234" s="260" t="str">
        <f t="shared" si="109"/>
        <v>KT856391</v>
      </c>
      <c r="E234" s="279">
        <v>388876.08</v>
      </c>
      <c r="F234" s="279">
        <v>388876.08</v>
      </c>
      <c r="G234" s="280" t="s">
        <v>158</v>
      </c>
      <c r="H234" s="278" t="s">
        <v>33</v>
      </c>
      <c r="I234" s="281" t="s">
        <v>80</v>
      </c>
      <c r="J234" s="299" t="s">
        <v>131</v>
      </c>
      <c r="K234" s="282">
        <v>43714</v>
      </c>
      <c r="L234" s="334">
        <v>119</v>
      </c>
      <c r="M234" s="278">
        <f t="shared" ca="1" si="107"/>
        <v>31</v>
      </c>
      <c r="N234" s="285">
        <v>9.3399999999999997E-2</v>
      </c>
      <c r="O234" s="324">
        <f t="shared" ca="1" si="108"/>
        <v>3127.643894533333</v>
      </c>
      <c r="P234" s="286">
        <f t="shared" ca="1" si="106"/>
        <v>392003.72389453335</v>
      </c>
      <c r="Q234" s="287"/>
      <c r="R234" s="288"/>
      <c r="S234" s="287" t="s">
        <v>1461</v>
      </c>
      <c r="T234" s="287" t="s">
        <v>1462</v>
      </c>
      <c r="U234" s="299" t="s">
        <v>34</v>
      </c>
      <c r="V234" s="502" t="s">
        <v>1463</v>
      </c>
      <c r="W234" s="290"/>
      <c r="X234" s="290"/>
      <c r="Y234" s="326">
        <v>393324</v>
      </c>
      <c r="Z234" s="326">
        <v>393324</v>
      </c>
      <c r="AA234" s="293">
        <f t="shared" si="110"/>
        <v>0</v>
      </c>
      <c r="AB234" s="294" t="s">
        <v>197</v>
      </c>
      <c r="AC234" s="294" t="s">
        <v>1479</v>
      </c>
      <c r="AD234" s="295">
        <v>43741</v>
      </c>
      <c r="AE234" s="296"/>
      <c r="AF234" s="287" t="s">
        <v>261</v>
      </c>
      <c r="AG234" s="294" t="s">
        <v>82</v>
      </c>
      <c r="AH234" s="478"/>
      <c r="AI234" s="378" t="s">
        <v>221</v>
      </c>
      <c r="AJ234" s="278"/>
      <c r="AK234" s="328"/>
      <c r="AL234" s="588">
        <f t="shared" ca="1" si="111"/>
        <v>66</v>
      </c>
    </row>
    <row r="235" spans="1:38" s="300" customFormat="1" ht="12" customHeight="1">
      <c r="A235" s="278" t="s">
        <v>798</v>
      </c>
      <c r="B235" s="278" t="s">
        <v>213</v>
      </c>
      <c r="C235" s="278" t="s">
        <v>800</v>
      </c>
      <c r="D235" s="260" t="str">
        <f t="shared" si="109"/>
        <v>KT856388</v>
      </c>
      <c r="E235" s="279">
        <v>388876.08</v>
      </c>
      <c r="F235" s="279">
        <v>388876.08</v>
      </c>
      <c r="G235" s="280" t="s">
        <v>158</v>
      </c>
      <c r="H235" s="278" t="s">
        <v>33</v>
      </c>
      <c r="I235" s="281" t="s">
        <v>55</v>
      </c>
      <c r="J235" s="299" t="s">
        <v>131</v>
      </c>
      <c r="K235" s="282">
        <v>43714</v>
      </c>
      <c r="L235" s="334">
        <v>119</v>
      </c>
      <c r="M235" s="278">
        <f t="shared" ca="1" si="107"/>
        <v>31</v>
      </c>
      <c r="N235" s="285">
        <v>9.3399999999999997E-2</v>
      </c>
      <c r="O235" s="324">
        <f t="shared" ca="1" si="108"/>
        <v>3127.643894533333</v>
      </c>
      <c r="P235" s="286">
        <f t="shared" ca="1" si="106"/>
        <v>392003.72389453335</v>
      </c>
      <c r="Q235" s="287"/>
      <c r="R235" s="288"/>
      <c r="S235" s="287"/>
      <c r="T235" s="287"/>
      <c r="U235" s="299" t="s">
        <v>52</v>
      </c>
      <c r="V235" s="502"/>
      <c r="W235" s="290"/>
      <c r="X235" s="290"/>
      <c r="Y235" s="326"/>
      <c r="Z235" s="292"/>
      <c r="AA235" s="293">
        <f t="shared" si="110"/>
        <v>0</v>
      </c>
      <c r="AB235" s="294"/>
      <c r="AC235" s="294"/>
      <c r="AD235" s="295"/>
      <c r="AE235" s="296"/>
      <c r="AF235" s="287"/>
      <c r="AG235" s="294" t="s">
        <v>48</v>
      </c>
      <c r="AH235" s="478"/>
      <c r="AI235" s="378" t="s">
        <v>221</v>
      </c>
      <c r="AJ235" s="278"/>
      <c r="AK235" s="328"/>
      <c r="AL235" s="588">
        <f t="shared" ca="1" si="111"/>
        <v>65</v>
      </c>
    </row>
    <row r="236" spans="1:38" s="300" customFormat="1" ht="12" customHeight="1">
      <c r="A236" s="278" t="s">
        <v>805</v>
      </c>
      <c r="B236" s="278" t="s">
        <v>83</v>
      </c>
      <c r="C236" s="278" t="s">
        <v>812</v>
      </c>
      <c r="D236" s="260" t="str">
        <f t="shared" si="109"/>
        <v>KY332825</v>
      </c>
      <c r="E236" s="279">
        <v>224478.56</v>
      </c>
      <c r="F236" s="279">
        <v>224478.56</v>
      </c>
      <c r="G236" s="280" t="s">
        <v>158</v>
      </c>
      <c r="H236" s="278" t="s">
        <v>33</v>
      </c>
      <c r="I236" s="281" t="s">
        <v>80</v>
      </c>
      <c r="J236" s="299" t="s">
        <v>131</v>
      </c>
      <c r="K236" s="282">
        <v>43714</v>
      </c>
      <c r="L236" s="334">
        <v>119</v>
      </c>
      <c r="M236" s="278">
        <f t="shared" ca="1" si="107"/>
        <v>31</v>
      </c>
      <c r="N236" s="285">
        <v>9.3399999999999997E-2</v>
      </c>
      <c r="O236" s="324">
        <f t="shared" ca="1" si="108"/>
        <v>1805.4311739555553</v>
      </c>
      <c r="P236" s="286">
        <f t="shared" ca="1" si="106"/>
        <v>226283.99117395555</v>
      </c>
      <c r="Q236" s="287"/>
      <c r="R236" s="288"/>
      <c r="S236" s="287"/>
      <c r="T236" s="287"/>
      <c r="U236" s="299" t="s">
        <v>52</v>
      </c>
      <c r="V236" s="502"/>
      <c r="W236" s="290"/>
      <c r="X236" s="290"/>
      <c r="Y236" s="326"/>
      <c r="Z236" s="292"/>
      <c r="AA236" s="293">
        <f t="shared" si="110"/>
        <v>0</v>
      </c>
      <c r="AB236" s="294"/>
      <c r="AC236" s="294"/>
      <c r="AD236" s="295"/>
      <c r="AE236" s="296"/>
      <c r="AF236" s="287"/>
      <c r="AG236" s="294" t="s">
        <v>48</v>
      </c>
      <c r="AH236" s="478"/>
      <c r="AI236" s="378" t="s">
        <v>221</v>
      </c>
      <c r="AJ236" s="278"/>
      <c r="AK236" s="328"/>
      <c r="AL236" s="588">
        <f t="shared" ca="1" si="111"/>
        <v>61</v>
      </c>
    </row>
    <row r="237" spans="1:38" s="300" customFormat="1" ht="12" customHeight="1">
      <c r="A237" s="278" t="s">
        <v>805</v>
      </c>
      <c r="B237" s="278" t="s">
        <v>83</v>
      </c>
      <c r="C237" s="278" t="s">
        <v>813</v>
      </c>
      <c r="D237" s="260" t="str">
        <f t="shared" si="109"/>
        <v>KY333141</v>
      </c>
      <c r="E237" s="279">
        <v>224478.56</v>
      </c>
      <c r="F237" s="279">
        <v>224478.56</v>
      </c>
      <c r="G237" s="280" t="s">
        <v>158</v>
      </c>
      <c r="H237" s="278" t="s">
        <v>33</v>
      </c>
      <c r="I237" s="281" t="s">
        <v>44</v>
      </c>
      <c r="J237" s="299" t="s">
        <v>131</v>
      </c>
      <c r="K237" s="282">
        <v>43714</v>
      </c>
      <c r="L237" s="334">
        <v>119</v>
      </c>
      <c r="M237" s="278">
        <f t="shared" ca="1" si="107"/>
        <v>31</v>
      </c>
      <c r="N237" s="285">
        <v>9.3399999999999997E-2</v>
      </c>
      <c r="O237" s="324">
        <f t="shared" ca="1" si="108"/>
        <v>1805.4311739555553</v>
      </c>
      <c r="P237" s="286">
        <f t="shared" ca="1" si="106"/>
        <v>226283.99117395555</v>
      </c>
      <c r="Q237" s="287"/>
      <c r="R237" s="288"/>
      <c r="S237" s="287"/>
      <c r="T237" s="287"/>
      <c r="U237" s="299" t="s">
        <v>52</v>
      </c>
      <c r="V237" s="502"/>
      <c r="W237" s="290"/>
      <c r="X237" s="290"/>
      <c r="Y237" s="326"/>
      <c r="Z237" s="292"/>
      <c r="AA237" s="293">
        <f t="shared" si="110"/>
        <v>0</v>
      </c>
      <c r="AB237" s="294"/>
      <c r="AC237" s="294"/>
      <c r="AD237" s="295"/>
      <c r="AE237" s="296"/>
      <c r="AF237" s="287"/>
      <c r="AG237" s="294" t="s">
        <v>48</v>
      </c>
      <c r="AH237" s="478"/>
      <c r="AI237" s="378" t="s">
        <v>221</v>
      </c>
      <c r="AJ237" s="278"/>
      <c r="AK237" s="328"/>
      <c r="AL237" s="588">
        <f t="shared" ca="1" si="111"/>
        <v>61</v>
      </c>
    </row>
    <row r="238" spans="1:38" s="300" customFormat="1" ht="12" customHeight="1">
      <c r="A238" s="278" t="s">
        <v>840</v>
      </c>
      <c r="B238" s="278" t="s">
        <v>72</v>
      </c>
      <c r="C238" s="278" t="s">
        <v>841</v>
      </c>
      <c r="D238" s="260" t="str">
        <f t="shared" si="109"/>
        <v>KH008507</v>
      </c>
      <c r="E238" s="279">
        <v>212253.32</v>
      </c>
      <c r="F238" s="279">
        <v>212253.32</v>
      </c>
      <c r="G238" s="280" t="s">
        <v>158</v>
      </c>
      <c r="H238" s="278" t="s">
        <v>33</v>
      </c>
      <c r="I238" s="281" t="s">
        <v>32</v>
      </c>
      <c r="J238" s="299" t="s">
        <v>131</v>
      </c>
      <c r="K238" s="282">
        <v>43714</v>
      </c>
      <c r="L238" s="334">
        <v>119</v>
      </c>
      <c r="M238" s="278">
        <f t="shared" ca="1" si="107"/>
        <v>31</v>
      </c>
      <c r="N238" s="285">
        <v>9.3399999999999997E-2</v>
      </c>
      <c r="O238" s="324">
        <f t="shared" ca="1" si="108"/>
        <v>1707.1062853555554</v>
      </c>
      <c r="P238" s="286">
        <f t="shared" ca="1" si="106"/>
        <v>213960.42628535556</v>
      </c>
      <c r="Q238" s="287"/>
      <c r="R238" s="288"/>
      <c r="S238" s="287"/>
      <c r="T238" s="287"/>
      <c r="U238" s="299" t="s">
        <v>52</v>
      </c>
      <c r="V238" s="502"/>
      <c r="W238" s="290"/>
      <c r="X238" s="290"/>
      <c r="Y238" s="326"/>
      <c r="Z238" s="292"/>
      <c r="AA238" s="293">
        <f t="shared" si="110"/>
        <v>0</v>
      </c>
      <c r="AB238" s="294"/>
      <c r="AC238" s="294"/>
      <c r="AD238" s="295"/>
      <c r="AE238" s="296"/>
      <c r="AF238" s="287"/>
      <c r="AG238" s="294" t="s">
        <v>48</v>
      </c>
      <c r="AH238" s="478"/>
      <c r="AI238" s="378" t="s">
        <v>221</v>
      </c>
      <c r="AJ238" s="278"/>
      <c r="AK238" s="328"/>
      <c r="AL238" s="588">
        <f t="shared" ca="1" si="111"/>
        <v>56</v>
      </c>
    </row>
    <row r="239" spans="1:38" s="300" customFormat="1" ht="12" customHeight="1">
      <c r="A239" s="278" t="s">
        <v>840</v>
      </c>
      <c r="B239" s="278" t="s">
        <v>72</v>
      </c>
      <c r="C239" s="278" t="s">
        <v>843</v>
      </c>
      <c r="D239" s="260" t="str">
        <f t="shared" si="109"/>
        <v>KH009969</v>
      </c>
      <c r="E239" s="279">
        <v>212253.32</v>
      </c>
      <c r="F239" s="279">
        <v>212253.32</v>
      </c>
      <c r="G239" s="280" t="s">
        <v>158</v>
      </c>
      <c r="H239" s="278" t="s">
        <v>33</v>
      </c>
      <c r="I239" s="281"/>
      <c r="J239" s="299" t="s">
        <v>131</v>
      </c>
      <c r="K239" s="282">
        <v>43714</v>
      </c>
      <c r="L239" s="334">
        <v>119</v>
      </c>
      <c r="M239" s="278">
        <f t="shared" ca="1" si="107"/>
        <v>31</v>
      </c>
      <c r="N239" s="285">
        <v>9.3399999999999997E-2</v>
      </c>
      <c r="O239" s="324">
        <f t="shared" ca="1" si="108"/>
        <v>1707.1062853555554</v>
      </c>
      <c r="P239" s="286">
        <f t="shared" ca="1" si="106"/>
        <v>213960.42628535556</v>
      </c>
      <c r="Q239" s="287"/>
      <c r="R239" s="288"/>
      <c r="S239" s="287"/>
      <c r="T239" s="287"/>
      <c r="U239" s="299" t="s">
        <v>52</v>
      </c>
      <c r="V239" s="502"/>
      <c r="W239" s="290"/>
      <c r="X239" s="290"/>
      <c r="Y239" s="326"/>
      <c r="Z239" s="292"/>
      <c r="AA239" s="293">
        <f t="shared" si="110"/>
        <v>0</v>
      </c>
      <c r="AB239" s="294"/>
      <c r="AC239" s="294"/>
      <c r="AD239" s="295"/>
      <c r="AE239" s="296"/>
      <c r="AF239" s="287"/>
      <c r="AG239" s="294" t="s">
        <v>48</v>
      </c>
      <c r="AH239" s="478"/>
      <c r="AI239" s="378" t="s">
        <v>221</v>
      </c>
      <c r="AJ239" s="278"/>
      <c r="AK239" s="328"/>
      <c r="AL239" s="588">
        <f t="shared" ca="1" si="111"/>
        <v>56</v>
      </c>
    </row>
    <row r="240" spans="1:38" s="300" customFormat="1" ht="12" customHeight="1">
      <c r="A240" s="278" t="s">
        <v>840</v>
      </c>
      <c r="B240" s="278" t="s">
        <v>74</v>
      </c>
      <c r="C240" s="278" t="s">
        <v>844</v>
      </c>
      <c r="D240" s="260" t="str">
        <f t="shared" si="109"/>
        <v>KH009646</v>
      </c>
      <c r="E240" s="279">
        <v>223101.64</v>
      </c>
      <c r="F240" s="279">
        <v>223101.64</v>
      </c>
      <c r="G240" s="280" t="s">
        <v>158</v>
      </c>
      <c r="H240" s="278" t="s">
        <v>33</v>
      </c>
      <c r="I240" s="281"/>
      <c r="J240" s="299" t="s">
        <v>131</v>
      </c>
      <c r="K240" s="282">
        <v>43714</v>
      </c>
      <c r="L240" s="334">
        <v>119</v>
      </c>
      <c r="M240" s="278">
        <f t="shared" ca="1" si="107"/>
        <v>31</v>
      </c>
      <c r="N240" s="285">
        <v>9.3399999999999997E-2</v>
      </c>
      <c r="O240" s="324">
        <f t="shared" ca="1" si="108"/>
        <v>1794.3569123777779</v>
      </c>
      <c r="P240" s="286">
        <f t="shared" ca="1" si="106"/>
        <v>224895.9969123778</v>
      </c>
      <c r="Q240" s="287"/>
      <c r="R240" s="288"/>
      <c r="S240" s="287"/>
      <c r="T240" s="287"/>
      <c r="U240" s="299" t="s">
        <v>52</v>
      </c>
      <c r="V240" s="502"/>
      <c r="W240" s="290"/>
      <c r="X240" s="290"/>
      <c r="Y240" s="326"/>
      <c r="Z240" s="292"/>
      <c r="AA240" s="293">
        <f t="shared" si="110"/>
        <v>0</v>
      </c>
      <c r="AB240" s="294"/>
      <c r="AC240" s="294"/>
      <c r="AD240" s="295"/>
      <c r="AE240" s="296"/>
      <c r="AF240" s="287"/>
      <c r="AG240" s="294" t="s">
        <v>48</v>
      </c>
      <c r="AH240" s="478"/>
      <c r="AI240" s="378" t="s">
        <v>221</v>
      </c>
      <c r="AJ240" s="278"/>
      <c r="AK240" s="328"/>
      <c r="AL240" s="588">
        <f t="shared" ca="1" si="111"/>
        <v>56</v>
      </c>
    </row>
    <row r="241" spans="1:38" s="300" customFormat="1" ht="12" customHeight="1">
      <c r="A241" s="278" t="s">
        <v>854</v>
      </c>
      <c r="B241" s="278" t="s">
        <v>745</v>
      </c>
      <c r="C241" s="278" t="s">
        <v>866</v>
      </c>
      <c r="D241" s="260" t="str">
        <f t="shared" si="109"/>
        <v>L6N85542</v>
      </c>
      <c r="E241" s="279">
        <v>269521.36</v>
      </c>
      <c r="F241" s="279">
        <v>269521.36</v>
      </c>
      <c r="G241" s="280" t="s">
        <v>158</v>
      </c>
      <c r="H241" s="278" t="s">
        <v>33</v>
      </c>
      <c r="I241" s="281"/>
      <c r="J241" s="299" t="s">
        <v>131</v>
      </c>
      <c r="K241" s="282">
        <v>43721</v>
      </c>
      <c r="L241" s="334">
        <v>119</v>
      </c>
      <c r="M241" s="278">
        <f t="shared" ref="M241:M248" ca="1" si="112">$A$1-K241</f>
        <v>24</v>
      </c>
      <c r="N241" s="285">
        <v>9.2799999999999994E-2</v>
      </c>
      <c r="O241" s="324">
        <f t="shared" ca="1" si="108"/>
        <v>1667.4388138666666</v>
      </c>
      <c r="P241" s="286">
        <f t="shared" ca="1" si="106"/>
        <v>271188.79881386663</v>
      </c>
      <c r="Q241" s="287"/>
      <c r="R241" s="288"/>
      <c r="S241" s="287"/>
      <c r="T241" s="287"/>
      <c r="U241" s="299" t="s">
        <v>52</v>
      </c>
      <c r="V241" s="502"/>
      <c r="W241" s="290"/>
      <c r="X241" s="290"/>
      <c r="Y241" s="326"/>
      <c r="Z241" s="292"/>
      <c r="AA241" s="293">
        <f t="shared" si="110"/>
        <v>0</v>
      </c>
      <c r="AB241" s="294"/>
      <c r="AC241" s="294"/>
      <c r="AD241" s="295"/>
      <c r="AE241" s="296"/>
      <c r="AF241" s="287"/>
      <c r="AG241" s="294" t="s">
        <v>48</v>
      </c>
      <c r="AH241" s="478"/>
      <c r="AI241" s="378" t="s">
        <v>221</v>
      </c>
      <c r="AJ241" s="278"/>
      <c r="AK241" s="328"/>
      <c r="AL241" s="588">
        <f t="shared" ca="1" si="111"/>
        <v>54</v>
      </c>
    </row>
    <row r="242" spans="1:38" s="300" customFormat="1" ht="12" customHeight="1">
      <c r="A242" s="278" t="s">
        <v>854</v>
      </c>
      <c r="B242" s="278" t="s">
        <v>865</v>
      </c>
      <c r="C242" s="278" t="s">
        <v>868</v>
      </c>
      <c r="D242" s="260" t="str">
        <f t="shared" si="109"/>
        <v>L6N88445</v>
      </c>
      <c r="E242" s="279">
        <v>237380.08</v>
      </c>
      <c r="F242" s="279">
        <v>237380.08</v>
      </c>
      <c r="G242" s="280" t="s">
        <v>158</v>
      </c>
      <c r="H242" s="278" t="s">
        <v>33</v>
      </c>
      <c r="I242" s="281"/>
      <c r="J242" s="299" t="s">
        <v>131</v>
      </c>
      <c r="K242" s="282">
        <v>43721</v>
      </c>
      <c r="L242" s="334">
        <v>119</v>
      </c>
      <c r="M242" s="278">
        <f t="shared" ca="1" si="112"/>
        <v>24</v>
      </c>
      <c r="N242" s="285">
        <v>9.2799999999999994E-2</v>
      </c>
      <c r="O242" s="324">
        <f t="shared" ref="O242:O247" ca="1" si="113">F242*N242/360*M242</f>
        <v>1468.5914282666663</v>
      </c>
      <c r="P242" s="286">
        <f t="shared" ref="P242:P247" ca="1" si="114">O242+F242</f>
        <v>238848.67142826665</v>
      </c>
      <c r="Q242" s="287"/>
      <c r="R242" s="288"/>
      <c r="S242" s="287"/>
      <c r="T242" s="287"/>
      <c r="U242" s="299" t="s">
        <v>52</v>
      </c>
      <c r="V242" s="502"/>
      <c r="W242" s="290"/>
      <c r="X242" s="290"/>
      <c r="Y242" s="326"/>
      <c r="Z242" s="292"/>
      <c r="AA242" s="293">
        <f t="shared" si="110"/>
        <v>0</v>
      </c>
      <c r="AB242" s="294"/>
      <c r="AC242" s="294"/>
      <c r="AD242" s="295"/>
      <c r="AE242" s="296"/>
      <c r="AF242" s="287"/>
      <c r="AG242" s="294" t="s">
        <v>48</v>
      </c>
      <c r="AH242" s="478"/>
      <c r="AI242" s="378" t="s">
        <v>221</v>
      </c>
      <c r="AJ242" s="278"/>
      <c r="AK242" s="328"/>
      <c r="AL242" s="588">
        <f t="shared" ca="1" si="111"/>
        <v>54</v>
      </c>
    </row>
    <row r="243" spans="1:38" s="300" customFormat="1" ht="12" customHeight="1">
      <c r="A243" s="278" t="s">
        <v>854</v>
      </c>
      <c r="B243" s="278" t="s">
        <v>865</v>
      </c>
      <c r="C243" s="278" t="s">
        <v>869</v>
      </c>
      <c r="D243" s="260" t="str">
        <f t="shared" si="109"/>
        <v>L6N89358</v>
      </c>
      <c r="E243" s="279">
        <v>237380.08</v>
      </c>
      <c r="F243" s="279">
        <v>237380.08</v>
      </c>
      <c r="G243" s="280" t="s">
        <v>158</v>
      </c>
      <c r="H243" s="278" t="s">
        <v>33</v>
      </c>
      <c r="I243" s="281" t="s">
        <v>55</v>
      </c>
      <c r="J243" s="299" t="s">
        <v>131</v>
      </c>
      <c r="K243" s="282">
        <v>43721</v>
      </c>
      <c r="L243" s="334">
        <v>119</v>
      </c>
      <c r="M243" s="278">
        <f t="shared" ca="1" si="112"/>
        <v>24</v>
      </c>
      <c r="N243" s="285">
        <v>9.2799999999999994E-2</v>
      </c>
      <c r="O243" s="324">
        <f t="shared" ca="1" si="113"/>
        <v>1468.5914282666663</v>
      </c>
      <c r="P243" s="286">
        <f t="shared" ca="1" si="114"/>
        <v>238848.67142826665</v>
      </c>
      <c r="Q243" s="287"/>
      <c r="R243" s="288"/>
      <c r="S243" s="287"/>
      <c r="T243" s="287"/>
      <c r="U243" s="299" t="s">
        <v>52</v>
      </c>
      <c r="V243" s="502"/>
      <c r="W243" s="290"/>
      <c r="X243" s="290"/>
      <c r="Y243" s="326"/>
      <c r="Z243" s="292"/>
      <c r="AA243" s="293">
        <f t="shared" si="110"/>
        <v>0</v>
      </c>
      <c r="AB243" s="294"/>
      <c r="AC243" s="294"/>
      <c r="AD243" s="295"/>
      <c r="AE243" s="296"/>
      <c r="AF243" s="287"/>
      <c r="AG243" s="294" t="s">
        <v>48</v>
      </c>
      <c r="AH243" s="478"/>
      <c r="AI243" s="378" t="s">
        <v>221</v>
      </c>
      <c r="AJ243" s="278"/>
      <c r="AK243" s="328"/>
      <c r="AL243" s="588">
        <f t="shared" ca="1" si="111"/>
        <v>54</v>
      </c>
    </row>
    <row r="244" spans="1:38" s="300" customFormat="1" ht="12" customHeight="1">
      <c r="A244" s="519" t="s">
        <v>882</v>
      </c>
      <c r="B244" s="520" t="s">
        <v>288</v>
      </c>
      <c r="C244" s="521" t="s">
        <v>884</v>
      </c>
      <c r="D244" s="260" t="str">
        <f t="shared" si="109"/>
        <v>LY346145</v>
      </c>
      <c r="E244" s="279">
        <v>295580.76</v>
      </c>
      <c r="F244" s="279">
        <v>295580.76</v>
      </c>
      <c r="G244" s="280" t="s">
        <v>158</v>
      </c>
      <c r="H244" s="278" t="s">
        <v>33</v>
      </c>
      <c r="I244" s="281"/>
      <c r="J244" s="299" t="s">
        <v>131</v>
      </c>
      <c r="K244" s="282">
        <v>43721</v>
      </c>
      <c r="L244" s="334">
        <v>119</v>
      </c>
      <c r="M244" s="278">
        <f t="shared" ca="1" si="112"/>
        <v>24</v>
      </c>
      <c r="N244" s="285">
        <v>9.2799999999999994E-2</v>
      </c>
      <c r="O244" s="324">
        <f t="shared" ca="1" si="113"/>
        <v>1828.6596352000001</v>
      </c>
      <c r="P244" s="286">
        <f t="shared" ca="1" si="114"/>
        <v>297409.4196352</v>
      </c>
      <c r="Q244" s="287"/>
      <c r="R244" s="288"/>
      <c r="S244" s="287"/>
      <c r="T244" s="287"/>
      <c r="U244" s="299" t="s">
        <v>52</v>
      </c>
      <c r="V244" s="502"/>
      <c r="W244" s="290"/>
      <c r="X244" s="290"/>
      <c r="Y244" s="326"/>
      <c r="Z244" s="292"/>
      <c r="AA244" s="293">
        <f t="shared" si="110"/>
        <v>0</v>
      </c>
      <c r="AB244" s="294"/>
      <c r="AC244" s="294"/>
      <c r="AD244" s="295"/>
      <c r="AE244" s="296"/>
      <c r="AF244" s="287"/>
      <c r="AG244" s="294" t="s">
        <v>48</v>
      </c>
      <c r="AH244" s="478"/>
      <c r="AI244" s="378" t="s">
        <v>221</v>
      </c>
      <c r="AJ244" s="278"/>
      <c r="AK244" s="328"/>
      <c r="AL244" s="588">
        <f t="shared" ca="1" si="111"/>
        <v>48</v>
      </c>
    </row>
    <row r="245" spans="1:38" s="300" customFormat="1" ht="12" customHeight="1">
      <c r="A245" s="522" t="s">
        <v>882</v>
      </c>
      <c r="B245" s="523" t="s">
        <v>288</v>
      </c>
      <c r="C245" s="524" t="s">
        <v>885</v>
      </c>
      <c r="D245" s="260" t="str">
        <f t="shared" si="109"/>
        <v>LY346242</v>
      </c>
      <c r="E245" s="279">
        <v>295580.76</v>
      </c>
      <c r="F245" s="279">
        <v>295580.76</v>
      </c>
      <c r="G245" s="280" t="s">
        <v>158</v>
      </c>
      <c r="H245" s="278" t="s">
        <v>33</v>
      </c>
      <c r="I245" s="281"/>
      <c r="J245" s="299" t="s">
        <v>131</v>
      </c>
      <c r="K245" s="282">
        <v>43721</v>
      </c>
      <c r="L245" s="334">
        <v>119</v>
      </c>
      <c r="M245" s="278">
        <f t="shared" ca="1" si="112"/>
        <v>24</v>
      </c>
      <c r="N245" s="285">
        <v>9.2799999999999994E-2</v>
      </c>
      <c r="O245" s="324">
        <f t="shared" ca="1" si="113"/>
        <v>1828.6596352000001</v>
      </c>
      <c r="P245" s="286">
        <f t="shared" ca="1" si="114"/>
        <v>297409.4196352</v>
      </c>
      <c r="Q245" s="287"/>
      <c r="R245" s="288"/>
      <c r="S245" s="287"/>
      <c r="T245" s="287"/>
      <c r="U245" s="299" t="s">
        <v>52</v>
      </c>
      <c r="V245" s="502"/>
      <c r="W245" s="290"/>
      <c r="X245" s="290"/>
      <c r="Y245" s="326"/>
      <c r="Z245" s="292"/>
      <c r="AA245" s="293">
        <f t="shared" si="110"/>
        <v>0</v>
      </c>
      <c r="AB245" s="294"/>
      <c r="AC245" s="294"/>
      <c r="AD245" s="295"/>
      <c r="AE245" s="296"/>
      <c r="AF245" s="287"/>
      <c r="AG245" s="294" t="s">
        <v>48</v>
      </c>
      <c r="AH245" s="478"/>
      <c r="AI245" s="378" t="s">
        <v>221</v>
      </c>
      <c r="AJ245" s="278"/>
      <c r="AK245" s="328"/>
      <c r="AL245" s="588">
        <f t="shared" ca="1" si="111"/>
        <v>48</v>
      </c>
    </row>
    <row r="246" spans="1:38" s="300" customFormat="1" ht="12" customHeight="1">
      <c r="A246" s="525" t="s">
        <v>882</v>
      </c>
      <c r="B246" s="526" t="s">
        <v>288</v>
      </c>
      <c r="C246" s="527" t="s">
        <v>886</v>
      </c>
      <c r="D246" s="260" t="str">
        <f t="shared" si="109"/>
        <v>LY346245</v>
      </c>
      <c r="E246" s="279">
        <v>295580.76</v>
      </c>
      <c r="F246" s="279">
        <v>295580.76</v>
      </c>
      <c r="G246" s="280" t="s">
        <v>158</v>
      </c>
      <c r="H246" s="278" t="s">
        <v>33</v>
      </c>
      <c r="I246" s="281"/>
      <c r="J246" s="299" t="s">
        <v>131</v>
      </c>
      <c r="K246" s="282">
        <v>43721</v>
      </c>
      <c r="L246" s="334">
        <v>119</v>
      </c>
      <c r="M246" s="278">
        <f t="shared" ca="1" si="112"/>
        <v>24</v>
      </c>
      <c r="N246" s="285">
        <v>9.2799999999999994E-2</v>
      </c>
      <c r="O246" s="324">
        <f t="shared" ca="1" si="113"/>
        <v>1828.6596352000001</v>
      </c>
      <c r="P246" s="286">
        <f t="shared" ca="1" si="114"/>
        <v>297409.4196352</v>
      </c>
      <c r="Q246" s="287"/>
      <c r="R246" s="288"/>
      <c r="S246" s="287"/>
      <c r="T246" s="287"/>
      <c r="U246" s="299" t="s">
        <v>52</v>
      </c>
      <c r="V246" s="502"/>
      <c r="W246" s="290"/>
      <c r="X246" s="290"/>
      <c r="Y246" s="326"/>
      <c r="Z246" s="292"/>
      <c r="AA246" s="293">
        <f t="shared" si="110"/>
        <v>0</v>
      </c>
      <c r="AB246" s="294"/>
      <c r="AC246" s="294"/>
      <c r="AD246" s="295"/>
      <c r="AE246" s="296"/>
      <c r="AF246" s="287"/>
      <c r="AG246" s="294" t="s">
        <v>48</v>
      </c>
      <c r="AH246" s="478"/>
      <c r="AI246" s="378" t="s">
        <v>221</v>
      </c>
      <c r="AJ246" s="278"/>
      <c r="AK246" s="328"/>
      <c r="AL246" s="588">
        <f t="shared" ca="1" si="111"/>
        <v>48</v>
      </c>
    </row>
    <row r="247" spans="1:38" s="300" customFormat="1" ht="12" customHeight="1">
      <c r="A247" s="287" t="s">
        <v>887</v>
      </c>
      <c r="B247" s="278" t="s">
        <v>489</v>
      </c>
      <c r="C247" s="278" t="s">
        <v>888</v>
      </c>
      <c r="D247" s="260" t="str">
        <f t="shared" si="109"/>
        <v>KG644343</v>
      </c>
      <c r="E247" s="279">
        <v>665985</v>
      </c>
      <c r="F247" s="279">
        <v>665985</v>
      </c>
      <c r="G247" s="280" t="s">
        <v>158</v>
      </c>
      <c r="H247" s="278" t="s">
        <v>33</v>
      </c>
      <c r="I247" s="281" t="s">
        <v>80</v>
      </c>
      <c r="J247" s="299" t="s">
        <v>131</v>
      </c>
      <c r="K247" s="282">
        <v>43721</v>
      </c>
      <c r="L247" s="334">
        <v>119</v>
      </c>
      <c r="M247" s="278">
        <f t="shared" ca="1" si="112"/>
        <v>24</v>
      </c>
      <c r="N247" s="285">
        <v>9.2799999999999994E-2</v>
      </c>
      <c r="O247" s="324">
        <f t="shared" ca="1" si="113"/>
        <v>4120.2271999999994</v>
      </c>
      <c r="P247" s="286">
        <f t="shared" ca="1" si="114"/>
        <v>670105.22719999996</v>
      </c>
      <c r="Q247" s="287"/>
      <c r="R247" s="288"/>
      <c r="S247" s="287"/>
      <c r="T247" s="287"/>
      <c r="U247" s="299" t="s">
        <v>52</v>
      </c>
      <c r="V247" s="502"/>
      <c r="W247" s="290"/>
      <c r="X247" s="290"/>
      <c r="Y247" s="326"/>
      <c r="Z247" s="292"/>
      <c r="AA247" s="293">
        <f t="shared" si="110"/>
        <v>0</v>
      </c>
      <c r="AB247" s="294"/>
      <c r="AC247" s="294"/>
      <c r="AD247" s="295"/>
      <c r="AE247" s="296"/>
      <c r="AF247" s="287"/>
      <c r="AG247" s="294" t="s">
        <v>48</v>
      </c>
      <c r="AH247" s="478"/>
      <c r="AI247" s="378" t="s">
        <v>221</v>
      </c>
      <c r="AJ247" s="278"/>
      <c r="AK247" s="328"/>
      <c r="AL247" s="588">
        <f t="shared" ca="1" si="111"/>
        <v>47</v>
      </c>
    </row>
    <row r="248" spans="1:38" s="300" customFormat="1" ht="12" customHeight="1">
      <c r="A248" s="278" t="s">
        <v>1041</v>
      </c>
      <c r="B248" s="278" t="s">
        <v>120</v>
      </c>
      <c r="C248" s="278" t="s">
        <v>1043</v>
      </c>
      <c r="D248" s="260" t="str">
        <f t="shared" si="109"/>
        <v>K9119071</v>
      </c>
      <c r="E248" s="598">
        <v>219100</v>
      </c>
      <c r="F248" s="598">
        <v>219100</v>
      </c>
      <c r="G248" s="599" t="s">
        <v>1047</v>
      </c>
      <c r="H248" s="278" t="s">
        <v>33</v>
      </c>
      <c r="I248" s="281" t="s">
        <v>80</v>
      </c>
      <c r="J248" s="299" t="s">
        <v>131</v>
      </c>
      <c r="K248" s="301">
        <v>43725</v>
      </c>
      <c r="L248" s="334">
        <v>120</v>
      </c>
      <c r="M248" s="284">
        <f t="shared" ca="1" si="112"/>
        <v>20</v>
      </c>
      <c r="N248" s="285">
        <v>9.2600000000000002E-2</v>
      </c>
      <c r="O248" s="324">
        <f ca="1">F248*N248/360*M248</f>
        <v>1127.1477777777777</v>
      </c>
      <c r="P248" s="286">
        <f ca="1">O248+F248</f>
        <v>220227.14777777778</v>
      </c>
      <c r="Q248" s="325"/>
      <c r="R248" s="288"/>
      <c r="S248" s="325" t="s">
        <v>1048</v>
      </c>
      <c r="T248" s="325" t="s">
        <v>1029</v>
      </c>
      <c r="U248" s="287" t="s">
        <v>202</v>
      </c>
      <c r="V248" s="301">
        <v>43720</v>
      </c>
      <c r="W248" s="284"/>
      <c r="X248" s="301"/>
      <c r="Y248" s="326">
        <v>208040</v>
      </c>
      <c r="Z248" s="531"/>
      <c r="AA248" s="293">
        <f t="shared" si="110"/>
        <v>208040</v>
      </c>
      <c r="AB248" s="278"/>
      <c r="AC248" s="284"/>
      <c r="AD248" s="301"/>
      <c r="AE248" s="537"/>
      <c r="AF248" s="278" t="s">
        <v>65</v>
      </c>
      <c r="AG248" s="294" t="s">
        <v>48</v>
      </c>
      <c r="AH248" s="478"/>
      <c r="AI248" s="378" t="s">
        <v>1084</v>
      </c>
      <c r="AJ248" s="600"/>
      <c r="AK248" s="278"/>
      <c r="AL248" s="588">
        <f t="shared" ca="1" si="111"/>
        <v>25</v>
      </c>
    </row>
    <row r="249" spans="1:38" s="300" customFormat="1" ht="12" customHeight="1">
      <c r="A249" s="278" t="s">
        <v>1041</v>
      </c>
      <c r="B249" s="278" t="s">
        <v>120</v>
      </c>
      <c r="C249" s="278" t="s">
        <v>1044</v>
      </c>
      <c r="D249" s="260" t="str">
        <f t="shared" si="109"/>
        <v>K9121378</v>
      </c>
      <c r="E249" s="598">
        <v>219100</v>
      </c>
      <c r="F249" s="598">
        <v>219100</v>
      </c>
      <c r="G249" s="599" t="s">
        <v>1047</v>
      </c>
      <c r="H249" s="278" t="s">
        <v>33</v>
      </c>
      <c r="I249" s="281" t="s">
        <v>32</v>
      </c>
      <c r="J249" s="299" t="s">
        <v>131</v>
      </c>
      <c r="K249" s="301">
        <v>43725</v>
      </c>
      <c r="L249" s="334">
        <v>120</v>
      </c>
      <c r="M249" s="284">
        <f t="shared" ref="M249:M264" ca="1" si="115">$A$1-K249</f>
        <v>20</v>
      </c>
      <c r="N249" s="285">
        <v>9.2600000000000002E-2</v>
      </c>
      <c r="O249" s="324">
        <f ca="1">F249*N249/360*M249</f>
        <v>1127.1477777777777</v>
      </c>
      <c r="P249" s="286">
        <f ca="1">O249+F249</f>
        <v>220227.14777777778</v>
      </c>
      <c r="Q249" s="325"/>
      <c r="R249" s="288"/>
      <c r="S249" s="325" t="s">
        <v>1049</v>
      </c>
      <c r="T249" s="325" t="s">
        <v>1029</v>
      </c>
      <c r="U249" s="287" t="s">
        <v>202</v>
      </c>
      <c r="V249" s="301">
        <v>43720</v>
      </c>
      <c r="W249" s="284"/>
      <c r="X249" s="301"/>
      <c r="Y249" s="326">
        <v>208040</v>
      </c>
      <c r="Z249" s="531"/>
      <c r="AA249" s="293">
        <f t="shared" si="110"/>
        <v>208040</v>
      </c>
      <c r="AB249" s="278"/>
      <c r="AC249" s="284"/>
      <c r="AD249" s="301"/>
      <c r="AE249" s="537"/>
      <c r="AF249" s="278" t="s">
        <v>65</v>
      </c>
      <c r="AG249" s="294" t="s">
        <v>48</v>
      </c>
      <c r="AH249" s="478"/>
      <c r="AI249" s="378" t="s">
        <v>1084</v>
      </c>
      <c r="AJ249" s="600"/>
      <c r="AK249" s="278"/>
      <c r="AL249" s="588">
        <f t="shared" ca="1" si="111"/>
        <v>25</v>
      </c>
    </row>
    <row r="250" spans="1:38" s="300" customFormat="1" ht="12" customHeight="1">
      <c r="A250" s="278" t="s">
        <v>1041</v>
      </c>
      <c r="B250" s="278" t="s">
        <v>120</v>
      </c>
      <c r="C250" s="278" t="s">
        <v>1045</v>
      </c>
      <c r="D250" s="260" t="str">
        <f t="shared" si="109"/>
        <v>K9121131</v>
      </c>
      <c r="E250" s="598">
        <v>219100</v>
      </c>
      <c r="F250" s="598">
        <v>219100</v>
      </c>
      <c r="G250" s="599" t="s">
        <v>1047</v>
      </c>
      <c r="H250" s="278" t="s">
        <v>33</v>
      </c>
      <c r="I250" s="281" t="s">
        <v>32</v>
      </c>
      <c r="J250" s="299" t="s">
        <v>131</v>
      </c>
      <c r="K250" s="301">
        <v>43725</v>
      </c>
      <c r="L250" s="334">
        <v>120</v>
      </c>
      <c r="M250" s="284">
        <f t="shared" ca="1" si="115"/>
        <v>20</v>
      </c>
      <c r="N250" s="285">
        <v>9.2600000000000002E-2</v>
      </c>
      <c r="O250" s="324">
        <f ca="1">F250*N250/360*M250</f>
        <v>1127.1477777777777</v>
      </c>
      <c r="P250" s="286">
        <f ca="1">O250+F250</f>
        <v>220227.14777777778</v>
      </c>
      <c r="Q250" s="325"/>
      <c r="R250" s="288"/>
      <c r="S250" s="325" t="s">
        <v>1050</v>
      </c>
      <c r="T250" s="325" t="s">
        <v>1029</v>
      </c>
      <c r="U250" s="287" t="s">
        <v>202</v>
      </c>
      <c r="V250" s="301">
        <v>43720</v>
      </c>
      <c r="W250" s="284"/>
      <c r="X250" s="301"/>
      <c r="Y250" s="326">
        <v>208040</v>
      </c>
      <c r="Z250" s="531"/>
      <c r="AA250" s="293">
        <f t="shared" si="110"/>
        <v>208040</v>
      </c>
      <c r="AB250" s="278"/>
      <c r="AC250" s="284"/>
      <c r="AD250" s="301"/>
      <c r="AE250" s="537"/>
      <c r="AF250" s="278" t="s">
        <v>65</v>
      </c>
      <c r="AG250" s="294" t="s">
        <v>48</v>
      </c>
      <c r="AH250" s="478"/>
      <c r="AI250" s="378" t="s">
        <v>1084</v>
      </c>
      <c r="AJ250" s="600"/>
      <c r="AK250" s="278"/>
      <c r="AL250" s="588">
        <f t="shared" ca="1" si="111"/>
        <v>25</v>
      </c>
    </row>
    <row r="251" spans="1:38" s="300" customFormat="1" ht="12" customHeight="1">
      <c r="A251" s="278" t="s">
        <v>1041</v>
      </c>
      <c r="B251" s="278" t="s">
        <v>120</v>
      </c>
      <c r="C251" s="278" t="s">
        <v>1046</v>
      </c>
      <c r="D251" s="260" t="str">
        <f t="shared" si="109"/>
        <v>K9121245</v>
      </c>
      <c r="E251" s="598">
        <v>219100</v>
      </c>
      <c r="F251" s="598">
        <v>219100</v>
      </c>
      <c r="G251" s="599" t="s">
        <v>1047</v>
      </c>
      <c r="H251" s="278" t="s">
        <v>33</v>
      </c>
      <c r="I251" s="281" t="s">
        <v>32</v>
      </c>
      <c r="J251" s="299" t="s">
        <v>131</v>
      </c>
      <c r="K251" s="301">
        <v>43725</v>
      </c>
      <c r="L251" s="334">
        <v>120</v>
      </c>
      <c r="M251" s="284">
        <f t="shared" ca="1" si="115"/>
        <v>20</v>
      </c>
      <c r="N251" s="285">
        <v>9.2600000000000002E-2</v>
      </c>
      <c r="O251" s="324">
        <f ca="1">F251*N251/360*M251</f>
        <v>1127.1477777777777</v>
      </c>
      <c r="P251" s="286">
        <f ca="1">O251+F251</f>
        <v>220227.14777777778</v>
      </c>
      <c r="Q251" s="325"/>
      <c r="R251" s="288"/>
      <c r="S251" s="325" t="s">
        <v>1051</v>
      </c>
      <c r="T251" s="325" t="s">
        <v>1029</v>
      </c>
      <c r="U251" s="287" t="s">
        <v>202</v>
      </c>
      <c r="V251" s="301">
        <v>43720</v>
      </c>
      <c r="W251" s="284"/>
      <c r="X251" s="301"/>
      <c r="Y251" s="326">
        <v>208040</v>
      </c>
      <c r="Z251" s="531"/>
      <c r="AA251" s="293">
        <f t="shared" si="110"/>
        <v>208040</v>
      </c>
      <c r="AB251" s="278"/>
      <c r="AC251" s="284"/>
      <c r="AD251" s="301"/>
      <c r="AE251" s="537"/>
      <c r="AF251" s="278" t="s">
        <v>65</v>
      </c>
      <c r="AG251" s="294" t="s">
        <v>48</v>
      </c>
      <c r="AH251" s="478"/>
      <c r="AI251" s="378" t="s">
        <v>1084</v>
      </c>
      <c r="AJ251" s="600"/>
      <c r="AK251" s="278"/>
      <c r="AL251" s="588">
        <f t="shared" ca="1" si="111"/>
        <v>25</v>
      </c>
    </row>
    <row r="252" spans="1:38" s="299" customFormat="1">
      <c r="A252" s="282" t="s">
        <v>381</v>
      </c>
      <c r="B252" s="299" t="s">
        <v>73</v>
      </c>
      <c r="C252" s="299" t="s">
        <v>383</v>
      </c>
      <c r="D252" s="260" t="str">
        <f>RIGHT(C252,8)</f>
        <v>KH003549</v>
      </c>
      <c r="E252" s="600">
        <v>234975.92</v>
      </c>
      <c r="F252" s="534">
        <v>234975.92</v>
      </c>
      <c r="G252" s="299" t="s">
        <v>41</v>
      </c>
      <c r="H252" s="278" t="s">
        <v>33</v>
      </c>
      <c r="I252" s="281" t="s">
        <v>80</v>
      </c>
      <c r="J252" s="299" t="s">
        <v>131</v>
      </c>
      <c r="K252" s="301">
        <v>43725</v>
      </c>
      <c r="L252" s="334">
        <v>120</v>
      </c>
      <c r="M252" s="284">
        <f t="shared" ca="1" si="115"/>
        <v>20</v>
      </c>
      <c r="N252" s="285">
        <v>9.2600000000000002E-2</v>
      </c>
      <c r="O252" s="324">
        <f ca="1">F252*N252/360*M252</f>
        <v>1208.8205662222222</v>
      </c>
      <c r="P252" s="286">
        <f ca="1">O252+F252</f>
        <v>236184.74056622223</v>
      </c>
      <c r="Q252" s="287"/>
      <c r="R252" s="288"/>
      <c r="S252" s="386"/>
      <c r="T252" s="533"/>
      <c r="U252" s="299" t="s">
        <v>52</v>
      </c>
      <c r="V252" s="282"/>
      <c r="W252" s="357"/>
      <c r="X252" s="282"/>
      <c r="Y252" s="534"/>
      <c r="Z252" s="535"/>
      <c r="AA252" s="293">
        <f t="shared" si="110"/>
        <v>0</v>
      </c>
      <c r="AC252" s="357"/>
      <c r="AD252" s="282"/>
      <c r="AE252" s="537"/>
      <c r="AG252" s="294" t="s">
        <v>48</v>
      </c>
      <c r="AH252" s="478"/>
      <c r="AI252" s="378" t="s">
        <v>1084</v>
      </c>
      <c r="AJ252" s="534"/>
      <c r="AL252" s="588">
        <f t="shared" ca="1" si="111"/>
        <v>190</v>
      </c>
    </row>
    <row r="253" spans="1:38" s="300" customFormat="1" ht="12" customHeight="1">
      <c r="A253" s="287" t="s">
        <v>916</v>
      </c>
      <c r="B253" s="278" t="s">
        <v>288</v>
      </c>
      <c r="C253" s="278" t="s">
        <v>917</v>
      </c>
      <c r="D253" s="260" t="str">
        <f t="shared" ref="D253:D280" si="116">+RIGHT(C253,8)</f>
        <v>LY358302</v>
      </c>
      <c r="E253" s="321">
        <v>295580.76</v>
      </c>
      <c r="F253" s="321">
        <v>295580.76</v>
      </c>
      <c r="G253" s="280" t="s">
        <v>158</v>
      </c>
      <c r="H253" s="278" t="s">
        <v>33</v>
      </c>
      <c r="I253" s="281" t="s">
        <v>80</v>
      </c>
      <c r="J253" s="299" t="s">
        <v>131</v>
      </c>
      <c r="K253" s="282">
        <v>43731</v>
      </c>
      <c r="L253" s="334">
        <v>120</v>
      </c>
      <c r="M253" s="284">
        <f t="shared" ca="1" si="115"/>
        <v>14</v>
      </c>
      <c r="N253" s="285">
        <v>9.1899999999999996E-2</v>
      </c>
      <c r="O253" s="324">
        <f t="shared" ref="O253:O264" ca="1" si="117">F253*N253/360*M253</f>
        <v>1056.3727939333332</v>
      </c>
      <c r="P253" s="286">
        <f t="shared" ref="P253:P264" ca="1" si="118">O253+F253</f>
        <v>296637.13279393333</v>
      </c>
      <c r="Q253" s="287"/>
      <c r="R253" s="288"/>
      <c r="S253" s="287"/>
      <c r="T253" s="287"/>
      <c r="U253" s="287" t="s">
        <v>52</v>
      </c>
      <c r="V253" s="502"/>
      <c r="W253" s="290"/>
      <c r="X253" s="290"/>
      <c r="Y253" s="326"/>
      <c r="Z253" s="292"/>
      <c r="AA253" s="293">
        <f t="shared" si="110"/>
        <v>0</v>
      </c>
      <c r="AB253" s="294"/>
      <c r="AC253" s="294"/>
      <c r="AD253" s="295"/>
      <c r="AE253" s="296"/>
      <c r="AF253" s="287"/>
      <c r="AG253" s="294" t="s">
        <v>48</v>
      </c>
      <c r="AH253" s="478"/>
      <c r="AI253" s="378" t="s">
        <v>221</v>
      </c>
      <c r="AJ253" s="278"/>
      <c r="AK253" s="328"/>
      <c r="AL253" s="588">
        <f t="shared" ref="AL253:AL264" ca="1" si="119">+$A$1-A253</f>
        <v>40</v>
      </c>
    </row>
    <row r="254" spans="1:38" s="300" customFormat="1" ht="12" customHeight="1">
      <c r="A254" s="287" t="s">
        <v>920</v>
      </c>
      <c r="B254" s="278" t="s">
        <v>71</v>
      </c>
      <c r="C254" s="278" t="s">
        <v>926</v>
      </c>
      <c r="D254" s="260" t="str">
        <f t="shared" si="116"/>
        <v>KH008721</v>
      </c>
      <c r="E254" s="321">
        <v>194174.72</v>
      </c>
      <c r="F254" s="321">
        <v>194174.72</v>
      </c>
      <c r="G254" s="280" t="s">
        <v>158</v>
      </c>
      <c r="H254" s="278" t="s">
        <v>33</v>
      </c>
      <c r="I254" s="281" t="s">
        <v>44</v>
      </c>
      <c r="J254" s="299" t="s">
        <v>131</v>
      </c>
      <c r="K254" s="282">
        <v>43731</v>
      </c>
      <c r="L254" s="334">
        <v>120</v>
      </c>
      <c r="M254" s="284">
        <f t="shared" ca="1" si="115"/>
        <v>14</v>
      </c>
      <c r="N254" s="285">
        <v>9.1899999999999996E-2</v>
      </c>
      <c r="O254" s="324">
        <f t="shared" ca="1" si="117"/>
        <v>693.95887431111112</v>
      </c>
      <c r="P254" s="286">
        <f t="shared" ca="1" si="118"/>
        <v>194868.67887431112</v>
      </c>
      <c r="Q254" s="287"/>
      <c r="R254" s="288"/>
      <c r="S254" s="287"/>
      <c r="T254" s="287"/>
      <c r="U254" s="287" t="s">
        <v>52</v>
      </c>
      <c r="V254" s="502"/>
      <c r="W254" s="290"/>
      <c r="X254" s="290"/>
      <c r="Y254" s="326"/>
      <c r="Z254" s="292"/>
      <c r="AA254" s="293">
        <f t="shared" si="110"/>
        <v>0</v>
      </c>
      <c r="AB254" s="294"/>
      <c r="AC254" s="294"/>
      <c r="AD254" s="295"/>
      <c r="AE254" s="296"/>
      <c r="AF254" s="287"/>
      <c r="AG254" s="294" t="s">
        <v>48</v>
      </c>
      <c r="AH254" s="478"/>
      <c r="AI254" s="378" t="s">
        <v>221</v>
      </c>
      <c r="AJ254" s="278"/>
      <c r="AK254" s="328"/>
      <c r="AL254" s="588">
        <f t="shared" ca="1" si="119"/>
        <v>39</v>
      </c>
    </row>
    <row r="255" spans="1:38" s="300" customFormat="1" ht="12" customHeight="1">
      <c r="A255" s="287" t="s">
        <v>920</v>
      </c>
      <c r="B255" s="278" t="s">
        <v>71</v>
      </c>
      <c r="C255" s="278" t="s">
        <v>927</v>
      </c>
      <c r="D255" s="260" t="str">
        <f t="shared" si="116"/>
        <v>KH008724</v>
      </c>
      <c r="E255" s="321">
        <v>194174.72</v>
      </c>
      <c r="F255" s="321">
        <v>194174.72</v>
      </c>
      <c r="G255" s="280" t="s">
        <v>158</v>
      </c>
      <c r="H255" s="278" t="s">
        <v>33</v>
      </c>
      <c r="I255" s="281" t="s">
        <v>80</v>
      </c>
      <c r="J255" s="299" t="s">
        <v>131</v>
      </c>
      <c r="K255" s="282">
        <v>43731</v>
      </c>
      <c r="L255" s="334">
        <v>120</v>
      </c>
      <c r="M255" s="284">
        <f t="shared" ca="1" si="115"/>
        <v>14</v>
      </c>
      <c r="N255" s="285">
        <v>9.1899999999999996E-2</v>
      </c>
      <c r="O255" s="324">
        <f t="shared" ca="1" si="117"/>
        <v>693.95887431111112</v>
      </c>
      <c r="P255" s="286">
        <f t="shared" ca="1" si="118"/>
        <v>194868.67887431112</v>
      </c>
      <c r="Q255" s="287"/>
      <c r="R255" s="288"/>
      <c r="S255" s="287"/>
      <c r="T255" s="287"/>
      <c r="U255" s="287" t="s">
        <v>52</v>
      </c>
      <c r="V255" s="502"/>
      <c r="W255" s="290"/>
      <c r="X255" s="290"/>
      <c r="Y255" s="326"/>
      <c r="Z255" s="292"/>
      <c r="AA255" s="293">
        <f t="shared" si="110"/>
        <v>0</v>
      </c>
      <c r="AB255" s="294"/>
      <c r="AC255" s="294"/>
      <c r="AD255" s="295"/>
      <c r="AE255" s="296"/>
      <c r="AF255" s="287"/>
      <c r="AG255" s="294" t="s">
        <v>48</v>
      </c>
      <c r="AH255" s="478"/>
      <c r="AI255" s="378" t="s">
        <v>221</v>
      </c>
      <c r="AJ255" s="278"/>
      <c r="AK255" s="328"/>
      <c r="AL255" s="588">
        <f t="shared" ca="1" si="119"/>
        <v>39</v>
      </c>
    </row>
    <row r="256" spans="1:38" s="300" customFormat="1" ht="12" customHeight="1">
      <c r="A256" s="287" t="s">
        <v>920</v>
      </c>
      <c r="B256" s="278" t="s">
        <v>71</v>
      </c>
      <c r="C256" s="278" t="s">
        <v>928</v>
      </c>
      <c r="D256" s="260" t="str">
        <f t="shared" si="116"/>
        <v>KH009462</v>
      </c>
      <c r="E256" s="321">
        <v>194174.72</v>
      </c>
      <c r="F256" s="321">
        <v>194174.72</v>
      </c>
      <c r="G256" s="280" t="s">
        <v>158</v>
      </c>
      <c r="H256" s="278" t="s">
        <v>33</v>
      </c>
      <c r="I256" s="281" t="s">
        <v>80</v>
      </c>
      <c r="J256" s="299" t="s">
        <v>131</v>
      </c>
      <c r="K256" s="282">
        <v>43731</v>
      </c>
      <c r="L256" s="334">
        <v>120</v>
      </c>
      <c r="M256" s="284">
        <f t="shared" ca="1" si="115"/>
        <v>14</v>
      </c>
      <c r="N256" s="285">
        <v>9.1899999999999996E-2</v>
      </c>
      <c r="O256" s="324">
        <f t="shared" ca="1" si="117"/>
        <v>693.95887431111112</v>
      </c>
      <c r="P256" s="286">
        <f t="shared" ca="1" si="118"/>
        <v>194868.67887431112</v>
      </c>
      <c r="Q256" s="287"/>
      <c r="R256" s="288"/>
      <c r="S256" s="287"/>
      <c r="T256" s="287"/>
      <c r="U256" s="287" t="s">
        <v>52</v>
      </c>
      <c r="V256" s="502"/>
      <c r="W256" s="290"/>
      <c r="X256" s="290"/>
      <c r="Y256" s="326"/>
      <c r="Z256" s="292"/>
      <c r="AA256" s="293">
        <f t="shared" si="110"/>
        <v>0</v>
      </c>
      <c r="AB256" s="294"/>
      <c r="AC256" s="294"/>
      <c r="AD256" s="295"/>
      <c r="AE256" s="296"/>
      <c r="AF256" s="287"/>
      <c r="AG256" s="294" t="s">
        <v>48</v>
      </c>
      <c r="AH256" s="478"/>
      <c r="AI256" s="378" t="s">
        <v>221</v>
      </c>
      <c r="AJ256" s="278"/>
      <c r="AK256" s="328"/>
      <c r="AL256" s="588">
        <f t="shared" ca="1" si="119"/>
        <v>39</v>
      </c>
    </row>
    <row r="257" spans="1:38" s="300" customFormat="1" ht="12" customHeight="1">
      <c r="A257" s="287" t="s">
        <v>920</v>
      </c>
      <c r="B257" s="278" t="s">
        <v>363</v>
      </c>
      <c r="C257" s="278" t="s">
        <v>929</v>
      </c>
      <c r="D257" s="260" t="str">
        <f t="shared" si="116"/>
        <v>LK268176</v>
      </c>
      <c r="E257" s="321">
        <v>433637</v>
      </c>
      <c r="F257" s="321">
        <v>433637</v>
      </c>
      <c r="G257" s="280" t="s">
        <v>158</v>
      </c>
      <c r="H257" s="278" t="s">
        <v>33</v>
      </c>
      <c r="I257" s="281"/>
      <c r="J257" s="299" t="s">
        <v>131</v>
      </c>
      <c r="K257" s="282">
        <v>43731</v>
      </c>
      <c r="L257" s="334">
        <v>120</v>
      </c>
      <c r="M257" s="284">
        <f t="shared" ca="1" si="115"/>
        <v>14</v>
      </c>
      <c r="N257" s="285">
        <v>9.1899999999999996E-2</v>
      </c>
      <c r="O257" s="324">
        <f t="shared" ca="1" si="117"/>
        <v>1549.7704561111109</v>
      </c>
      <c r="P257" s="286">
        <f t="shared" ca="1" si="118"/>
        <v>435186.77045611112</v>
      </c>
      <c r="Q257" s="287"/>
      <c r="R257" s="288"/>
      <c r="S257" s="287"/>
      <c r="T257" s="287"/>
      <c r="U257" s="287" t="s">
        <v>52</v>
      </c>
      <c r="V257" s="502"/>
      <c r="W257" s="290"/>
      <c r="X257" s="290"/>
      <c r="Y257" s="326"/>
      <c r="Z257" s="292"/>
      <c r="AA257" s="293">
        <f t="shared" si="110"/>
        <v>0</v>
      </c>
      <c r="AB257" s="294"/>
      <c r="AC257" s="294"/>
      <c r="AD257" s="295"/>
      <c r="AE257" s="296"/>
      <c r="AF257" s="287"/>
      <c r="AG257" s="294" t="s">
        <v>48</v>
      </c>
      <c r="AH257" s="478"/>
      <c r="AI257" s="378" t="s">
        <v>221</v>
      </c>
      <c r="AJ257" s="278"/>
      <c r="AK257" s="328"/>
      <c r="AL257" s="588">
        <f t="shared" ca="1" si="119"/>
        <v>39</v>
      </c>
    </row>
    <row r="258" spans="1:38" s="300" customFormat="1" ht="12" customHeight="1">
      <c r="A258" s="287" t="s">
        <v>920</v>
      </c>
      <c r="B258" s="278" t="s">
        <v>363</v>
      </c>
      <c r="C258" s="278" t="s">
        <v>930</v>
      </c>
      <c r="D258" s="260" t="str">
        <f t="shared" si="116"/>
        <v>LK268222</v>
      </c>
      <c r="E258" s="321">
        <v>433637</v>
      </c>
      <c r="F258" s="321">
        <v>433637</v>
      </c>
      <c r="G258" s="280" t="s">
        <v>158</v>
      </c>
      <c r="H258" s="278" t="s">
        <v>33</v>
      </c>
      <c r="I258" s="281"/>
      <c r="J258" s="299" t="s">
        <v>131</v>
      </c>
      <c r="K258" s="282">
        <v>43731</v>
      </c>
      <c r="L258" s="334">
        <v>120</v>
      </c>
      <c r="M258" s="284">
        <f t="shared" ca="1" si="115"/>
        <v>14</v>
      </c>
      <c r="N258" s="285">
        <v>9.1899999999999996E-2</v>
      </c>
      <c r="O258" s="324">
        <f t="shared" ca="1" si="117"/>
        <v>1549.7704561111109</v>
      </c>
      <c r="P258" s="286">
        <f t="shared" ca="1" si="118"/>
        <v>435186.77045611112</v>
      </c>
      <c r="Q258" s="287"/>
      <c r="R258" s="288"/>
      <c r="S258" s="287"/>
      <c r="T258" s="287"/>
      <c r="U258" s="287" t="s">
        <v>52</v>
      </c>
      <c r="V258" s="502"/>
      <c r="W258" s="290"/>
      <c r="X258" s="290"/>
      <c r="Y258" s="326"/>
      <c r="Z258" s="292"/>
      <c r="AA258" s="293">
        <f t="shared" si="110"/>
        <v>0</v>
      </c>
      <c r="AB258" s="294"/>
      <c r="AC258" s="294"/>
      <c r="AD258" s="295"/>
      <c r="AE258" s="296"/>
      <c r="AF258" s="287"/>
      <c r="AG258" s="294" t="s">
        <v>48</v>
      </c>
      <c r="AH258" s="478"/>
      <c r="AI258" s="378" t="s">
        <v>221</v>
      </c>
      <c r="AJ258" s="278"/>
      <c r="AK258" s="328"/>
      <c r="AL258" s="588">
        <f t="shared" ca="1" si="119"/>
        <v>39</v>
      </c>
    </row>
    <row r="259" spans="1:38" s="300" customFormat="1" ht="12" customHeight="1">
      <c r="A259" s="287" t="s">
        <v>920</v>
      </c>
      <c r="B259" s="278" t="s">
        <v>363</v>
      </c>
      <c r="C259" s="278" t="s">
        <v>931</v>
      </c>
      <c r="D259" s="260" t="str">
        <f t="shared" si="116"/>
        <v>LK268236</v>
      </c>
      <c r="E259" s="321">
        <v>433637</v>
      </c>
      <c r="F259" s="321">
        <v>433637</v>
      </c>
      <c r="G259" s="280" t="s">
        <v>158</v>
      </c>
      <c r="H259" s="278" t="s">
        <v>33</v>
      </c>
      <c r="I259" s="281" t="s">
        <v>55</v>
      </c>
      <c r="J259" s="299" t="s">
        <v>131</v>
      </c>
      <c r="K259" s="282">
        <v>43731</v>
      </c>
      <c r="L259" s="334">
        <v>120</v>
      </c>
      <c r="M259" s="284">
        <f t="shared" ca="1" si="115"/>
        <v>14</v>
      </c>
      <c r="N259" s="285">
        <v>9.1899999999999996E-2</v>
      </c>
      <c r="O259" s="324">
        <f t="shared" ca="1" si="117"/>
        <v>1549.7704561111109</v>
      </c>
      <c r="P259" s="286">
        <f t="shared" ca="1" si="118"/>
        <v>435186.77045611112</v>
      </c>
      <c r="Q259" s="287"/>
      <c r="R259" s="288"/>
      <c r="S259" s="287" t="s">
        <v>1464</v>
      </c>
      <c r="T259" s="287" t="s">
        <v>196</v>
      </c>
      <c r="U259" s="287" t="s">
        <v>34</v>
      </c>
      <c r="V259" s="502" t="s">
        <v>1463</v>
      </c>
      <c r="W259" s="290"/>
      <c r="X259" s="290"/>
      <c r="Y259" s="326">
        <v>438412.26</v>
      </c>
      <c r="Z259" s="326">
        <v>438412.26</v>
      </c>
      <c r="AA259" s="293">
        <f t="shared" si="110"/>
        <v>0</v>
      </c>
      <c r="AB259" s="294" t="s">
        <v>197</v>
      </c>
      <c r="AC259" s="294" t="s">
        <v>1480</v>
      </c>
      <c r="AD259" s="295">
        <v>43741</v>
      </c>
      <c r="AE259" s="296"/>
      <c r="AF259" s="287" t="s">
        <v>261</v>
      </c>
      <c r="AG259" s="294" t="s">
        <v>82</v>
      </c>
      <c r="AH259" s="478"/>
      <c r="AI259" s="378" t="s">
        <v>221</v>
      </c>
      <c r="AJ259" s="278"/>
      <c r="AK259" s="328"/>
      <c r="AL259" s="588">
        <f t="shared" ca="1" si="119"/>
        <v>39</v>
      </c>
    </row>
    <row r="260" spans="1:38" s="300" customFormat="1" ht="12" customHeight="1">
      <c r="A260" s="287" t="s">
        <v>920</v>
      </c>
      <c r="B260" s="278" t="s">
        <v>169</v>
      </c>
      <c r="C260" s="278" t="s">
        <v>932</v>
      </c>
      <c r="D260" s="260" t="str">
        <f t="shared" si="116"/>
        <v>LT110449</v>
      </c>
      <c r="E260" s="321">
        <v>542470.52</v>
      </c>
      <c r="F260" s="321">
        <v>542470.52</v>
      </c>
      <c r="G260" s="280" t="s">
        <v>158</v>
      </c>
      <c r="H260" s="278" t="s">
        <v>33</v>
      </c>
      <c r="I260" s="281" t="s">
        <v>80</v>
      </c>
      <c r="J260" s="299" t="s">
        <v>131</v>
      </c>
      <c r="K260" s="282">
        <v>43731</v>
      </c>
      <c r="L260" s="334">
        <v>120</v>
      </c>
      <c r="M260" s="284">
        <f t="shared" ca="1" si="115"/>
        <v>14</v>
      </c>
      <c r="N260" s="285">
        <v>9.1899999999999996E-2</v>
      </c>
      <c r="O260" s="324">
        <f t="shared" ca="1" si="117"/>
        <v>1938.7293639777779</v>
      </c>
      <c r="P260" s="286">
        <f t="shared" ca="1" si="118"/>
        <v>544409.24936397781</v>
      </c>
      <c r="Q260" s="287"/>
      <c r="R260" s="288"/>
      <c r="S260" s="287"/>
      <c r="T260" s="287"/>
      <c r="U260" s="287" t="s">
        <v>52</v>
      </c>
      <c r="V260" s="502"/>
      <c r="W260" s="290"/>
      <c r="X260" s="290"/>
      <c r="Y260" s="326"/>
      <c r="Z260" s="292"/>
      <c r="AA260" s="293">
        <f t="shared" si="110"/>
        <v>0</v>
      </c>
      <c r="AB260" s="294"/>
      <c r="AC260" s="294"/>
      <c r="AD260" s="295"/>
      <c r="AE260" s="296"/>
      <c r="AF260" s="287"/>
      <c r="AG260" s="294" t="s">
        <v>48</v>
      </c>
      <c r="AH260" s="478"/>
      <c r="AI260" s="378" t="s">
        <v>221</v>
      </c>
      <c r="AJ260" s="278"/>
      <c r="AK260" s="328"/>
      <c r="AL260" s="588">
        <f t="shared" ca="1" si="119"/>
        <v>39</v>
      </c>
    </row>
    <row r="261" spans="1:38" s="300" customFormat="1" ht="12" customHeight="1">
      <c r="A261" s="287" t="s">
        <v>920</v>
      </c>
      <c r="B261" s="278" t="s">
        <v>74</v>
      </c>
      <c r="C261" s="278" t="s">
        <v>936</v>
      </c>
      <c r="D261" s="260" t="str">
        <f t="shared" si="116"/>
        <v>LH000451</v>
      </c>
      <c r="E261" s="321">
        <v>227621</v>
      </c>
      <c r="F261" s="321">
        <v>227621</v>
      </c>
      <c r="G261" s="280" t="s">
        <v>158</v>
      </c>
      <c r="H261" s="278" t="s">
        <v>33</v>
      </c>
      <c r="I261" s="281" t="s">
        <v>80</v>
      </c>
      <c r="J261" s="299" t="s">
        <v>131</v>
      </c>
      <c r="K261" s="282">
        <v>43731</v>
      </c>
      <c r="L261" s="334">
        <v>120</v>
      </c>
      <c r="M261" s="284">
        <f t="shared" ca="1" si="115"/>
        <v>14</v>
      </c>
      <c r="N261" s="285">
        <v>9.1899999999999996E-2</v>
      </c>
      <c r="O261" s="324">
        <f t="shared" ca="1" si="117"/>
        <v>813.49216277777759</v>
      </c>
      <c r="P261" s="286">
        <f t="shared" ca="1" si="118"/>
        <v>228434.49216277778</v>
      </c>
      <c r="Q261" s="287"/>
      <c r="R261" s="288"/>
      <c r="S261" s="287"/>
      <c r="T261" s="287"/>
      <c r="U261" s="287" t="s">
        <v>52</v>
      </c>
      <c r="V261" s="502"/>
      <c r="W261" s="290"/>
      <c r="X261" s="290"/>
      <c r="Y261" s="326"/>
      <c r="Z261" s="292"/>
      <c r="AA261" s="293">
        <f t="shared" si="110"/>
        <v>0</v>
      </c>
      <c r="AB261" s="294"/>
      <c r="AC261" s="294"/>
      <c r="AD261" s="295"/>
      <c r="AE261" s="296"/>
      <c r="AF261" s="287"/>
      <c r="AG261" s="294" t="s">
        <v>48</v>
      </c>
      <c r="AH261" s="478"/>
      <c r="AI261" s="378" t="s">
        <v>221</v>
      </c>
      <c r="AJ261" s="278"/>
      <c r="AK261" s="328"/>
      <c r="AL261" s="588">
        <f t="shared" ca="1" si="119"/>
        <v>39</v>
      </c>
    </row>
    <row r="262" spans="1:38" s="300" customFormat="1" ht="12" customHeight="1">
      <c r="A262" s="287" t="s">
        <v>920</v>
      </c>
      <c r="B262" s="278" t="s">
        <v>74</v>
      </c>
      <c r="C262" s="278" t="s">
        <v>937</v>
      </c>
      <c r="D262" s="260" t="str">
        <f t="shared" si="116"/>
        <v>LH000476</v>
      </c>
      <c r="E262" s="321">
        <v>227621</v>
      </c>
      <c r="F262" s="321">
        <v>227621</v>
      </c>
      <c r="G262" s="280" t="s">
        <v>158</v>
      </c>
      <c r="H262" s="278" t="s">
        <v>33</v>
      </c>
      <c r="I262" s="281" t="s">
        <v>44</v>
      </c>
      <c r="J262" s="299" t="s">
        <v>131</v>
      </c>
      <c r="K262" s="282">
        <v>43731</v>
      </c>
      <c r="L262" s="334">
        <v>120</v>
      </c>
      <c r="M262" s="284">
        <f t="shared" ca="1" si="115"/>
        <v>14</v>
      </c>
      <c r="N262" s="285">
        <v>9.1899999999999996E-2</v>
      </c>
      <c r="O262" s="324">
        <f t="shared" ca="1" si="117"/>
        <v>813.49216277777759</v>
      </c>
      <c r="P262" s="286">
        <f t="shared" ca="1" si="118"/>
        <v>228434.49216277778</v>
      </c>
      <c r="Q262" s="287"/>
      <c r="R262" s="288"/>
      <c r="S262" s="287"/>
      <c r="T262" s="287"/>
      <c r="U262" s="287" t="s">
        <v>52</v>
      </c>
      <c r="V262" s="502"/>
      <c r="W262" s="290"/>
      <c r="X262" s="290"/>
      <c r="Y262" s="326"/>
      <c r="Z262" s="292"/>
      <c r="AA262" s="293">
        <f t="shared" si="110"/>
        <v>0</v>
      </c>
      <c r="AB262" s="294"/>
      <c r="AC262" s="294"/>
      <c r="AD262" s="295"/>
      <c r="AE262" s="296"/>
      <c r="AF262" s="287"/>
      <c r="AG262" s="294" t="s">
        <v>48</v>
      </c>
      <c r="AH262" s="478"/>
      <c r="AI262" s="378" t="s">
        <v>221</v>
      </c>
      <c r="AJ262" s="278"/>
      <c r="AK262" s="328"/>
      <c r="AL262" s="588">
        <f t="shared" ca="1" si="119"/>
        <v>39</v>
      </c>
    </row>
    <row r="263" spans="1:38" s="300" customFormat="1" ht="12" customHeight="1">
      <c r="A263" s="287" t="s">
        <v>920</v>
      </c>
      <c r="B263" s="278" t="s">
        <v>74</v>
      </c>
      <c r="C263" s="278" t="s">
        <v>938</v>
      </c>
      <c r="D263" s="260" t="str">
        <f t="shared" si="116"/>
        <v>LH000568</v>
      </c>
      <c r="E263" s="321">
        <v>227621</v>
      </c>
      <c r="F263" s="321">
        <v>227621</v>
      </c>
      <c r="G263" s="280" t="s">
        <v>158</v>
      </c>
      <c r="H263" s="278" t="s">
        <v>33</v>
      </c>
      <c r="I263" s="281" t="s">
        <v>55</v>
      </c>
      <c r="J263" s="299" t="s">
        <v>131</v>
      </c>
      <c r="K263" s="282">
        <v>43731</v>
      </c>
      <c r="L263" s="334">
        <v>120</v>
      </c>
      <c r="M263" s="284">
        <f t="shared" ca="1" si="115"/>
        <v>14</v>
      </c>
      <c r="N263" s="285">
        <v>9.1899999999999996E-2</v>
      </c>
      <c r="O263" s="324">
        <f t="shared" ca="1" si="117"/>
        <v>813.49216277777759</v>
      </c>
      <c r="P263" s="286">
        <f t="shared" ca="1" si="118"/>
        <v>228434.49216277778</v>
      </c>
      <c r="Q263" s="287"/>
      <c r="R263" s="288"/>
      <c r="S263" s="287"/>
      <c r="T263" s="287"/>
      <c r="U263" s="287" t="s">
        <v>52</v>
      </c>
      <c r="V263" s="502"/>
      <c r="W263" s="290"/>
      <c r="X263" s="290"/>
      <c r="Y263" s="326"/>
      <c r="Z263" s="292"/>
      <c r="AA263" s="293">
        <f t="shared" si="110"/>
        <v>0</v>
      </c>
      <c r="AB263" s="294"/>
      <c r="AC263" s="294"/>
      <c r="AD263" s="295"/>
      <c r="AE263" s="296"/>
      <c r="AF263" s="287"/>
      <c r="AG263" s="294" t="s">
        <v>48</v>
      </c>
      <c r="AH263" s="478"/>
      <c r="AI263" s="378" t="s">
        <v>221</v>
      </c>
      <c r="AJ263" s="278"/>
      <c r="AK263" s="328"/>
      <c r="AL263" s="588">
        <f t="shared" ca="1" si="119"/>
        <v>39</v>
      </c>
    </row>
    <row r="264" spans="1:38" s="300" customFormat="1" ht="12" customHeight="1">
      <c r="A264" s="287" t="s">
        <v>920</v>
      </c>
      <c r="B264" s="278" t="s">
        <v>74</v>
      </c>
      <c r="C264" s="278" t="s">
        <v>939</v>
      </c>
      <c r="D264" s="260" t="str">
        <f t="shared" si="116"/>
        <v>LH000853</v>
      </c>
      <c r="E264" s="321">
        <v>227621</v>
      </c>
      <c r="F264" s="321">
        <v>227621</v>
      </c>
      <c r="G264" s="280" t="s">
        <v>158</v>
      </c>
      <c r="H264" s="278" t="s">
        <v>33</v>
      </c>
      <c r="I264" s="281" t="s">
        <v>44</v>
      </c>
      <c r="J264" s="299" t="s">
        <v>131</v>
      </c>
      <c r="K264" s="282">
        <v>43731</v>
      </c>
      <c r="L264" s="334">
        <v>120</v>
      </c>
      <c r="M264" s="284">
        <f t="shared" ca="1" si="115"/>
        <v>14</v>
      </c>
      <c r="N264" s="285">
        <v>9.1899999999999996E-2</v>
      </c>
      <c r="O264" s="324">
        <f t="shared" ca="1" si="117"/>
        <v>813.49216277777759</v>
      </c>
      <c r="P264" s="286">
        <f t="shared" ca="1" si="118"/>
        <v>228434.49216277778</v>
      </c>
      <c r="Q264" s="287"/>
      <c r="R264" s="288"/>
      <c r="S264" s="287"/>
      <c r="T264" s="287"/>
      <c r="U264" s="287" t="s">
        <v>52</v>
      </c>
      <c r="V264" s="502"/>
      <c r="W264" s="290"/>
      <c r="X264" s="290"/>
      <c r="Y264" s="326"/>
      <c r="Z264" s="292"/>
      <c r="AA264" s="293">
        <f t="shared" si="110"/>
        <v>0</v>
      </c>
      <c r="AB264" s="294"/>
      <c r="AC264" s="294"/>
      <c r="AD264" s="295"/>
      <c r="AE264" s="296"/>
      <c r="AF264" s="287"/>
      <c r="AG264" s="294" t="s">
        <v>48</v>
      </c>
      <c r="AH264" s="478"/>
      <c r="AI264" s="378" t="s">
        <v>221</v>
      </c>
      <c r="AJ264" s="278"/>
      <c r="AK264" s="328"/>
      <c r="AL264" s="588">
        <f t="shared" ca="1" si="119"/>
        <v>39</v>
      </c>
    </row>
    <row r="265" spans="1:38" s="300" customFormat="1" ht="12" customHeight="1">
      <c r="A265" s="287" t="s">
        <v>920</v>
      </c>
      <c r="B265" s="278" t="s">
        <v>120</v>
      </c>
      <c r="C265" s="278" t="s">
        <v>943</v>
      </c>
      <c r="D265" s="260" t="str">
        <f t="shared" si="116"/>
        <v>L9136723</v>
      </c>
      <c r="E265" s="321">
        <v>224478.56</v>
      </c>
      <c r="F265" s="321">
        <v>224478.56</v>
      </c>
      <c r="G265" s="280" t="s">
        <v>158</v>
      </c>
      <c r="H265" s="278" t="s">
        <v>33</v>
      </c>
      <c r="I265" s="281" t="s">
        <v>69</v>
      </c>
      <c r="J265" s="299" t="s">
        <v>131</v>
      </c>
      <c r="K265" s="282">
        <v>43733</v>
      </c>
      <c r="L265" s="334">
        <v>120</v>
      </c>
      <c r="M265" s="284">
        <f t="shared" ref="M265:M280" ca="1" si="120">$A$1-K265</f>
        <v>12</v>
      </c>
      <c r="N265" s="285">
        <v>9.1899999999999996E-2</v>
      </c>
      <c r="O265" s="324">
        <f t="shared" ref="O265:O280" ca="1" si="121">F265*N265/360*M265</f>
        <v>687.6526554666666</v>
      </c>
      <c r="P265" s="286">
        <f t="shared" ref="P265:P280" ca="1" si="122">O265+F265</f>
        <v>225166.21265546666</v>
      </c>
      <c r="Q265" s="287"/>
      <c r="R265" s="288"/>
      <c r="S265" s="287"/>
      <c r="T265" s="287"/>
      <c r="U265" s="287" t="s">
        <v>52</v>
      </c>
      <c r="V265" s="502"/>
      <c r="W265" s="290"/>
      <c r="X265" s="290"/>
      <c r="Y265" s="326"/>
      <c r="Z265" s="292"/>
      <c r="AA265" s="293">
        <f t="shared" si="110"/>
        <v>0</v>
      </c>
      <c r="AB265" s="294"/>
      <c r="AC265" s="294"/>
      <c r="AD265" s="295"/>
      <c r="AE265" s="296"/>
      <c r="AF265" s="287"/>
      <c r="AG265" s="294" t="s">
        <v>48</v>
      </c>
      <c r="AH265" s="478"/>
      <c r="AI265" s="378" t="s">
        <v>221</v>
      </c>
      <c r="AJ265" s="278"/>
      <c r="AK265" s="328"/>
      <c r="AL265" s="588">
        <f t="shared" ref="AL265:AL280" ca="1" si="123">+$A$1-A265</f>
        <v>39</v>
      </c>
    </row>
    <row r="266" spans="1:38" s="300" customFormat="1" ht="12" customHeight="1">
      <c r="A266" s="287" t="s">
        <v>920</v>
      </c>
      <c r="B266" s="278" t="s">
        <v>288</v>
      </c>
      <c r="C266" s="278" t="s">
        <v>944</v>
      </c>
      <c r="D266" s="260" t="str">
        <f t="shared" si="116"/>
        <v>LY348410</v>
      </c>
      <c r="E266" s="321">
        <v>295580.76</v>
      </c>
      <c r="F266" s="321">
        <v>295580.76</v>
      </c>
      <c r="G266" s="280" t="s">
        <v>158</v>
      </c>
      <c r="H266" s="278" t="s">
        <v>33</v>
      </c>
      <c r="I266" s="281" t="s">
        <v>55</v>
      </c>
      <c r="J266" s="299" t="s">
        <v>131</v>
      </c>
      <c r="K266" s="282">
        <v>43733</v>
      </c>
      <c r="L266" s="334">
        <v>120</v>
      </c>
      <c r="M266" s="284">
        <f t="shared" ca="1" si="120"/>
        <v>12</v>
      </c>
      <c r="N266" s="285">
        <v>9.1899999999999996E-2</v>
      </c>
      <c r="O266" s="324">
        <f t="shared" ca="1" si="121"/>
        <v>905.46239479999997</v>
      </c>
      <c r="P266" s="286">
        <f t="shared" ca="1" si="122"/>
        <v>296486.22239479999</v>
      </c>
      <c r="Q266" s="287"/>
      <c r="R266" s="288"/>
      <c r="S266" s="287"/>
      <c r="T266" s="287"/>
      <c r="U266" s="287" t="s">
        <v>52</v>
      </c>
      <c r="V266" s="502"/>
      <c r="W266" s="290"/>
      <c r="X266" s="290"/>
      <c r="Y266" s="326"/>
      <c r="Z266" s="292"/>
      <c r="AA266" s="293">
        <f t="shared" si="110"/>
        <v>0</v>
      </c>
      <c r="AB266" s="294"/>
      <c r="AC266" s="294"/>
      <c r="AD266" s="295"/>
      <c r="AE266" s="296"/>
      <c r="AF266" s="287"/>
      <c r="AG266" s="294" t="s">
        <v>48</v>
      </c>
      <c r="AH266" s="478"/>
      <c r="AI266" s="378" t="s">
        <v>221</v>
      </c>
      <c r="AJ266" s="278"/>
      <c r="AK266" s="328"/>
      <c r="AL266" s="588">
        <f t="shared" ca="1" si="123"/>
        <v>39</v>
      </c>
    </row>
    <row r="267" spans="1:38" s="300" customFormat="1" ht="12" customHeight="1">
      <c r="A267" s="287" t="s">
        <v>920</v>
      </c>
      <c r="B267" s="278" t="s">
        <v>288</v>
      </c>
      <c r="C267" s="278" t="s">
        <v>945</v>
      </c>
      <c r="D267" s="260" t="str">
        <f t="shared" si="116"/>
        <v>LY348505</v>
      </c>
      <c r="E267" s="321">
        <v>295580.76</v>
      </c>
      <c r="F267" s="321">
        <v>295580.76</v>
      </c>
      <c r="G267" s="280" t="s">
        <v>158</v>
      </c>
      <c r="H267" s="278" t="s">
        <v>33</v>
      </c>
      <c r="I267" s="281" t="s">
        <v>80</v>
      </c>
      <c r="J267" s="299" t="s">
        <v>131</v>
      </c>
      <c r="K267" s="282">
        <v>43733</v>
      </c>
      <c r="L267" s="334">
        <v>120</v>
      </c>
      <c r="M267" s="284">
        <f t="shared" ca="1" si="120"/>
        <v>12</v>
      </c>
      <c r="N267" s="285">
        <v>9.1899999999999996E-2</v>
      </c>
      <c r="O267" s="324">
        <f t="shared" ca="1" si="121"/>
        <v>905.46239479999997</v>
      </c>
      <c r="P267" s="286">
        <f t="shared" ca="1" si="122"/>
        <v>296486.22239479999</v>
      </c>
      <c r="Q267" s="287"/>
      <c r="R267" s="288"/>
      <c r="S267" s="287"/>
      <c r="T267" s="287"/>
      <c r="U267" s="287" t="s">
        <v>52</v>
      </c>
      <c r="V267" s="502"/>
      <c r="W267" s="290"/>
      <c r="X267" s="290"/>
      <c r="Y267" s="326"/>
      <c r="Z267" s="292"/>
      <c r="AA267" s="293">
        <f t="shared" si="110"/>
        <v>0</v>
      </c>
      <c r="AB267" s="294"/>
      <c r="AC267" s="294"/>
      <c r="AD267" s="295"/>
      <c r="AE267" s="296"/>
      <c r="AF267" s="287"/>
      <c r="AG267" s="294" t="s">
        <v>48</v>
      </c>
      <c r="AH267" s="478"/>
      <c r="AI267" s="378" t="s">
        <v>221</v>
      </c>
      <c r="AJ267" s="278"/>
      <c r="AK267" s="328"/>
      <c r="AL267" s="588">
        <f t="shared" ca="1" si="123"/>
        <v>39</v>
      </c>
    </row>
    <row r="268" spans="1:38" s="300" customFormat="1" ht="12" customHeight="1">
      <c r="A268" s="287" t="s">
        <v>920</v>
      </c>
      <c r="B268" s="278" t="s">
        <v>288</v>
      </c>
      <c r="C268" s="278" t="s">
        <v>946</v>
      </c>
      <c r="D268" s="260" t="str">
        <f t="shared" si="116"/>
        <v>LY354210</v>
      </c>
      <c r="E268" s="321">
        <v>295580.76</v>
      </c>
      <c r="F268" s="321">
        <v>295580.76</v>
      </c>
      <c r="G268" s="280" t="s">
        <v>158</v>
      </c>
      <c r="H268" s="278" t="s">
        <v>33</v>
      </c>
      <c r="I268" s="281" t="s">
        <v>80</v>
      </c>
      <c r="J268" s="299" t="s">
        <v>131</v>
      </c>
      <c r="K268" s="282">
        <v>43733</v>
      </c>
      <c r="L268" s="334">
        <v>120</v>
      </c>
      <c r="M268" s="284">
        <f t="shared" ca="1" si="120"/>
        <v>12</v>
      </c>
      <c r="N268" s="285">
        <v>9.1899999999999996E-2</v>
      </c>
      <c r="O268" s="324">
        <f t="shared" ca="1" si="121"/>
        <v>905.46239479999997</v>
      </c>
      <c r="P268" s="286">
        <f t="shared" ca="1" si="122"/>
        <v>296486.22239479999</v>
      </c>
      <c r="Q268" s="287"/>
      <c r="R268" s="288"/>
      <c r="S268" s="287" t="s">
        <v>1323</v>
      </c>
      <c r="T268" s="287" t="s">
        <v>1324</v>
      </c>
      <c r="U268" s="287" t="s">
        <v>1361</v>
      </c>
      <c r="V268" s="502">
        <v>43738</v>
      </c>
      <c r="W268" s="290"/>
      <c r="X268" s="290"/>
      <c r="Y268" s="326">
        <v>295315</v>
      </c>
      <c r="Z268" s="292">
        <f>10000+50000+2713.36</f>
        <v>62713.36</v>
      </c>
      <c r="AA268" s="293">
        <f t="shared" ref="AA268:AA280" si="124">+Y268-Z268</f>
        <v>232601.64</v>
      </c>
      <c r="AB268" s="294" t="s">
        <v>203</v>
      </c>
      <c r="AC268" s="294" t="s">
        <v>1481</v>
      </c>
      <c r="AD268" s="295" t="s">
        <v>1478</v>
      </c>
      <c r="AE268" s="296"/>
      <c r="AF268" s="287" t="s">
        <v>226</v>
      </c>
      <c r="AG268" s="294" t="s">
        <v>82</v>
      </c>
      <c r="AH268" s="478"/>
      <c r="AI268" s="378" t="s">
        <v>221</v>
      </c>
      <c r="AJ268" s="278"/>
      <c r="AK268" s="328"/>
      <c r="AL268" s="588">
        <f t="shared" ca="1" si="123"/>
        <v>39</v>
      </c>
    </row>
    <row r="269" spans="1:38" s="300" customFormat="1" ht="12" customHeight="1">
      <c r="A269" s="287" t="s">
        <v>920</v>
      </c>
      <c r="B269" s="278" t="s">
        <v>288</v>
      </c>
      <c r="C269" s="278" t="s">
        <v>947</v>
      </c>
      <c r="D269" s="260" t="str">
        <f t="shared" si="116"/>
        <v>LY354331</v>
      </c>
      <c r="E269" s="321">
        <v>295580.76</v>
      </c>
      <c r="F269" s="321">
        <v>295580.76</v>
      </c>
      <c r="G269" s="280" t="s">
        <v>158</v>
      </c>
      <c r="H269" s="278" t="s">
        <v>33</v>
      </c>
      <c r="I269" s="281" t="s">
        <v>44</v>
      </c>
      <c r="J269" s="299" t="s">
        <v>131</v>
      </c>
      <c r="K269" s="282">
        <v>43733</v>
      </c>
      <c r="L269" s="334">
        <v>120</v>
      </c>
      <c r="M269" s="284">
        <f t="shared" ca="1" si="120"/>
        <v>12</v>
      </c>
      <c r="N269" s="285">
        <v>9.1899999999999996E-2</v>
      </c>
      <c r="O269" s="324">
        <f t="shared" ca="1" si="121"/>
        <v>905.46239479999997</v>
      </c>
      <c r="P269" s="286">
        <f t="shared" ca="1" si="122"/>
        <v>296486.22239479999</v>
      </c>
      <c r="Q269" s="287"/>
      <c r="R269" s="288"/>
      <c r="S269" s="287"/>
      <c r="T269" s="287"/>
      <c r="U269" s="287" t="s">
        <v>52</v>
      </c>
      <c r="V269" s="502"/>
      <c r="W269" s="290"/>
      <c r="X269" s="290"/>
      <c r="Y269" s="326"/>
      <c r="Z269" s="292"/>
      <c r="AA269" s="293">
        <f t="shared" si="124"/>
        <v>0</v>
      </c>
      <c r="AB269" s="294"/>
      <c r="AC269" s="294"/>
      <c r="AD269" s="295"/>
      <c r="AE269" s="296"/>
      <c r="AF269" s="287"/>
      <c r="AG269" s="294" t="s">
        <v>48</v>
      </c>
      <c r="AH269" s="478"/>
      <c r="AI269" s="378" t="s">
        <v>221</v>
      </c>
      <c r="AJ269" s="278"/>
      <c r="AK269" s="328"/>
      <c r="AL269" s="588">
        <f t="shared" ca="1" si="123"/>
        <v>39</v>
      </c>
    </row>
    <row r="270" spans="1:38" s="300" customFormat="1" ht="12" customHeight="1">
      <c r="A270" s="287" t="s">
        <v>920</v>
      </c>
      <c r="B270" s="278" t="s">
        <v>288</v>
      </c>
      <c r="C270" s="278" t="s">
        <v>948</v>
      </c>
      <c r="D270" s="260" t="str">
        <f t="shared" si="116"/>
        <v>LY354998</v>
      </c>
      <c r="E270" s="321">
        <v>295580.76</v>
      </c>
      <c r="F270" s="321">
        <v>295580.76</v>
      </c>
      <c r="G270" s="280" t="s">
        <v>158</v>
      </c>
      <c r="H270" s="278" t="s">
        <v>33</v>
      </c>
      <c r="I270" s="281" t="s">
        <v>80</v>
      </c>
      <c r="J270" s="299" t="s">
        <v>131</v>
      </c>
      <c r="K270" s="282">
        <v>43733</v>
      </c>
      <c r="L270" s="334">
        <v>120</v>
      </c>
      <c r="M270" s="284">
        <f t="shared" ca="1" si="120"/>
        <v>12</v>
      </c>
      <c r="N270" s="285">
        <v>9.1899999999999996E-2</v>
      </c>
      <c r="O270" s="324">
        <f t="shared" ca="1" si="121"/>
        <v>905.46239479999997</v>
      </c>
      <c r="P270" s="286">
        <f t="shared" ca="1" si="122"/>
        <v>296486.22239479999</v>
      </c>
      <c r="Q270" s="287"/>
      <c r="R270" s="288"/>
      <c r="S270" s="287" t="s">
        <v>1317</v>
      </c>
      <c r="T270" s="287" t="s">
        <v>1318</v>
      </c>
      <c r="U270" s="287" t="s">
        <v>37</v>
      </c>
      <c r="V270" s="502">
        <v>43738</v>
      </c>
      <c r="W270" s="290"/>
      <c r="X270" s="290"/>
      <c r="Y270" s="326">
        <v>333900</v>
      </c>
      <c r="Z270" s="292">
        <v>5000</v>
      </c>
      <c r="AA270" s="293">
        <f t="shared" si="124"/>
        <v>328900</v>
      </c>
      <c r="AB270" s="294" t="s">
        <v>123</v>
      </c>
      <c r="AC270" s="294" t="s">
        <v>1363</v>
      </c>
      <c r="AD270" s="295">
        <v>43738</v>
      </c>
      <c r="AE270" s="296"/>
      <c r="AF270" s="287" t="s">
        <v>188</v>
      </c>
      <c r="AG270" s="294" t="s">
        <v>48</v>
      </c>
      <c r="AH270" s="478"/>
      <c r="AI270" s="378" t="s">
        <v>221</v>
      </c>
      <c r="AJ270" s="278"/>
      <c r="AK270" s="328"/>
      <c r="AL270" s="588">
        <f t="shared" ca="1" si="123"/>
        <v>39</v>
      </c>
    </row>
    <row r="271" spans="1:38" s="300" customFormat="1" ht="12" customHeight="1">
      <c r="A271" s="287" t="s">
        <v>920</v>
      </c>
      <c r="B271" s="278" t="s">
        <v>288</v>
      </c>
      <c r="C271" s="278" t="s">
        <v>949</v>
      </c>
      <c r="D271" s="260" t="str">
        <f t="shared" si="116"/>
        <v>LY355042</v>
      </c>
      <c r="E271" s="321">
        <v>295580.76</v>
      </c>
      <c r="F271" s="321">
        <v>295580.76</v>
      </c>
      <c r="G271" s="280" t="s">
        <v>158</v>
      </c>
      <c r="H271" s="278" t="s">
        <v>33</v>
      </c>
      <c r="I271" s="281" t="s">
        <v>69</v>
      </c>
      <c r="J271" s="299" t="s">
        <v>131</v>
      </c>
      <c r="K271" s="282">
        <v>43733</v>
      </c>
      <c r="L271" s="334">
        <v>120</v>
      </c>
      <c r="M271" s="284">
        <f t="shared" ca="1" si="120"/>
        <v>12</v>
      </c>
      <c r="N271" s="285">
        <v>9.1899999999999996E-2</v>
      </c>
      <c r="O271" s="324">
        <f t="shared" ca="1" si="121"/>
        <v>905.46239479999997</v>
      </c>
      <c r="P271" s="286">
        <f t="shared" ca="1" si="122"/>
        <v>296486.22239479999</v>
      </c>
      <c r="Q271" s="287"/>
      <c r="R271" s="288"/>
      <c r="S271" s="287"/>
      <c r="T271" s="287"/>
      <c r="U271" s="287" t="s">
        <v>52</v>
      </c>
      <c r="V271" s="502"/>
      <c r="W271" s="290"/>
      <c r="X271" s="290"/>
      <c r="Y271" s="326"/>
      <c r="Z271" s="292"/>
      <c r="AA271" s="293">
        <f t="shared" si="124"/>
        <v>0</v>
      </c>
      <c r="AB271" s="294"/>
      <c r="AC271" s="294"/>
      <c r="AD271" s="295"/>
      <c r="AE271" s="296"/>
      <c r="AF271" s="287"/>
      <c r="AG271" s="294" t="s">
        <v>48</v>
      </c>
      <c r="AH271" s="478"/>
      <c r="AI271" s="378" t="s">
        <v>221</v>
      </c>
      <c r="AJ271" s="278"/>
      <c r="AK271" s="328"/>
      <c r="AL271" s="588">
        <f t="shared" ca="1" si="123"/>
        <v>39</v>
      </c>
    </row>
    <row r="272" spans="1:38" s="300" customFormat="1" ht="12" customHeight="1">
      <c r="A272" s="287" t="s">
        <v>920</v>
      </c>
      <c r="B272" s="278" t="s">
        <v>288</v>
      </c>
      <c r="C272" s="278" t="s">
        <v>950</v>
      </c>
      <c r="D272" s="260" t="str">
        <f t="shared" si="116"/>
        <v>LY355099</v>
      </c>
      <c r="E272" s="321">
        <v>295580.76</v>
      </c>
      <c r="F272" s="321">
        <v>295580.76</v>
      </c>
      <c r="G272" s="280" t="s">
        <v>158</v>
      </c>
      <c r="H272" s="278" t="s">
        <v>33</v>
      </c>
      <c r="I272" s="281" t="s">
        <v>80</v>
      </c>
      <c r="J272" s="299" t="s">
        <v>131</v>
      </c>
      <c r="K272" s="282">
        <v>43733</v>
      </c>
      <c r="L272" s="334">
        <v>120</v>
      </c>
      <c r="M272" s="284">
        <f t="shared" ca="1" si="120"/>
        <v>12</v>
      </c>
      <c r="N272" s="285">
        <v>9.1899999999999996E-2</v>
      </c>
      <c r="O272" s="324">
        <f t="shared" ca="1" si="121"/>
        <v>905.46239479999997</v>
      </c>
      <c r="P272" s="286">
        <f t="shared" ca="1" si="122"/>
        <v>296486.22239479999</v>
      </c>
      <c r="Q272" s="287"/>
      <c r="R272" s="288"/>
      <c r="S272" s="287"/>
      <c r="T272" s="287"/>
      <c r="U272" s="287" t="s">
        <v>52</v>
      </c>
      <c r="V272" s="502"/>
      <c r="W272" s="290"/>
      <c r="X272" s="290"/>
      <c r="Y272" s="326"/>
      <c r="Z272" s="292"/>
      <c r="AA272" s="293">
        <f t="shared" si="124"/>
        <v>0</v>
      </c>
      <c r="AB272" s="294"/>
      <c r="AC272" s="294"/>
      <c r="AD272" s="295"/>
      <c r="AE272" s="296"/>
      <c r="AF272" s="287"/>
      <c r="AG272" s="294" t="s">
        <v>48</v>
      </c>
      <c r="AH272" s="478"/>
      <c r="AI272" s="378" t="s">
        <v>221</v>
      </c>
      <c r="AJ272" s="278"/>
      <c r="AK272" s="328"/>
      <c r="AL272" s="588">
        <f t="shared" ca="1" si="123"/>
        <v>39</v>
      </c>
    </row>
    <row r="273" spans="1:38" s="300" customFormat="1" ht="12" customHeight="1">
      <c r="A273" s="287" t="s">
        <v>920</v>
      </c>
      <c r="B273" s="278" t="s">
        <v>288</v>
      </c>
      <c r="C273" s="278" t="s">
        <v>951</v>
      </c>
      <c r="D273" s="260" t="str">
        <f t="shared" si="116"/>
        <v>LY355331</v>
      </c>
      <c r="E273" s="321">
        <v>295580.76</v>
      </c>
      <c r="F273" s="321">
        <v>295580.76</v>
      </c>
      <c r="G273" s="280" t="s">
        <v>158</v>
      </c>
      <c r="H273" s="278" t="s">
        <v>33</v>
      </c>
      <c r="I273" s="281" t="s">
        <v>55</v>
      </c>
      <c r="J273" s="299" t="s">
        <v>131</v>
      </c>
      <c r="K273" s="282">
        <v>43733</v>
      </c>
      <c r="L273" s="334">
        <v>120</v>
      </c>
      <c r="M273" s="284">
        <f t="shared" ca="1" si="120"/>
        <v>12</v>
      </c>
      <c r="N273" s="285">
        <v>9.1899999999999996E-2</v>
      </c>
      <c r="O273" s="324">
        <f t="shared" ca="1" si="121"/>
        <v>905.46239479999997</v>
      </c>
      <c r="P273" s="286">
        <f t="shared" ca="1" si="122"/>
        <v>296486.22239479999</v>
      </c>
      <c r="Q273" s="287"/>
      <c r="R273" s="288"/>
      <c r="S273" s="287"/>
      <c r="T273" s="287"/>
      <c r="U273" s="287" t="s">
        <v>52</v>
      </c>
      <c r="V273" s="502"/>
      <c r="W273" s="290"/>
      <c r="X273" s="290"/>
      <c r="Y273" s="326"/>
      <c r="Z273" s="292"/>
      <c r="AA273" s="293">
        <f t="shared" si="124"/>
        <v>0</v>
      </c>
      <c r="AB273" s="294"/>
      <c r="AC273" s="294"/>
      <c r="AD273" s="295"/>
      <c r="AE273" s="296"/>
      <c r="AF273" s="287"/>
      <c r="AG273" s="294" t="s">
        <v>48</v>
      </c>
      <c r="AH273" s="478"/>
      <c r="AI273" s="378" t="s">
        <v>221</v>
      </c>
      <c r="AJ273" s="278"/>
      <c r="AK273" s="328"/>
      <c r="AL273" s="588">
        <f t="shared" ca="1" si="123"/>
        <v>39</v>
      </c>
    </row>
    <row r="274" spans="1:38" s="300" customFormat="1" ht="12" customHeight="1">
      <c r="A274" s="287" t="s">
        <v>920</v>
      </c>
      <c r="B274" s="278" t="s">
        <v>288</v>
      </c>
      <c r="C274" s="278" t="s">
        <v>952</v>
      </c>
      <c r="D274" s="260" t="str">
        <f t="shared" si="116"/>
        <v>LY355357</v>
      </c>
      <c r="E274" s="321">
        <v>295580.76</v>
      </c>
      <c r="F274" s="321">
        <v>295580.76</v>
      </c>
      <c r="G274" s="280" t="s">
        <v>158</v>
      </c>
      <c r="H274" s="278" t="s">
        <v>33</v>
      </c>
      <c r="I274" s="281" t="s">
        <v>69</v>
      </c>
      <c r="J274" s="299" t="s">
        <v>131</v>
      </c>
      <c r="K274" s="282">
        <v>43733</v>
      </c>
      <c r="L274" s="334">
        <v>120</v>
      </c>
      <c r="M274" s="284">
        <f t="shared" ca="1" si="120"/>
        <v>12</v>
      </c>
      <c r="N274" s="285">
        <v>9.1899999999999996E-2</v>
      </c>
      <c r="O274" s="324">
        <f t="shared" ca="1" si="121"/>
        <v>905.46239479999997</v>
      </c>
      <c r="P274" s="286">
        <f t="shared" ca="1" si="122"/>
        <v>296486.22239479999</v>
      </c>
      <c r="Q274" s="287"/>
      <c r="R274" s="288"/>
      <c r="S274" s="287"/>
      <c r="T274" s="287"/>
      <c r="U274" s="287" t="s">
        <v>52</v>
      </c>
      <c r="V274" s="502"/>
      <c r="W274" s="290"/>
      <c r="X274" s="290"/>
      <c r="Y274" s="326"/>
      <c r="Z274" s="292"/>
      <c r="AA274" s="293">
        <f t="shared" si="124"/>
        <v>0</v>
      </c>
      <c r="AB274" s="294"/>
      <c r="AC274" s="294"/>
      <c r="AD274" s="295"/>
      <c r="AE274" s="296"/>
      <c r="AF274" s="287"/>
      <c r="AG274" s="294" t="s">
        <v>48</v>
      </c>
      <c r="AH274" s="478"/>
      <c r="AI274" s="378" t="s">
        <v>221</v>
      </c>
      <c r="AJ274" s="278"/>
      <c r="AK274" s="328"/>
      <c r="AL274" s="588">
        <f t="shared" ca="1" si="123"/>
        <v>39</v>
      </c>
    </row>
    <row r="275" spans="1:38" s="300" customFormat="1" ht="12" customHeight="1">
      <c r="A275" s="287" t="s">
        <v>920</v>
      </c>
      <c r="B275" s="278" t="s">
        <v>288</v>
      </c>
      <c r="C275" s="278" t="s">
        <v>953</v>
      </c>
      <c r="D275" s="260" t="str">
        <f t="shared" si="116"/>
        <v>LY357495</v>
      </c>
      <c r="E275" s="321">
        <v>295580.76</v>
      </c>
      <c r="F275" s="321">
        <v>295580.76</v>
      </c>
      <c r="G275" s="280" t="s">
        <v>158</v>
      </c>
      <c r="H275" s="278" t="s">
        <v>33</v>
      </c>
      <c r="I275" s="281" t="s">
        <v>80</v>
      </c>
      <c r="J275" s="299" t="s">
        <v>131</v>
      </c>
      <c r="K275" s="282">
        <v>43733</v>
      </c>
      <c r="L275" s="334">
        <v>120</v>
      </c>
      <c r="M275" s="284">
        <f t="shared" ca="1" si="120"/>
        <v>12</v>
      </c>
      <c r="N275" s="285">
        <v>9.1899999999999996E-2</v>
      </c>
      <c r="O275" s="324">
        <f t="shared" ca="1" si="121"/>
        <v>905.46239479999997</v>
      </c>
      <c r="P275" s="286">
        <f t="shared" ca="1" si="122"/>
        <v>296486.22239479999</v>
      </c>
      <c r="Q275" s="287"/>
      <c r="R275" s="288"/>
      <c r="S275" s="287"/>
      <c r="T275" s="287"/>
      <c r="U275" s="287" t="s">
        <v>52</v>
      </c>
      <c r="V275" s="502"/>
      <c r="W275" s="290"/>
      <c r="X275" s="290"/>
      <c r="Y275" s="326"/>
      <c r="Z275" s="292"/>
      <c r="AA275" s="293">
        <f t="shared" si="124"/>
        <v>0</v>
      </c>
      <c r="AB275" s="294"/>
      <c r="AC275" s="294"/>
      <c r="AD275" s="295"/>
      <c r="AE275" s="296"/>
      <c r="AF275" s="287"/>
      <c r="AG275" s="294" t="s">
        <v>48</v>
      </c>
      <c r="AH275" s="478"/>
      <c r="AI275" s="378" t="s">
        <v>221</v>
      </c>
      <c r="AJ275" s="278"/>
      <c r="AK275" s="328"/>
      <c r="AL275" s="588">
        <f t="shared" ca="1" si="123"/>
        <v>39</v>
      </c>
    </row>
    <row r="276" spans="1:38" s="300" customFormat="1" ht="12" customHeight="1">
      <c r="A276" s="287" t="s">
        <v>920</v>
      </c>
      <c r="B276" s="278" t="s">
        <v>288</v>
      </c>
      <c r="C276" s="278" t="s">
        <v>954</v>
      </c>
      <c r="D276" s="260" t="str">
        <f t="shared" si="116"/>
        <v>LY358402</v>
      </c>
      <c r="E276" s="321">
        <v>295580.76</v>
      </c>
      <c r="F276" s="321">
        <v>295580.76</v>
      </c>
      <c r="G276" s="280" t="s">
        <v>158</v>
      </c>
      <c r="H276" s="278" t="s">
        <v>33</v>
      </c>
      <c r="I276" s="281" t="s">
        <v>80</v>
      </c>
      <c r="J276" s="299" t="s">
        <v>131</v>
      </c>
      <c r="K276" s="282">
        <v>43733</v>
      </c>
      <c r="L276" s="334">
        <v>120</v>
      </c>
      <c r="M276" s="284">
        <f t="shared" ca="1" si="120"/>
        <v>12</v>
      </c>
      <c r="N276" s="285">
        <v>9.1899999999999996E-2</v>
      </c>
      <c r="O276" s="324">
        <f t="shared" ca="1" si="121"/>
        <v>905.46239479999997</v>
      </c>
      <c r="P276" s="286">
        <f t="shared" ca="1" si="122"/>
        <v>296486.22239479999</v>
      </c>
      <c r="Q276" s="287"/>
      <c r="R276" s="288"/>
      <c r="S276" s="287"/>
      <c r="T276" s="287"/>
      <c r="U276" s="287" t="s">
        <v>52</v>
      </c>
      <c r="V276" s="502"/>
      <c r="W276" s="290"/>
      <c r="X276" s="290"/>
      <c r="Y276" s="326"/>
      <c r="Z276" s="292"/>
      <c r="AA276" s="293">
        <f t="shared" si="124"/>
        <v>0</v>
      </c>
      <c r="AB276" s="294"/>
      <c r="AC276" s="294"/>
      <c r="AD276" s="295"/>
      <c r="AE276" s="296"/>
      <c r="AF276" s="287"/>
      <c r="AG276" s="294" t="s">
        <v>48</v>
      </c>
      <c r="AH276" s="478"/>
      <c r="AI276" s="378" t="s">
        <v>221</v>
      </c>
      <c r="AJ276" s="278"/>
      <c r="AK276" s="328"/>
      <c r="AL276" s="588">
        <f t="shared" ca="1" si="123"/>
        <v>39</v>
      </c>
    </row>
    <row r="277" spans="1:38" s="300" customFormat="1" ht="12" customHeight="1">
      <c r="A277" s="287" t="s">
        <v>955</v>
      </c>
      <c r="B277" s="278" t="s">
        <v>363</v>
      </c>
      <c r="C277" s="278" t="s">
        <v>956</v>
      </c>
      <c r="D277" s="260" t="str">
        <f t="shared" si="116"/>
        <v>LK268189</v>
      </c>
      <c r="E277" s="321">
        <v>433637</v>
      </c>
      <c r="F277" s="321">
        <v>433637</v>
      </c>
      <c r="G277" s="280" t="s">
        <v>158</v>
      </c>
      <c r="H277" s="278" t="s">
        <v>33</v>
      </c>
      <c r="I277" s="281"/>
      <c r="J277" s="299" t="s">
        <v>131</v>
      </c>
      <c r="K277" s="282">
        <v>43733</v>
      </c>
      <c r="L277" s="334">
        <v>120</v>
      </c>
      <c r="M277" s="284">
        <f t="shared" ca="1" si="120"/>
        <v>12</v>
      </c>
      <c r="N277" s="285">
        <v>9.1899999999999996E-2</v>
      </c>
      <c r="O277" s="324">
        <f t="shared" ca="1" si="121"/>
        <v>1328.3746766666666</v>
      </c>
      <c r="P277" s="286">
        <f t="shared" ca="1" si="122"/>
        <v>434965.37467666669</v>
      </c>
      <c r="Q277" s="287"/>
      <c r="R277" s="288"/>
      <c r="S277" s="287"/>
      <c r="T277" s="287"/>
      <c r="U277" s="287" t="s">
        <v>52</v>
      </c>
      <c r="V277" s="502"/>
      <c r="W277" s="290"/>
      <c r="X277" s="290"/>
      <c r="Y277" s="326"/>
      <c r="Z277" s="292"/>
      <c r="AA277" s="293">
        <f t="shared" si="124"/>
        <v>0</v>
      </c>
      <c r="AB277" s="294"/>
      <c r="AC277" s="294"/>
      <c r="AD277" s="295"/>
      <c r="AE277" s="296"/>
      <c r="AF277" s="287"/>
      <c r="AG277" s="294" t="s">
        <v>48</v>
      </c>
      <c r="AH277" s="478"/>
      <c r="AI277" s="378" t="s">
        <v>221</v>
      </c>
      <c r="AJ277" s="278"/>
      <c r="AK277" s="328"/>
      <c r="AL277" s="588">
        <f t="shared" ca="1" si="123"/>
        <v>38</v>
      </c>
    </row>
    <row r="278" spans="1:38" s="300" customFormat="1" ht="12" customHeight="1">
      <c r="A278" s="287" t="s">
        <v>955</v>
      </c>
      <c r="B278" s="278" t="s">
        <v>363</v>
      </c>
      <c r="C278" s="278" t="s">
        <v>957</v>
      </c>
      <c r="D278" s="260" t="str">
        <f t="shared" si="116"/>
        <v>LK268337</v>
      </c>
      <c r="E278" s="321">
        <v>433637</v>
      </c>
      <c r="F278" s="321">
        <v>433637</v>
      </c>
      <c r="G278" s="280" t="s">
        <v>158</v>
      </c>
      <c r="H278" s="278" t="s">
        <v>33</v>
      </c>
      <c r="I278" s="281"/>
      <c r="J278" s="299" t="s">
        <v>131</v>
      </c>
      <c r="K278" s="282">
        <v>43733</v>
      </c>
      <c r="L278" s="334">
        <v>120</v>
      </c>
      <c r="M278" s="284">
        <f t="shared" ca="1" si="120"/>
        <v>12</v>
      </c>
      <c r="N278" s="285">
        <v>9.1899999999999996E-2</v>
      </c>
      <c r="O278" s="324">
        <f t="shared" ca="1" si="121"/>
        <v>1328.3746766666666</v>
      </c>
      <c r="P278" s="286">
        <f t="shared" ca="1" si="122"/>
        <v>434965.37467666669</v>
      </c>
      <c r="Q278" s="287"/>
      <c r="R278" s="288"/>
      <c r="S278" s="287"/>
      <c r="T278" s="287"/>
      <c r="U278" s="287" t="s">
        <v>52</v>
      </c>
      <c r="V278" s="502"/>
      <c r="W278" s="290"/>
      <c r="X278" s="290"/>
      <c r="Y278" s="326"/>
      <c r="Z278" s="292"/>
      <c r="AA278" s="293">
        <f t="shared" si="124"/>
        <v>0</v>
      </c>
      <c r="AB278" s="294"/>
      <c r="AC278" s="294"/>
      <c r="AD278" s="295"/>
      <c r="AE278" s="296"/>
      <c r="AF278" s="287"/>
      <c r="AG278" s="294" t="s">
        <v>48</v>
      </c>
      <c r="AH278" s="478"/>
      <c r="AI278" s="378" t="s">
        <v>221</v>
      </c>
      <c r="AJ278" s="278"/>
      <c r="AK278" s="328"/>
      <c r="AL278" s="588">
        <f t="shared" ca="1" si="123"/>
        <v>38</v>
      </c>
    </row>
    <row r="279" spans="1:38" s="300" customFormat="1" ht="12" customHeight="1">
      <c r="A279" s="287" t="s">
        <v>955</v>
      </c>
      <c r="B279" s="278" t="s">
        <v>169</v>
      </c>
      <c r="C279" s="278" t="s">
        <v>958</v>
      </c>
      <c r="D279" s="260" t="str">
        <f t="shared" si="116"/>
        <v>LT110448</v>
      </c>
      <c r="E279" s="321">
        <v>542470.52</v>
      </c>
      <c r="F279" s="321">
        <v>542470.52</v>
      </c>
      <c r="G279" s="280" t="s">
        <v>158</v>
      </c>
      <c r="H279" s="278" t="s">
        <v>33</v>
      </c>
      <c r="I279" s="281" t="s">
        <v>55</v>
      </c>
      <c r="J279" s="299" t="s">
        <v>131</v>
      </c>
      <c r="K279" s="282">
        <v>43733</v>
      </c>
      <c r="L279" s="334">
        <v>120</v>
      </c>
      <c r="M279" s="284">
        <f t="shared" ca="1" si="120"/>
        <v>12</v>
      </c>
      <c r="N279" s="285">
        <v>9.1899999999999996E-2</v>
      </c>
      <c r="O279" s="324">
        <f t="shared" ca="1" si="121"/>
        <v>1661.7680262666668</v>
      </c>
      <c r="P279" s="286">
        <f t="shared" ca="1" si="122"/>
        <v>544132.28802626673</v>
      </c>
      <c r="Q279" s="287"/>
      <c r="R279" s="288"/>
      <c r="S279" s="287"/>
      <c r="T279" s="287"/>
      <c r="U279" s="287" t="s">
        <v>52</v>
      </c>
      <c r="V279" s="502"/>
      <c r="W279" s="290"/>
      <c r="X279" s="290"/>
      <c r="Y279" s="326"/>
      <c r="Z279" s="292"/>
      <c r="AA279" s="293">
        <f t="shared" si="124"/>
        <v>0</v>
      </c>
      <c r="AB279" s="294"/>
      <c r="AC279" s="294"/>
      <c r="AD279" s="295"/>
      <c r="AE279" s="296"/>
      <c r="AF279" s="287"/>
      <c r="AG279" s="294" t="s">
        <v>48</v>
      </c>
      <c r="AH279" s="478"/>
      <c r="AI279" s="378" t="s">
        <v>221</v>
      </c>
      <c r="AJ279" s="278"/>
      <c r="AK279" s="328"/>
      <c r="AL279" s="588">
        <f t="shared" ca="1" si="123"/>
        <v>38</v>
      </c>
    </row>
    <row r="280" spans="1:38" s="300" customFormat="1" ht="12" customHeight="1">
      <c r="A280" s="287" t="s">
        <v>955</v>
      </c>
      <c r="B280" s="278" t="s">
        <v>288</v>
      </c>
      <c r="C280" s="278" t="s">
        <v>960</v>
      </c>
      <c r="D280" s="260" t="str">
        <f t="shared" si="116"/>
        <v>LY358277</v>
      </c>
      <c r="E280" s="321">
        <v>295580.76</v>
      </c>
      <c r="F280" s="321">
        <v>295580.76</v>
      </c>
      <c r="G280" s="280" t="s">
        <v>158</v>
      </c>
      <c r="H280" s="278" t="s">
        <v>33</v>
      </c>
      <c r="I280" s="281"/>
      <c r="J280" s="299" t="s">
        <v>131</v>
      </c>
      <c r="K280" s="282">
        <v>43733</v>
      </c>
      <c r="L280" s="334">
        <v>120</v>
      </c>
      <c r="M280" s="284">
        <f t="shared" ca="1" si="120"/>
        <v>12</v>
      </c>
      <c r="N280" s="285">
        <v>9.1899999999999996E-2</v>
      </c>
      <c r="O280" s="324">
        <f t="shared" ca="1" si="121"/>
        <v>905.46239479999997</v>
      </c>
      <c r="P280" s="286">
        <f t="shared" ca="1" si="122"/>
        <v>296486.22239479999</v>
      </c>
      <c r="Q280" s="287"/>
      <c r="R280" s="288"/>
      <c r="S280" s="287"/>
      <c r="T280" s="287"/>
      <c r="U280" s="287" t="s">
        <v>52</v>
      </c>
      <c r="V280" s="502"/>
      <c r="W280" s="290"/>
      <c r="X280" s="290"/>
      <c r="Y280" s="326"/>
      <c r="Z280" s="292"/>
      <c r="AA280" s="293">
        <f t="shared" si="124"/>
        <v>0</v>
      </c>
      <c r="AB280" s="294"/>
      <c r="AC280" s="294"/>
      <c r="AD280" s="295"/>
      <c r="AE280" s="296"/>
      <c r="AF280" s="287"/>
      <c r="AG280" s="294" t="s">
        <v>48</v>
      </c>
      <c r="AH280" s="478"/>
      <c r="AI280" s="378" t="s">
        <v>221</v>
      </c>
      <c r="AJ280" s="278"/>
      <c r="AK280" s="328"/>
      <c r="AL280" s="588">
        <f t="shared" ca="1" si="123"/>
        <v>38</v>
      </c>
    </row>
    <row r="281" spans="1:38" s="412" customFormat="1" ht="18.75">
      <c r="A281" s="431" t="s">
        <v>132</v>
      </c>
      <c r="B281" s="431"/>
      <c r="C281" s="431" t="s">
        <v>132</v>
      </c>
      <c r="D281" s="431" t="s">
        <v>132</v>
      </c>
      <c r="E281" s="431"/>
      <c r="F281" s="431" t="s">
        <v>132</v>
      </c>
      <c r="G281" s="431"/>
      <c r="H281" s="431"/>
      <c r="I281" s="431"/>
      <c r="J281" s="431"/>
      <c r="K281" s="431"/>
      <c r="L281" s="431"/>
      <c r="M281" s="431"/>
      <c r="N281" s="431" t="s">
        <v>132</v>
      </c>
      <c r="O281" s="431"/>
      <c r="P281" s="431"/>
      <c r="Q281" s="431"/>
      <c r="R281" s="431"/>
      <c r="S281" s="431"/>
      <c r="T281" s="431" t="s">
        <v>132</v>
      </c>
      <c r="U281" s="431" t="s">
        <v>202</v>
      </c>
      <c r="V281" s="431"/>
      <c r="W281" s="431" t="s">
        <v>132</v>
      </c>
      <c r="X281" s="431"/>
      <c r="Y281" s="431" t="s">
        <v>132</v>
      </c>
      <c r="Z281" s="432"/>
      <c r="AA281" s="431"/>
      <c r="AB281" s="431"/>
      <c r="AC281" s="431" t="s">
        <v>132</v>
      </c>
      <c r="AD281" s="431"/>
      <c r="AE281" s="431" t="s">
        <v>132</v>
      </c>
      <c r="AF281" s="431"/>
      <c r="AG281" s="431"/>
      <c r="AH281" s="431"/>
      <c r="AI281" s="431"/>
      <c r="AJ281" s="431"/>
      <c r="AK281" s="431"/>
      <c r="AL281" s="592"/>
    </row>
    <row r="282" spans="1:38" s="312" customFormat="1" ht="12" customHeight="1">
      <c r="A282" s="303" t="s">
        <v>475</v>
      </c>
      <c r="B282" s="310" t="s">
        <v>125</v>
      </c>
      <c r="C282" s="304" t="s">
        <v>485</v>
      </c>
      <c r="D282" s="260" t="str">
        <f t="shared" ref="D282:D296" si="125">+RIGHT(C282,8)</f>
        <v>K0863193</v>
      </c>
      <c r="E282" s="279">
        <v>215889.92000000001</v>
      </c>
      <c r="F282" s="279">
        <v>215889.92000000001</v>
      </c>
      <c r="G282" s="280" t="s">
        <v>158</v>
      </c>
      <c r="H282" s="278" t="s">
        <v>33</v>
      </c>
      <c r="I282" s="281" t="s">
        <v>55</v>
      </c>
      <c r="J282" s="299" t="s">
        <v>132</v>
      </c>
      <c r="K282" s="282">
        <v>43664</v>
      </c>
      <c r="L282" s="334">
        <v>120</v>
      </c>
      <c r="M282" s="278">
        <f t="shared" ref="M282:M286" ca="1" si="126">$A$1-K282</f>
        <v>81</v>
      </c>
      <c r="N282" s="285">
        <v>9.7000000000000003E-2</v>
      </c>
      <c r="O282" s="324">
        <f t="shared" ref="O282:O286" ca="1" si="127">F282*N282/360*M282</f>
        <v>4711.7975040000001</v>
      </c>
      <c r="P282" s="286">
        <f t="shared" ref="P282:P286" ca="1" si="128">O282+F282</f>
        <v>220601.717504</v>
      </c>
      <c r="Q282" s="287"/>
      <c r="R282" s="288"/>
      <c r="S282" s="287"/>
      <c r="T282" s="287"/>
      <c r="U282" s="294" t="s">
        <v>52</v>
      </c>
      <c r="V282" s="502"/>
      <c r="W282" s="290"/>
      <c r="X282" s="290"/>
      <c r="Y282" s="326"/>
      <c r="Z282" s="292"/>
      <c r="AA282" s="293">
        <f t="shared" ref="AA282:AA296" si="129">+Y282-Z282</f>
        <v>0</v>
      </c>
      <c r="AB282" s="294"/>
      <c r="AC282" s="294"/>
      <c r="AD282" s="295"/>
      <c r="AE282" s="296"/>
      <c r="AF282" s="287"/>
      <c r="AG282" s="294" t="s">
        <v>48</v>
      </c>
      <c r="AH282" s="478"/>
      <c r="AI282" s="294" t="s">
        <v>362</v>
      </c>
      <c r="AJ282" s="278"/>
      <c r="AK282" s="328"/>
      <c r="AL282" s="588">
        <f t="shared" ref="AL282:AL286" ca="1" si="130">+$A$1-A282</f>
        <v>130</v>
      </c>
    </row>
    <row r="283" spans="1:38" s="312" customFormat="1" ht="12" customHeight="1">
      <c r="A283" s="303" t="s">
        <v>590</v>
      </c>
      <c r="B283" s="310" t="s">
        <v>125</v>
      </c>
      <c r="C283" s="304" t="s">
        <v>605</v>
      </c>
      <c r="D283" s="260" t="str">
        <f t="shared" si="125"/>
        <v>K0862605</v>
      </c>
      <c r="E283" s="279">
        <v>215889.92000000001</v>
      </c>
      <c r="F283" s="279">
        <v>215889.92000000001</v>
      </c>
      <c r="G283" s="280" t="s">
        <v>158</v>
      </c>
      <c r="H283" s="278" t="s">
        <v>33</v>
      </c>
      <c r="I283" s="492" t="s">
        <v>32</v>
      </c>
      <c r="J283" s="299" t="s">
        <v>132</v>
      </c>
      <c r="K283" s="282">
        <v>43677</v>
      </c>
      <c r="L283" s="334">
        <v>120</v>
      </c>
      <c r="M283" s="278">
        <f t="shared" ca="1" si="126"/>
        <v>68</v>
      </c>
      <c r="N283" s="285">
        <v>9.6799999999999997E-2</v>
      </c>
      <c r="O283" s="324">
        <f t="shared" ca="1" si="127"/>
        <v>3947.4272483555555</v>
      </c>
      <c r="P283" s="286">
        <f t="shared" ca="1" si="128"/>
        <v>219837.34724835557</v>
      </c>
      <c r="Q283" s="287"/>
      <c r="R283" s="288"/>
      <c r="S283" s="287"/>
      <c r="T283" s="287"/>
      <c r="U283" s="294" t="s">
        <v>52</v>
      </c>
      <c r="V283" s="502"/>
      <c r="W283" s="290"/>
      <c r="X283" s="290"/>
      <c r="Y283" s="326"/>
      <c r="Z283" s="292"/>
      <c r="AA283" s="293">
        <f t="shared" si="129"/>
        <v>0</v>
      </c>
      <c r="AB283" s="294"/>
      <c r="AC283" s="294"/>
      <c r="AD283" s="295"/>
      <c r="AE283" s="296"/>
      <c r="AF283" s="287"/>
      <c r="AG283" s="294" t="s">
        <v>48</v>
      </c>
      <c r="AH283" s="478"/>
      <c r="AI283" s="294" t="s">
        <v>362</v>
      </c>
      <c r="AJ283" s="278"/>
      <c r="AK283" s="328"/>
      <c r="AL283" s="588">
        <f t="shared" ca="1" si="130"/>
        <v>102</v>
      </c>
    </row>
    <row r="284" spans="1:38" s="312" customFormat="1" ht="12" customHeight="1">
      <c r="A284" s="303" t="s">
        <v>671</v>
      </c>
      <c r="B284" s="310" t="s">
        <v>676</v>
      </c>
      <c r="C284" s="304" t="s">
        <v>677</v>
      </c>
      <c r="D284" s="260" t="str">
        <f t="shared" si="125"/>
        <v>LY628798</v>
      </c>
      <c r="E284" s="279">
        <v>185073.36</v>
      </c>
      <c r="F284" s="279">
        <v>185073.36</v>
      </c>
      <c r="G284" s="280" t="s">
        <v>158</v>
      </c>
      <c r="H284" s="278" t="s">
        <v>33</v>
      </c>
      <c r="I284" s="281" t="s">
        <v>69</v>
      </c>
      <c r="J284" s="299" t="s">
        <v>132</v>
      </c>
      <c r="K284" s="282">
        <v>43689</v>
      </c>
      <c r="L284" s="334">
        <v>120</v>
      </c>
      <c r="M284" s="278">
        <f t="shared" ca="1" si="126"/>
        <v>56</v>
      </c>
      <c r="N284" s="285">
        <v>9.6500000000000002E-2</v>
      </c>
      <c r="O284" s="324">
        <f t="shared" ca="1" si="127"/>
        <v>2778.1567706666665</v>
      </c>
      <c r="P284" s="286">
        <f t="shared" ca="1" si="128"/>
        <v>187851.51677066664</v>
      </c>
      <c r="Q284" s="287"/>
      <c r="R284" s="288"/>
      <c r="S284" s="287"/>
      <c r="T284" s="287"/>
      <c r="U284" s="294" t="s">
        <v>52</v>
      </c>
      <c r="V284" s="502"/>
      <c r="W284" s="290"/>
      <c r="X284" s="290"/>
      <c r="Y284" s="326"/>
      <c r="Z284" s="292"/>
      <c r="AA284" s="293">
        <f t="shared" si="129"/>
        <v>0</v>
      </c>
      <c r="AB284" s="294"/>
      <c r="AC284" s="294"/>
      <c r="AD284" s="295"/>
      <c r="AE284" s="296"/>
      <c r="AF284" s="287"/>
      <c r="AG284" s="294" t="s">
        <v>48</v>
      </c>
      <c r="AH284" s="494"/>
      <c r="AI284" s="294" t="s">
        <v>362</v>
      </c>
      <c r="AJ284" s="278"/>
      <c r="AK284" s="328"/>
      <c r="AL284" s="588">
        <f t="shared" ca="1" si="130"/>
        <v>84</v>
      </c>
    </row>
    <row r="285" spans="1:38" s="312" customFormat="1" ht="12" customHeight="1">
      <c r="A285" s="303" t="s">
        <v>678</v>
      </c>
      <c r="B285" s="310" t="s">
        <v>127</v>
      </c>
      <c r="C285" s="304" t="s">
        <v>684</v>
      </c>
      <c r="D285" s="260" t="str">
        <f t="shared" si="125"/>
        <v>LY629611</v>
      </c>
      <c r="E285" s="279">
        <v>185073.36</v>
      </c>
      <c r="F285" s="279">
        <v>185073.36</v>
      </c>
      <c r="G285" s="280" t="s">
        <v>158</v>
      </c>
      <c r="H285" s="278" t="s">
        <v>33</v>
      </c>
      <c r="I285" s="281" t="s">
        <v>69</v>
      </c>
      <c r="J285" s="299" t="s">
        <v>132</v>
      </c>
      <c r="K285" s="282">
        <v>43689</v>
      </c>
      <c r="L285" s="334">
        <v>120</v>
      </c>
      <c r="M285" s="278">
        <f t="shared" ca="1" si="126"/>
        <v>56</v>
      </c>
      <c r="N285" s="285">
        <v>9.6500000000000002E-2</v>
      </c>
      <c r="O285" s="324">
        <f t="shared" ca="1" si="127"/>
        <v>2778.1567706666665</v>
      </c>
      <c r="P285" s="286">
        <f t="shared" ca="1" si="128"/>
        <v>187851.51677066664</v>
      </c>
      <c r="Q285" s="287"/>
      <c r="R285" s="288"/>
      <c r="S285" s="287"/>
      <c r="T285" s="287"/>
      <c r="U285" s="294" t="s">
        <v>52</v>
      </c>
      <c r="V285" s="502"/>
      <c r="W285" s="290"/>
      <c r="X285" s="290"/>
      <c r="Y285" s="326"/>
      <c r="Z285" s="292"/>
      <c r="AA285" s="293">
        <f t="shared" si="129"/>
        <v>0</v>
      </c>
      <c r="AB285" s="294"/>
      <c r="AC285" s="294"/>
      <c r="AD285" s="295"/>
      <c r="AE285" s="296"/>
      <c r="AF285" s="287"/>
      <c r="AG285" s="294" t="s">
        <v>48</v>
      </c>
      <c r="AH285" s="494"/>
      <c r="AI285" s="294" t="s">
        <v>362</v>
      </c>
      <c r="AJ285" s="278"/>
      <c r="AK285" s="328"/>
      <c r="AL285" s="588">
        <f t="shared" ca="1" si="130"/>
        <v>83</v>
      </c>
    </row>
    <row r="286" spans="1:38" s="312" customFormat="1" ht="12" customHeight="1">
      <c r="A286" s="303" t="s">
        <v>680</v>
      </c>
      <c r="B286" s="310" t="s">
        <v>128</v>
      </c>
      <c r="C286" s="304" t="s">
        <v>688</v>
      </c>
      <c r="D286" s="260" t="str">
        <f t="shared" si="125"/>
        <v>KY624644</v>
      </c>
      <c r="E286" s="279">
        <v>196904.2</v>
      </c>
      <c r="F286" s="279">
        <v>196904.2</v>
      </c>
      <c r="G286" s="280" t="s">
        <v>158</v>
      </c>
      <c r="H286" s="278" t="s">
        <v>33</v>
      </c>
      <c r="I286" s="281" t="s">
        <v>55</v>
      </c>
      <c r="J286" s="299" t="s">
        <v>132</v>
      </c>
      <c r="K286" s="282">
        <v>43689</v>
      </c>
      <c r="L286" s="334">
        <v>120</v>
      </c>
      <c r="M286" s="278">
        <f t="shared" ca="1" si="126"/>
        <v>56</v>
      </c>
      <c r="N286" s="285">
        <v>9.6500000000000002E-2</v>
      </c>
      <c r="O286" s="324">
        <f t="shared" ca="1" si="127"/>
        <v>2955.7508244444448</v>
      </c>
      <c r="P286" s="286">
        <f t="shared" ca="1" si="128"/>
        <v>199859.95082444444</v>
      </c>
      <c r="Q286" s="287"/>
      <c r="R286" s="288"/>
      <c r="S286" s="287"/>
      <c r="T286" s="287"/>
      <c r="U286" s="294" t="s">
        <v>52</v>
      </c>
      <c r="V286" s="502"/>
      <c r="W286" s="290"/>
      <c r="X286" s="290"/>
      <c r="Y286" s="326"/>
      <c r="Z286" s="292"/>
      <c r="AA286" s="293">
        <f t="shared" si="129"/>
        <v>0</v>
      </c>
      <c r="AB286" s="294"/>
      <c r="AC286" s="294"/>
      <c r="AD286" s="295"/>
      <c r="AE286" s="296"/>
      <c r="AF286" s="287"/>
      <c r="AG286" s="294" t="s">
        <v>48</v>
      </c>
      <c r="AH286" s="494"/>
      <c r="AI286" s="294" t="s">
        <v>362</v>
      </c>
      <c r="AJ286" s="278"/>
      <c r="AK286" s="328"/>
      <c r="AL286" s="588">
        <f t="shared" ca="1" si="130"/>
        <v>82</v>
      </c>
    </row>
    <row r="287" spans="1:38" s="300" customFormat="1" ht="12" customHeight="1">
      <c r="A287" s="287" t="s">
        <v>753</v>
      </c>
      <c r="B287" s="278" t="s">
        <v>125</v>
      </c>
      <c r="C287" s="278" t="s">
        <v>761</v>
      </c>
      <c r="D287" s="260" t="str">
        <f t="shared" si="125"/>
        <v>K0865513</v>
      </c>
      <c r="E287" s="321">
        <f>VLOOKUP(D287,[4]SEPT!$F$2:$H$14,3,0)</f>
        <v>215889.92000000001</v>
      </c>
      <c r="F287" s="321">
        <v>215889.92000000001</v>
      </c>
      <c r="G287" s="280" t="s">
        <v>158</v>
      </c>
      <c r="H287" s="278" t="s">
        <v>33</v>
      </c>
      <c r="I287" s="281" t="s">
        <v>69</v>
      </c>
      <c r="J287" s="299" t="s">
        <v>132</v>
      </c>
      <c r="K287" s="282">
        <v>43734</v>
      </c>
      <c r="L287" s="334">
        <v>120</v>
      </c>
      <c r="M287" s="278">
        <f ca="1">$A$1-K287</f>
        <v>11</v>
      </c>
      <c r="N287" s="285">
        <v>9.1800000000000007E-2</v>
      </c>
      <c r="O287" s="324">
        <f t="shared" ref="O287:O296" ca="1" si="131">F287*N287/360*M287</f>
        <v>605.57122560000005</v>
      </c>
      <c r="P287" s="286">
        <f t="shared" ref="P287:P296" ca="1" si="132">O287+F287</f>
        <v>216495.49122560001</v>
      </c>
      <c r="Q287" s="287"/>
      <c r="R287" s="288"/>
      <c r="S287" s="287"/>
      <c r="T287" s="287"/>
      <c r="U287" s="287" t="s">
        <v>52</v>
      </c>
      <c r="V287" s="502"/>
      <c r="W287" s="290"/>
      <c r="X287" s="290"/>
      <c r="Y287" s="326"/>
      <c r="Z287" s="292"/>
      <c r="AA287" s="293">
        <f t="shared" si="129"/>
        <v>0</v>
      </c>
      <c r="AB287" s="294"/>
      <c r="AC287" s="294"/>
      <c r="AD287" s="295"/>
      <c r="AE287" s="296"/>
      <c r="AF287" s="287"/>
      <c r="AG287" s="294" t="s">
        <v>48</v>
      </c>
      <c r="AH287" s="478"/>
      <c r="AI287" s="294" t="s">
        <v>362</v>
      </c>
      <c r="AJ287" s="278"/>
      <c r="AK287" s="328"/>
      <c r="AL287" s="588">
        <f t="shared" ref="AL287:AL296" ca="1" si="133">+$A$1-A287</f>
        <v>69</v>
      </c>
    </row>
    <row r="288" spans="1:38" s="300" customFormat="1" ht="12" customHeight="1">
      <c r="A288" s="287" t="s">
        <v>764</v>
      </c>
      <c r="B288" s="278" t="s">
        <v>127</v>
      </c>
      <c r="C288" s="278" t="s">
        <v>769</v>
      </c>
      <c r="D288" s="260" t="str">
        <f t="shared" si="125"/>
        <v>LY628009</v>
      </c>
      <c r="E288" s="321">
        <f>VLOOKUP(D288,[4]SEPT!$F$2:$H$14,3,0)</f>
        <v>185073.36</v>
      </c>
      <c r="F288" s="321">
        <v>185073.36</v>
      </c>
      <c r="G288" s="280" t="s">
        <v>158</v>
      </c>
      <c r="H288" s="278" t="s">
        <v>33</v>
      </c>
      <c r="I288" s="281"/>
      <c r="J288" s="299" t="s">
        <v>132</v>
      </c>
      <c r="K288" s="282">
        <v>43734</v>
      </c>
      <c r="L288" s="334">
        <v>120</v>
      </c>
      <c r="M288" s="278">
        <f t="shared" ref="M288:M296" ca="1" si="134">$A$1-K288</f>
        <v>11</v>
      </c>
      <c r="N288" s="285">
        <v>9.1800000000000007E-2</v>
      </c>
      <c r="O288" s="324">
        <f t="shared" ca="1" si="131"/>
        <v>519.13077480000004</v>
      </c>
      <c r="P288" s="286">
        <f t="shared" ca="1" si="132"/>
        <v>185592.49077479998</v>
      </c>
      <c r="Q288" s="287"/>
      <c r="R288" s="288"/>
      <c r="S288" s="287"/>
      <c r="T288" s="287"/>
      <c r="U288" s="287" t="s">
        <v>52</v>
      </c>
      <c r="V288" s="502"/>
      <c r="W288" s="290"/>
      <c r="X288" s="290"/>
      <c r="Y288" s="326"/>
      <c r="Z288" s="292"/>
      <c r="AA288" s="293">
        <f t="shared" si="129"/>
        <v>0</v>
      </c>
      <c r="AB288" s="294"/>
      <c r="AC288" s="294"/>
      <c r="AD288" s="295"/>
      <c r="AE288" s="296"/>
      <c r="AF288" s="287"/>
      <c r="AG288" s="294" t="s">
        <v>48</v>
      </c>
      <c r="AH288" s="478"/>
      <c r="AI288" s="294" t="s">
        <v>362</v>
      </c>
      <c r="AJ288" s="278"/>
      <c r="AK288" s="328"/>
      <c r="AL288" s="588">
        <f t="shared" ca="1" si="133"/>
        <v>68</v>
      </c>
    </row>
    <row r="289" spans="1:39" s="300" customFormat="1" ht="12" customHeight="1">
      <c r="A289" s="287" t="s">
        <v>764</v>
      </c>
      <c r="B289" s="278" t="s">
        <v>127</v>
      </c>
      <c r="C289" s="278" t="s">
        <v>770</v>
      </c>
      <c r="D289" s="260" t="str">
        <f t="shared" si="125"/>
        <v>LY629755</v>
      </c>
      <c r="E289" s="321">
        <f>VLOOKUP(D289,[4]SEPT!$F$2:$H$14,3,0)</f>
        <v>185073.36</v>
      </c>
      <c r="F289" s="321">
        <v>185073.36</v>
      </c>
      <c r="G289" s="280" t="s">
        <v>158</v>
      </c>
      <c r="H289" s="278" t="s">
        <v>33</v>
      </c>
      <c r="I289" s="281" t="s">
        <v>32</v>
      </c>
      <c r="J289" s="299" t="s">
        <v>132</v>
      </c>
      <c r="K289" s="282">
        <v>43734</v>
      </c>
      <c r="L289" s="334">
        <v>120</v>
      </c>
      <c r="M289" s="278">
        <f t="shared" ca="1" si="134"/>
        <v>11</v>
      </c>
      <c r="N289" s="285">
        <v>9.1800000000000007E-2</v>
      </c>
      <c r="O289" s="324">
        <f t="shared" ca="1" si="131"/>
        <v>519.13077480000004</v>
      </c>
      <c r="P289" s="286">
        <f t="shared" ca="1" si="132"/>
        <v>185592.49077479998</v>
      </c>
      <c r="Q289" s="287"/>
      <c r="R289" s="288"/>
      <c r="S289" s="287"/>
      <c r="T289" s="287"/>
      <c r="U289" s="287" t="s">
        <v>52</v>
      </c>
      <c r="V289" s="502"/>
      <c r="W289" s="290"/>
      <c r="X289" s="290"/>
      <c r="Y289" s="326"/>
      <c r="Z289" s="292"/>
      <c r="AA289" s="293">
        <f t="shared" si="129"/>
        <v>0</v>
      </c>
      <c r="AB289" s="294"/>
      <c r="AC289" s="294"/>
      <c r="AD289" s="295"/>
      <c r="AE289" s="296"/>
      <c r="AF289" s="287"/>
      <c r="AG289" s="294" t="s">
        <v>48</v>
      </c>
      <c r="AH289" s="478"/>
      <c r="AI289" s="294" t="s">
        <v>362</v>
      </c>
      <c r="AJ289" s="278"/>
      <c r="AK289" s="328"/>
      <c r="AL289" s="588">
        <f t="shared" ca="1" si="133"/>
        <v>68</v>
      </c>
    </row>
    <row r="290" spans="1:39" s="300" customFormat="1" ht="12" customHeight="1">
      <c r="A290" s="287" t="s">
        <v>764</v>
      </c>
      <c r="B290" s="278" t="s">
        <v>127</v>
      </c>
      <c r="C290" s="278" t="s">
        <v>771</v>
      </c>
      <c r="D290" s="260" t="str">
        <f t="shared" si="125"/>
        <v>LY629807</v>
      </c>
      <c r="E290" s="321">
        <f>VLOOKUP(D290,[4]SEPT!$F$2:$H$14,3,0)</f>
        <v>185073.36</v>
      </c>
      <c r="F290" s="321">
        <v>185073.36</v>
      </c>
      <c r="G290" s="280" t="s">
        <v>158</v>
      </c>
      <c r="H290" s="278" t="s">
        <v>33</v>
      </c>
      <c r="I290" s="281"/>
      <c r="J290" s="299" t="s">
        <v>132</v>
      </c>
      <c r="K290" s="282">
        <v>43734</v>
      </c>
      <c r="L290" s="334">
        <v>120</v>
      </c>
      <c r="M290" s="278">
        <f t="shared" ca="1" si="134"/>
        <v>11</v>
      </c>
      <c r="N290" s="285">
        <v>9.1800000000000007E-2</v>
      </c>
      <c r="O290" s="324">
        <f t="shared" ca="1" si="131"/>
        <v>519.13077480000004</v>
      </c>
      <c r="P290" s="286">
        <f t="shared" ca="1" si="132"/>
        <v>185592.49077479998</v>
      </c>
      <c r="Q290" s="287"/>
      <c r="R290" s="288"/>
      <c r="S290" s="287"/>
      <c r="T290" s="287"/>
      <c r="U290" s="287" t="s">
        <v>52</v>
      </c>
      <c r="V290" s="502"/>
      <c r="W290" s="290"/>
      <c r="X290" s="290"/>
      <c r="Y290" s="326"/>
      <c r="Z290" s="292"/>
      <c r="AA290" s="293">
        <f t="shared" si="129"/>
        <v>0</v>
      </c>
      <c r="AB290" s="294"/>
      <c r="AC290" s="294"/>
      <c r="AD290" s="295"/>
      <c r="AE290" s="296"/>
      <c r="AF290" s="287"/>
      <c r="AG290" s="294" t="s">
        <v>48</v>
      </c>
      <c r="AH290" s="478"/>
      <c r="AI290" s="294" t="s">
        <v>362</v>
      </c>
      <c r="AJ290" s="278"/>
      <c r="AK290" s="328"/>
      <c r="AL290" s="588">
        <f t="shared" ca="1" si="133"/>
        <v>68</v>
      </c>
    </row>
    <row r="291" spans="1:39" s="300" customFormat="1" ht="12" customHeight="1">
      <c r="A291" s="287" t="s">
        <v>873</v>
      </c>
      <c r="B291" s="278" t="s">
        <v>128</v>
      </c>
      <c r="C291" s="278" t="s">
        <v>874</v>
      </c>
      <c r="D291" s="260" t="str">
        <f t="shared" si="125"/>
        <v>LY628349</v>
      </c>
      <c r="E291" s="321">
        <f>VLOOKUP(D291,[4]SEPT!$F$2:$H$14,3,0)</f>
        <v>201453.72</v>
      </c>
      <c r="F291" s="321">
        <v>201453.72</v>
      </c>
      <c r="G291" s="280" t="s">
        <v>158</v>
      </c>
      <c r="H291" s="278" t="s">
        <v>33</v>
      </c>
      <c r="I291" s="281"/>
      <c r="J291" s="299" t="s">
        <v>132</v>
      </c>
      <c r="K291" s="282">
        <v>43734</v>
      </c>
      <c r="L291" s="334">
        <v>120</v>
      </c>
      <c r="M291" s="278">
        <f t="shared" ca="1" si="134"/>
        <v>11</v>
      </c>
      <c r="N291" s="285">
        <v>9.1800000000000007E-2</v>
      </c>
      <c r="O291" s="324">
        <f t="shared" ca="1" si="131"/>
        <v>565.0776846</v>
      </c>
      <c r="P291" s="286">
        <f t="shared" ca="1" si="132"/>
        <v>202018.79768459999</v>
      </c>
      <c r="Q291" s="287"/>
      <c r="R291" s="288"/>
      <c r="S291" s="287"/>
      <c r="T291" s="287"/>
      <c r="U291" s="287" t="s">
        <v>52</v>
      </c>
      <c r="V291" s="502"/>
      <c r="W291" s="290"/>
      <c r="X291" s="290"/>
      <c r="Y291" s="326"/>
      <c r="Z291" s="292"/>
      <c r="AA291" s="293">
        <f t="shared" si="129"/>
        <v>0</v>
      </c>
      <c r="AB291" s="294"/>
      <c r="AC291" s="294"/>
      <c r="AD291" s="295"/>
      <c r="AE291" s="296"/>
      <c r="AF291" s="287"/>
      <c r="AG291" s="294" t="s">
        <v>48</v>
      </c>
      <c r="AH291" s="478"/>
      <c r="AI291" s="294" t="s">
        <v>362</v>
      </c>
      <c r="AJ291" s="278"/>
      <c r="AK291" s="328"/>
      <c r="AL291" s="588">
        <f t="shared" ca="1" si="133"/>
        <v>53</v>
      </c>
    </row>
    <row r="292" spans="1:39" s="300" customFormat="1" ht="12" customHeight="1">
      <c r="A292" s="278" t="s">
        <v>873</v>
      </c>
      <c r="B292" s="278" t="s">
        <v>128</v>
      </c>
      <c r="C292" s="278" t="s">
        <v>875</v>
      </c>
      <c r="D292" s="260" t="str">
        <f t="shared" si="125"/>
        <v>LY630630</v>
      </c>
      <c r="E292" s="321">
        <f>VLOOKUP(D292,[4]SEPT!$F$2:$H$14,3,0)</f>
        <v>201453.72</v>
      </c>
      <c r="F292" s="279">
        <v>201453.72</v>
      </c>
      <c r="G292" s="280" t="s">
        <v>158</v>
      </c>
      <c r="H292" s="278" t="s">
        <v>33</v>
      </c>
      <c r="I292" s="281" t="s">
        <v>80</v>
      </c>
      <c r="J292" s="299" t="s">
        <v>132</v>
      </c>
      <c r="K292" s="282">
        <v>43734</v>
      </c>
      <c r="L292" s="334">
        <v>120</v>
      </c>
      <c r="M292" s="278">
        <f t="shared" ca="1" si="134"/>
        <v>11</v>
      </c>
      <c r="N292" s="285">
        <v>9.1800000000000007E-2</v>
      </c>
      <c r="O292" s="324">
        <f t="shared" ca="1" si="131"/>
        <v>565.0776846</v>
      </c>
      <c r="P292" s="286">
        <f t="shared" ca="1" si="132"/>
        <v>202018.79768459999</v>
      </c>
      <c r="Q292" s="287"/>
      <c r="R292" s="288"/>
      <c r="S292" s="287"/>
      <c r="T292" s="287"/>
      <c r="U292" s="287" t="s">
        <v>52</v>
      </c>
      <c r="V292" s="502"/>
      <c r="W292" s="290"/>
      <c r="X292" s="290"/>
      <c r="Y292" s="326"/>
      <c r="Z292" s="292"/>
      <c r="AA292" s="293">
        <f t="shared" si="129"/>
        <v>0</v>
      </c>
      <c r="AB292" s="294"/>
      <c r="AC292" s="294"/>
      <c r="AD292" s="295"/>
      <c r="AE292" s="296"/>
      <c r="AF292" s="287"/>
      <c r="AG292" s="294" t="s">
        <v>48</v>
      </c>
      <c r="AH292" s="478"/>
      <c r="AI292" s="294" t="s">
        <v>362</v>
      </c>
      <c r="AJ292" s="278"/>
      <c r="AK292" s="328"/>
      <c r="AL292" s="588">
        <f t="shared" ca="1" si="133"/>
        <v>53</v>
      </c>
    </row>
    <row r="293" spans="1:39" s="300" customFormat="1" ht="12" customHeight="1">
      <c r="A293" s="287" t="s">
        <v>900</v>
      </c>
      <c r="B293" s="278" t="s">
        <v>125</v>
      </c>
      <c r="C293" s="278" t="s">
        <v>907</v>
      </c>
      <c r="D293" s="260" t="str">
        <f t="shared" si="125"/>
        <v>K0865329</v>
      </c>
      <c r="E293" s="321">
        <f>VLOOKUP(D293,[4]SEPT!$F$2:$H$14,3,0)</f>
        <v>215889.92000000001</v>
      </c>
      <c r="F293" s="321">
        <v>215889.92000000001</v>
      </c>
      <c r="G293" s="280" t="s">
        <v>158</v>
      </c>
      <c r="H293" s="278" t="s">
        <v>33</v>
      </c>
      <c r="I293" s="281" t="s">
        <v>44</v>
      </c>
      <c r="J293" s="299" t="s">
        <v>132</v>
      </c>
      <c r="K293" s="282">
        <v>43734</v>
      </c>
      <c r="L293" s="334">
        <v>120</v>
      </c>
      <c r="M293" s="278">
        <f t="shared" ca="1" si="134"/>
        <v>11</v>
      </c>
      <c r="N293" s="285">
        <v>9.1800000000000007E-2</v>
      </c>
      <c r="O293" s="324">
        <f t="shared" ca="1" si="131"/>
        <v>605.57122560000005</v>
      </c>
      <c r="P293" s="286">
        <f t="shared" ca="1" si="132"/>
        <v>216495.49122560001</v>
      </c>
      <c r="Q293" s="287"/>
      <c r="R293" s="288"/>
      <c r="S293" s="287"/>
      <c r="T293" s="287"/>
      <c r="U293" s="287" t="s">
        <v>52</v>
      </c>
      <c r="V293" s="502"/>
      <c r="W293" s="290"/>
      <c r="X293" s="290"/>
      <c r="Y293" s="326"/>
      <c r="Z293" s="292"/>
      <c r="AA293" s="293">
        <f t="shared" si="129"/>
        <v>0</v>
      </c>
      <c r="AB293" s="294"/>
      <c r="AC293" s="294"/>
      <c r="AD293" s="295"/>
      <c r="AE293" s="296"/>
      <c r="AF293" s="287"/>
      <c r="AG293" s="294" t="s">
        <v>48</v>
      </c>
      <c r="AH293" s="478"/>
      <c r="AI293" s="294" t="s">
        <v>362</v>
      </c>
      <c r="AJ293" s="278"/>
      <c r="AK293" s="328"/>
      <c r="AL293" s="588">
        <f t="shared" ca="1" si="133"/>
        <v>42</v>
      </c>
    </row>
    <row r="294" spans="1:39" s="300" customFormat="1" ht="12" customHeight="1">
      <c r="A294" s="287" t="s">
        <v>900</v>
      </c>
      <c r="B294" s="278" t="s">
        <v>125</v>
      </c>
      <c r="C294" s="278" t="s">
        <v>908</v>
      </c>
      <c r="D294" s="260" t="str">
        <f t="shared" si="125"/>
        <v>K0865749</v>
      </c>
      <c r="E294" s="321">
        <f>VLOOKUP(D294,[4]SEPT!$F$2:$H$14,3,0)</f>
        <v>215889.92000000001</v>
      </c>
      <c r="F294" s="321">
        <v>215889.92000000001</v>
      </c>
      <c r="G294" s="280" t="s">
        <v>158</v>
      </c>
      <c r="H294" s="278" t="s">
        <v>33</v>
      </c>
      <c r="I294" s="281" t="s">
        <v>69</v>
      </c>
      <c r="J294" s="299" t="s">
        <v>132</v>
      </c>
      <c r="K294" s="282">
        <v>43734</v>
      </c>
      <c r="L294" s="334">
        <v>120</v>
      </c>
      <c r="M294" s="278">
        <f t="shared" ca="1" si="134"/>
        <v>11</v>
      </c>
      <c r="N294" s="285">
        <v>9.1800000000000007E-2</v>
      </c>
      <c r="O294" s="324">
        <f t="shared" ca="1" si="131"/>
        <v>605.57122560000005</v>
      </c>
      <c r="P294" s="286">
        <f t="shared" ca="1" si="132"/>
        <v>216495.49122560001</v>
      </c>
      <c r="Q294" s="287"/>
      <c r="R294" s="288"/>
      <c r="S294" s="287" t="s">
        <v>1330</v>
      </c>
      <c r="T294" s="287" t="s">
        <v>1331</v>
      </c>
      <c r="U294" s="287" t="s">
        <v>40</v>
      </c>
      <c r="V294" s="502">
        <v>43738</v>
      </c>
      <c r="W294" s="290"/>
      <c r="X294" s="290"/>
      <c r="Y294" s="326">
        <v>226400</v>
      </c>
      <c r="Z294" s="292">
        <f>5000+19000</f>
        <v>24000</v>
      </c>
      <c r="AA294" s="293">
        <f t="shared" si="129"/>
        <v>202400</v>
      </c>
      <c r="AB294" s="294" t="s">
        <v>68</v>
      </c>
      <c r="AC294" s="294" t="s">
        <v>1364</v>
      </c>
      <c r="AD294" s="295">
        <v>43738</v>
      </c>
      <c r="AE294" s="296"/>
      <c r="AF294" s="287" t="s">
        <v>899</v>
      </c>
      <c r="AG294" s="294" t="s">
        <v>48</v>
      </c>
      <c r="AH294" s="478"/>
      <c r="AI294" s="294" t="s">
        <v>362</v>
      </c>
      <c r="AJ294" s="278"/>
      <c r="AK294" s="328"/>
      <c r="AL294" s="588">
        <f t="shared" ca="1" si="133"/>
        <v>42</v>
      </c>
    </row>
    <row r="295" spans="1:39" s="300" customFormat="1" ht="12" customHeight="1">
      <c r="A295" s="287" t="s">
        <v>920</v>
      </c>
      <c r="B295" s="278" t="s">
        <v>126</v>
      </c>
      <c r="C295" s="278" t="s">
        <v>933</v>
      </c>
      <c r="D295" s="260" t="str">
        <f t="shared" si="125"/>
        <v>L0868214</v>
      </c>
      <c r="E295" s="321">
        <f>VLOOKUP(D295,[4]SEPT!$F$2:$H$14,3,0)</f>
        <v>212740.52</v>
      </c>
      <c r="F295" s="321">
        <v>212740.52</v>
      </c>
      <c r="G295" s="280" t="s">
        <v>158</v>
      </c>
      <c r="H295" s="278" t="s">
        <v>33</v>
      </c>
      <c r="I295" s="281" t="s">
        <v>69</v>
      </c>
      <c r="J295" s="299" t="s">
        <v>132</v>
      </c>
      <c r="K295" s="282">
        <v>43734</v>
      </c>
      <c r="L295" s="334">
        <v>120</v>
      </c>
      <c r="M295" s="278">
        <f t="shared" ca="1" si="134"/>
        <v>11</v>
      </c>
      <c r="N295" s="285">
        <v>9.1800000000000007E-2</v>
      </c>
      <c r="O295" s="324">
        <f t="shared" ca="1" si="131"/>
        <v>596.73715860000004</v>
      </c>
      <c r="P295" s="286">
        <f t="shared" ca="1" si="132"/>
        <v>213337.2571586</v>
      </c>
      <c r="Q295" s="287"/>
      <c r="R295" s="288"/>
      <c r="S295" s="287"/>
      <c r="T295" s="287"/>
      <c r="U295" s="287" t="s">
        <v>52</v>
      </c>
      <c r="V295" s="502"/>
      <c r="W295" s="290"/>
      <c r="X295" s="290"/>
      <c r="Y295" s="326"/>
      <c r="Z295" s="292"/>
      <c r="AA295" s="293">
        <f t="shared" si="129"/>
        <v>0</v>
      </c>
      <c r="AB295" s="294"/>
      <c r="AC295" s="294"/>
      <c r="AD295" s="295"/>
      <c r="AE295" s="296"/>
      <c r="AF295" s="287"/>
      <c r="AG295" s="294" t="s">
        <v>48</v>
      </c>
      <c r="AH295" s="478"/>
      <c r="AI295" s="294" t="s">
        <v>362</v>
      </c>
      <c r="AJ295" s="278"/>
      <c r="AK295" s="328"/>
      <c r="AL295" s="588">
        <f t="shared" ca="1" si="133"/>
        <v>39</v>
      </c>
    </row>
    <row r="296" spans="1:39" s="300" customFormat="1" ht="12" customHeight="1">
      <c r="A296" s="287" t="s">
        <v>920</v>
      </c>
      <c r="B296" s="278" t="s">
        <v>128</v>
      </c>
      <c r="C296" s="278" t="s">
        <v>942</v>
      </c>
      <c r="D296" s="260" t="str">
        <f t="shared" si="125"/>
        <v>LY629702</v>
      </c>
      <c r="E296" s="321">
        <f>VLOOKUP(D296,[4]SEPT!$F$2:$H$14,3,0)</f>
        <v>201453.72</v>
      </c>
      <c r="F296" s="321">
        <v>201453.72</v>
      </c>
      <c r="G296" s="280" t="s">
        <v>158</v>
      </c>
      <c r="H296" s="278" t="s">
        <v>33</v>
      </c>
      <c r="I296" s="281" t="s">
        <v>55</v>
      </c>
      <c r="J296" s="299" t="s">
        <v>132</v>
      </c>
      <c r="K296" s="282">
        <v>43734</v>
      </c>
      <c r="L296" s="334">
        <v>120</v>
      </c>
      <c r="M296" s="278">
        <f t="shared" ca="1" si="134"/>
        <v>11</v>
      </c>
      <c r="N296" s="285">
        <v>9.1800000000000007E-2</v>
      </c>
      <c r="O296" s="324">
        <f t="shared" ca="1" si="131"/>
        <v>565.0776846</v>
      </c>
      <c r="P296" s="286">
        <f t="shared" ca="1" si="132"/>
        <v>202018.79768459999</v>
      </c>
      <c r="Q296" s="287"/>
      <c r="R296" s="288"/>
      <c r="S296" s="287"/>
      <c r="T296" s="287"/>
      <c r="U296" s="287" t="s">
        <v>52</v>
      </c>
      <c r="V296" s="502"/>
      <c r="W296" s="290"/>
      <c r="X296" s="290"/>
      <c r="Y296" s="326"/>
      <c r="Z296" s="292"/>
      <c r="AA296" s="293">
        <f t="shared" si="129"/>
        <v>0</v>
      </c>
      <c r="AB296" s="294"/>
      <c r="AC296" s="294"/>
      <c r="AD296" s="295"/>
      <c r="AE296" s="296"/>
      <c r="AF296" s="287"/>
      <c r="AG296" s="294" t="s">
        <v>48</v>
      </c>
      <c r="AH296" s="478"/>
      <c r="AI296" s="294" t="s">
        <v>362</v>
      </c>
      <c r="AJ296" s="278"/>
      <c r="AK296" s="328"/>
      <c r="AL296" s="588">
        <f t="shared" ca="1" si="133"/>
        <v>39</v>
      </c>
    </row>
    <row r="297" spans="1:39" s="408" customFormat="1" ht="18.75">
      <c r="A297" s="427" t="s">
        <v>149</v>
      </c>
      <c r="B297" s="427"/>
      <c r="C297" s="427"/>
      <c r="D297" s="427" t="s">
        <v>149</v>
      </c>
      <c r="E297" s="427"/>
      <c r="F297" s="427"/>
      <c r="G297" s="427"/>
      <c r="H297" s="427"/>
      <c r="I297" s="427"/>
      <c r="J297" s="427"/>
      <c r="K297" s="427" t="s">
        <v>149</v>
      </c>
      <c r="L297" s="427"/>
      <c r="M297" s="427"/>
      <c r="N297" s="463"/>
      <c r="O297" s="428"/>
      <c r="P297" s="428"/>
      <c r="Q297" s="427"/>
      <c r="R297" s="428"/>
      <c r="S297" s="427"/>
      <c r="T297" s="427" t="s">
        <v>149</v>
      </c>
      <c r="U297" s="427" t="s">
        <v>202</v>
      </c>
      <c r="V297" s="427" t="s">
        <v>149</v>
      </c>
      <c r="W297" s="427"/>
      <c r="X297" s="427"/>
      <c r="Y297" s="427"/>
      <c r="Z297" s="429" t="s">
        <v>149</v>
      </c>
      <c r="AA297" s="430"/>
      <c r="AB297" s="427"/>
      <c r="AC297" s="427" t="s">
        <v>149</v>
      </c>
      <c r="AD297" s="427"/>
      <c r="AE297" s="427"/>
      <c r="AF297" s="427" t="s">
        <v>149</v>
      </c>
      <c r="AG297" s="427"/>
      <c r="AH297" s="427"/>
      <c r="AI297" s="427" t="s">
        <v>149</v>
      </c>
      <c r="AJ297" s="427"/>
      <c r="AK297" s="427"/>
      <c r="AL297" s="591"/>
    </row>
    <row r="298" spans="1:39" ht="12" customHeight="1">
      <c r="A298" s="278" t="s">
        <v>304</v>
      </c>
      <c r="B298" s="278" t="s">
        <v>235</v>
      </c>
      <c r="C298" s="278" t="s">
        <v>305</v>
      </c>
      <c r="D298" s="260" t="s">
        <v>328</v>
      </c>
      <c r="E298" s="279">
        <v>608007.55000000005</v>
      </c>
      <c r="F298" s="459">
        <v>608007.55000000005</v>
      </c>
      <c r="G298" s="280" t="s">
        <v>158</v>
      </c>
      <c r="H298" s="322" t="s">
        <v>212</v>
      </c>
      <c r="I298" s="281" t="s">
        <v>895</v>
      </c>
      <c r="J298" s="278" t="s">
        <v>150</v>
      </c>
      <c r="K298" s="282">
        <v>43738</v>
      </c>
      <c r="L298" s="596">
        <v>43753</v>
      </c>
      <c r="M298" s="278">
        <f ca="1">+$A$1-K298</f>
        <v>7</v>
      </c>
      <c r="N298" s="285">
        <v>9.2899999999999996E-2</v>
      </c>
      <c r="O298" s="337">
        <f t="shared" ref="O298:O310" ca="1" si="135">F298*N298/360*M298</f>
        <v>1098.2980826805556</v>
      </c>
      <c r="P298" s="286">
        <f t="shared" ref="P298:P310" ca="1" si="136">O298+F298</f>
        <v>609105.8480826806</v>
      </c>
      <c r="Q298" s="287"/>
      <c r="S298" s="287"/>
      <c r="T298" s="287"/>
      <c r="U298" s="294" t="s">
        <v>52</v>
      </c>
      <c r="V298" s="502"/>
      <c r="W298" s="290"/>
      <c r="X298" s="290"/>
      <c r="Y298" s="326"/>
      <c r="AA298" s="293">
        <f t="shared" ref="AA298:AA323" si="137">+Y298-Z298</f>
        <v>0</v>
      </c>
      <c r="AC298" s="294"/>
      <c r="AD298" s="295"/>
      <c r="AE298" s="296"/>
      <c r="AF298" s="287"/>
      <c r="AG298" s="294" t="s">
        <v>48</v>
      </c>
      <c r="AH298" s="478"/>
      <c r="AI298" s="278" t="s">
        <v>220</v>
      </c>
      <c r="AJ298" s="338">
        <f>VLOOKUP(D298,[5]Hoja1!$F$5:$I$32,4,0)</f>
        <v>627.6</v>
      </c>
      <c r="AK298" s="339">
        <f t="shared" ref="AK298:AK306" ca="1" si="138">+AJ298-O298</f>
        <v>-470.69808268055556</v>
      </c>
      <c r="AL298" s="588">
        <f t="shared" ref="AL298:AL311" ca="1" si="139">+$A$1-A298</f>
        <v>305</v>
      </c>
    </row>
    <row r="299" spans="1:39" ht="12" customHeight="1">
      <c r="A299" s="278" t="s">
        <v>307</v>
      </c>
      <c r="B299" s="278" t="s">
        <v>308</v>
      </c>
      <c r="C299" s="278" t="s">
        <v>309</v>
      </c>
      <c r="D299" s="260" t="s">
        <v>327</v>
      </c>
      <c r="E299" s="279">
        <v>759041.21</v>
      </c>
      <c r="F299" s="459">
        <v>759041.21</v>
      </c>
      <c r="G299" s="280" t="s">
        <v>158</v>
      </c>
      <c r="H299" s="322" t="s">
        <v>212</v>
      </c>
      <c r="I299" s="281" t="s">
        <v>44</v>
      </c>
      <c r="J299" s="278" t="s">
        <v>150</v>
      </c>
      <c r="K299" s="282">
        <v>43738</v>
      </c>
      <c r="L299" s="301">
        <v>43753</v>
      </c>
      <c r="M299" s="278">
        <f ca="1">+$A$1-K299</f>
        <v>7</v>
      </c>
      <c r="N299" s="285">
        <v>9.2899999999999996E-2</v>
      </c>
      <c r="O299" s="337">
        <f t="shared" ca="1" si="135"/>
        <v>1371.1236079527778</v>
      </c>
      <c r="P299" s="286">
        <f t="shared" ca="1" si="136"/>
        <v>760412.33360795269</v>
      </c>
      <c r="Q299" s="287"/>
      <c r="S299" s="287" t="s">
        <v>993</v>
      </c>
      <c r="T299" s="287" t="s">
        <v>994</v>
      </c>
      <c r="U299" s="294" t="s">
        <v>37</v>
      </c>
      <c r="V299" s="502">
        <v>43711</v>
      </c>
      <c r="W299" s="290"/>
      <c r="X299" s="290"/>
      <c r="Y299" s="326">
        <v>925900</v>
      </c>
      <c r="AA299" s="293">
        <f t="shared" si="137"/>
        <v>925900</v>
      </c>
      <c r="AC299" s="294"/>
      <c r="AD299" s="295"/>
      <c r="AE299" s="296"/>
      <c r="AF299" s="287" t="s">
        <v>66</v>
      </c>
      <c r="AG299" s="294" t="s">
        <v>48</v>
      </c>
      <c r="AH299" s="478"/>
      <c r="AI299" s="278" t="s">
        <v>220</v>
      </c>
      <c r="AJ299" s="338">
        <f>VLOOKUP(D299,[5]Hoja1!$F$5:$I$32,4,0)</f>
        <v>783.5</v>
      </c>
      <c r="AK299" s="339">
        <f t="shared" ca="1" si="138"/>
        <v>-587.62360795277777</v>
      </c>
      <c r="AL299" s="588">
        <f t="shared" ca="1" si="139"/>
        <v>299</v>
      </c>
    </row>
    <row r="300" spans="1:39" s="300" customFormat="1" ht="12" customHeight="1">
      <c r="A300" s="278" t="s">
        <v>264</v>
      </c>
      <c r="B300" s="278" t="s">
        <v>74</v>
      </c>
      <c r="C300" s="278" t="s">
        <v>265</v>
      </c>
      <c r="D300" s="260" t="str">
        <f>+RIGHT(C300,8)</f>
        <v>JH017737</v>
      </c>
      <c r="E300" s="321">
        <v>215575.2</v>
      </c>
      <c r="F300" s="495">
        <v>215575.2</v>
      </c>
      <c r="G300" s="280" t="s">
        <v>158</v>
      </c>
      <c r="H300" s="322" t="s">
        <v>212</v>
      </c>
      <c r="I300" s="281" t="s">
        <v>80</v>
      </c>
      <c r="J300" s="278" t="s">
        <v>150</v>
      </c>
      <c r="K300" s="282">
        <v>43738</v>
      </c>
      <c r="L300" s="301">
        <v>43759</v>
      </c>
      <c r="M300" s="278">
        <f ca="1">+$A$1-K300</f>
        <v>7</v>
      </c>
      <c r="N300" s="285">
        <v>9.2899999999999996E-2</v>
      </c>
      <c r="O300" s="337">
        <f t="shared" ca="1" si="135"/>
        <v>389.412646</v>
      </c>
      <c r="P300" s="286">
        <f t="shared" ca="1" si="136"/>
        <v>215964.61264600002</v>
      </c>
      <c r="Q300" s="287"/>
      <c r="R300" s="288"/>
      <c r="S300" s="287"/>
      <c r="T300" s="287"/>
      <c r="U300" s="294" t="s">
        <v>52</v>
      </c>
      <c r="V300" s="502"/>
      <c r="W300" s="290"/>
      <c r="X300" s="290"/>
      <c r="Y300" s="326"/>
      <c r="Z300" s="292"/>
      <c r="AA300" s="293">
        <f t="shared" si="137"/>
        <v>0</v>
      </c>
      <c r="AB300" s="294"/>
      <c r="AC300" s="294"/>
      <c r="AD300" s="295"/>
      <c r="AE300" s="296"/>
      <c r="AF300" s="287"/>
      <c r="AG300" s="294" t="s">
        <v>48</v>
      </c>
      <c r="AH300" s="478"/>
      <c r="AI300" s="278" t="s">
        <v>223</v>
      </c>
      <c r="AJ300" s="338">
        <f>VLOOKUP(D300,[5]Hoja1!$F$5:$I$32,4,0)</f>
        <v>222.52</v>
      </c>
      <c r="AK300" s="339">
        <f t="shared" ca="1" si="138"/>
        <v>-166.89264599999998</v>
      </c>
      <c r="AL300" s="588">
        <f t="shared" ca="1" si="139"/>
        <v>397</v>
      </c>
      <c r="AM300" s="300" t="s">
        <v>1368</v>
      </c>
    </row>
    <row r="301" spans="1:39" s="300" customFormat="1" ht="12" customHeight="1">
      <c r="A301" s="301" t="s">
        <v>286</v>
      </c>
      <c r="B301" s="278" t="s">
        <v>120</v>
      </c>
      <c r="C301" s="278" t="s">
        <v>289</v>
      </c>
      <c r="D301" s="260" t="str">
        <f>+RIGHT(C301,8)</f>
        <v>K9118947</v>
      </c>
      <c r="E301" s="279">
        <v>217505.14</v>
      </c>
      <c r="F301" s="495">
        <v>217505.14</v>
      </c>
      <c r="G301" s="280" t="s">
        <v>158</v>
      </c>
      <c r="H301" s="322" t="s">
        <v>212</v>
      </c>
      <c r="I301" s="281" t="s">
        <v>39</v>
      </c>
      <c r="J301" s="278" t="s">
        <v>150</v>
      </c>
      <c r="K301" s="282">
        <v>43738</v>
      </c>
      <c r="L301" s="301">
        <v>43776</v>
      </c>
      <c r="M301" s="278">
        <f ca="1">+$A$1-K301</f>
        <v>7</v>
      </c>
      <c r="N301" s="285">
        <v>9.2899999999999996E-2</v>
      </c>
      <c r="O301" s="337">
        <f t="shared" ca="1" si="135"/>
        <v>392.89886817222219</v>
      </c>
      <c r="P301" s="286">
        <f t="shared" ca="1" si="136"/>
        <v>217898.03886817224</v>
      </c>
      <c r="Q301" s="287"/>
      <c r="R301" s="288"/>
      <c r="S301" s="287" t="s">
        <v>1028</v>
      </c>
      <c r="T301" s="287" t="s">
        <v>1029</v>
      </c>
      <c r="U301" s="287" t="s">
        <v>202</v>
      </c>
      <c r="V301" s="502">
        <v>43720</v>
      </c>
      <c r="W301" s="290" t="s">
        <v>919</v>
      </c>
      <c r="X301" s="503">
        <f>+AE301+30</f>
        <v>43756</v>
      </c>
      <c r="Y301" s="326">
        <v>208040</v>
      </c>
      <c r="Z301" s="292"/>
      <c r="AA301" s="293">
        <f t="shared" si="137"/>
        <v>208040</v>
      </c>
      <c r="AB301" s="294"/>
      <c r="AC301" s="294"/>
      <c r="AD301" s="295"/>
      <c r="AE301" s="296">
        <v>43726</v>
      </c>
      <c r="AF301" s="287" t="s">
        <v>65</v>
      </c>
      <c r="AG301" s="294" t="s">
        <v>48</v>
      </c>
      <c r="AH301" s="478"/>
      <c r="AI301" s="294" t="s">
        <v>220</v>
      </c>
      <c r="AJ301" s="338">
        <f>VLOOKUP(D301,[5]Hoja1!$F$5:$I$32,4,0)</f>
        <v>224.51</v>
      </c>
      <c r="AK301" s="339">
        <f t="shared" ca="1" si="138"/>
        <v>-168.3888681722222</v>
      </c>
      <c r="AL301" s="588">
        <f t="shared" ca="1" si="139"/>
        <v>320</v>
      </c>
    </row>
    <row r="302" spans="1:39" s="300" customFormat="1" ht="12" customHeight="1">
      <c r="A302" s="301" t="s">
        <v>298</v>
      </c>
      <c r="B302" s="278" t="s">
        <v>190</v>
      </c>
      <c r="C302" s="278" t="s">
        <v>301</v>
      </c>
      <c r="D302" s="260" t="str">
        <f>+RIGHT(C302,8)</f>
        <v>JE150461</v>
      </c>
      <c r="E302" s="279">
        <v>521073.5</v>
      </c>
      <c r="F302" s="495">
        <v>521073.5</v>
      </c>
      <c r="G302" s="280" t="s">
        <v>158</v>
      </c>
      <c r="H302" s="322" t="s">
        <v>212</v>
      </c>
      <c r="I302" s="281" t="s">
        <v>44</v>
      </c>
      <c r="J302" s="278" t="s">
        <v>150</v>
      </c>
      <c r="K302" s="282">
        <v>43738</v>
      </c>
      <c r="L302" s="301">
        <v>43776</v>
      </c>
      <c r="M302" s="278">
        <f ca="1">+$A$1-K302</f>
        <v>7</v>
      </c>
      <c r="N302" s="285">
        <v>9.2899999999999996E-2</v>
      </c>
      <c r="O302" s="337">
        <f t="shared" ca="1" si="135"/>
        <v>941.26138069444437</v>
      </c>
      <c r="P302" s="286">
        <f t="shared" ca="1" si="136"/>
        <v>522014.76138069446</v>
      </c>
      <c r="Q302" s="287"/>
      <c r="R302" s="288"/>
      <c r="S302" s="287"/>
      <c r="T302" s="287"/>
      <c r="U302" s="294" t="s">
        <v>52</v>
      </c>
      <c r="V302" s="502"/>
      <c r="W302" s="290"/>
      <c r="X302" s="290"/>
      <c r="Y302" s="326"/>
      <c r="Z302" s="292"/>
      <c r="AA302" s="293">
        <f t="shared" si="137"/>
        <v>0</v>
      </c>
      <c r="AB302" s="294"/>
      <c r="AC302" s="294"/>
      <c r="AD302" s="295"/>
      <c r="AE302" s="296"/>
      <c r="AF302" s="287"/>
      <c r="AG302" s="294" t="s">
        <v>48</v>
      </c>
      <c r="AH302" s="478"/>
      <c r="AI302" s="294" t="s">
        <v>220</v>
      </c>
      <c r="AJ302" s="338">
        <f>VLOOKUP(D302,[5]Hoja1!$F$5:$I$32,4,0)</f>
        <v>537.86</v>
      </c>
      <c r="AK302" s="339">
        <f t="shared" ca="1" si="138"/>
        <v>-403.40138069444436</v>
      </c>
      <c r="AL302" s="588">
        <f t="shared" ca="1" si="139"/>
        <v>312</v>
      </c>
    </row>
    <row r="303" spans="1:39" s="300" customFormat="1" ht="12" customHeight="1">
      <c r="A303" s="301" t="s">
        <v>291</v>
      </c>
      <c r="B303" s="278" t="s">
        <v>292</v>
      </c>
      <c r="C303" s="278" t="s">
        <v>293</v>
      </c>
      <c r="D303" s="260" t="str">
        <f>+RIGHT(C303,8)</f>
        <v>KC602122</v>
      </c>
      <c r="E303" s="279">
        <v>777151.2</v>
      </c>
      <c r="F303" s="279">
        <v>777151.2</v>
      </c>
      <c r="G303" s="280" t="s">
        <v>158</v>
      </c>
      <c r="H303" s="278" t="s">
        <v>33</v>
      </c>
      <c r="I303" s="281" t="s">
        <v>69</v>
      </c>
      <c r="J303" s="278" t="s">
        <v>150</v>
      </c>
      <c r="K303" s="282">
        <v>43738</v>
      </c>
      <c r="L303" s="301">
        <v>43809</v>
      </c>
      <c r="M303" s="278">
        <f t="shared" ref="M303:M316" ca="1" si="140">$A$1-K303</f>
        <v>7</v>
      </c>
      <c r="N303" s="285">
        <v>9.2899999999999996E-2</v>
      </c>
      <c r="O303" s="337">
        <f t="shared" ca="1" si="135"/>
        <v>1403.8372926666666</v>
      </c>
      <c r="P303" s="286">
        <f t="shared" ca="1" si="136"/>
        <v>778555.03729266662</v>
      </c>
      <c r="Q303" s="287"/>
      <c r="R303" s="288"/>
      <c r="S303" s="287"/>
      <c r="T303" s="287"/>
      <c r="U303" s="294" t="s">
        <v>52</v>
      </c>
      <c r="V303" s="502"/>
      <c r="W303" s="290"/>
      <c r="X303" s="290"/>
      <c r="Y303" s="326"/>
      <c r="Z303" s="292"/>
      <c r="AA303" s="293">
        <f t="shared" si="137"/>
        <v>0</v>
      </c>
      <c r="AB303" s="294"/>
      <c r="AC303" s="294"/>
      <c r="AD303" s="295"/>
      <c r="AE303" s="296"/>
      <c r="AF303" s="287"/>
      <c r="AG303" s="294" t="s">
        <v>48</v>
      </c>
      <c r="AH303" s="478"/>
      <c r="AI303" s="278" t="s">
        <v>220</v>
      </c>
      <c r="AJ303" s="338">
        <f>VLOOKUP(D303,[5]Hoja1!$F$5:$I$32,4,0)</f>
        <v>802.19</v>
      </c>
      <c r="AK303" s="339">
        <f t="shared" ca="1" si="138"/>
        <v>-601.64729266666654</v>
      </c>
      <c r="AL303" s="588">
        <f t="shared" ca="1" si="139"/>
        <v>319</v>
      </c>
    </row>
    <row r="304" spans="1:39" s="300" customFormat="1" ht="12" customHeight="1">
      <c r="A304" s="301" t="s">
        <v>296</v>
      </c>
      <c r="B304" s="278" t="s">
        <v>83</v>
      </c>
      <c r="C304" s="278" t="s">
        <v>297</v>
      </c>
      <c r="D304" s="260" t="s">
        <v>667</v>
      </c>
      <c r="E304" s="279">
        <v>219114.72</v>
      </c>
      <c r="F304" s="279">
        <v>219114.72</v>
      </c>
      <c r="G304" s="280" t="s">
        <v>158</v>
      </c>
      <c r="H304" s="278" t="s">
        <v>33</v>
      </c>
      <c r="I304" s="281" t="s">
        <v>80</v>
      </c>
      <c r="J304" s="278" t="s">
        <v>150</v>
      </c>
      <c r="K304" s="282">
        <v>43738</v>
      </c>
      <c r="L304" s="301">
        <v>43838</v>
      </c>
      <c r="M304" s="278">
        <f t="shared" ca="1" si="140"/>
        <v>7</v>
      </c>
      <c r="N304" s="285">
        <v>9.2899999999999996E-2</v>
      </c>
      <c r="O304" s="337">
        <f t="shared" ca="1" si="135"/>
        <v>395.80639559999997</v>
      </c>
      <c r="P304" s="286">
        <f t="shared" ca="1" si="136"/>
        <v>219510.5263956</v>
      </c>
      <c r="Q304" s="287"/>
      <c r="R304" s="288"/>
      <c r="S304" s="287"/>
      <c r="T304" s="287"/>
      <c r="U304" s="294" t="s">
        <v>52</v>
      </c>
      <c r="V304" s="502"/>
      <c r="W304" s="290"/>
      <c r="X304" s="290"/>
      <c r="Y304" s="326"/>
      <c r="Z304" s="292"/>
      <c r="AA304" s="293">
        <f t="shared" si="137"/>
        <v>0</v>
      </c>
      <c r="AB304" s="294"/>
      <c r="AC304" s="294"/>
      <c r="AD304" s="295"/>
      <c r="AE304" s="296"/>
      <c r="AF304" s="287"/>
      <c r="AG304" s="294" t="s">
        <v>48</v>
      </c>
      <c r="AH304" s="478"/>
      <c r="AI304" s="278" t="s">
        <v>223</v>
      </c>
      <c r="AJ304" s="338">
        <f>VLOOKUP(D304,[5]Hoja1!$F$5:$I$32,4,0)</f>
        <v>226.18</v>
      </c>
      <c r="AK304" s="339">
        <f t="shared" ca="1" si="138"/>
        <v>-169.62639559999997</v>
      </c>
      <c r="AL304" s="588">
        <f t="shared" ca="1" si="139"/>
        <v>313</v>
      </c>
    </row>
    <row r="305" spans="1:39" s="300" customFormat="1" ht="12" customHeight="1">
      <c r="A305" s="278" t="s">
        <v>357</v>
      </c>
      <c r="B305" s="278" t="s">
        <v>300</v>
      </c>
      <c r="C305" s="278" t="s">
        <v>358</v>
      </c>
      <c r="D305" s="260" t="str">
        <f>+RIGHT(C305,8)</f>
        <v>KN761780</v>
      </c>
      <c r="E305" s="279">
        <v>806753.06</v>
      </c>
      <c r="F305" s="279">
        <v>806753.06</v>
      </c>
      <c r="G305" s="280" t="s">
        <v>158</v>
      </c>
      <c r="H305" s="278" t="s">
        <v>33</v>
      </c>
      <c r="I305" s="281" t="s">
        <v>55</v>
      </c>
      <c r="J305" s="278" t="s">
        <v>150</v>
      </c>
      <c r="K305" s="282">
        <v>43738</v>
      </c>
      <c r="L305" s="283">
        <v>43869</v>
      </c>
      <c r="M305" s="278">
        <f t="shared" ca="1" si="140"/>
        <v>7</v>
      </c>
      <c r="N305" s="285">
        <v>9.2899999999999996E-2</v>
      </c>
      <c r="O305" s="337">
        <f t="shared" ca="1" si="135"/>
        <v>1457.3097636611112</v>
      </c>
      <c r="P305" s="286">
        <f t="shared" ca="1" si="136"/>
        <v>808210.36976366118</v>
      </c>
      <c r="Q305" s="287"/>
      <c r="R305" s="288"/>
      <c r="S305" s="287"/>
      <c r="T305" s="287"/>
      <c r="U305" s="287" t="s">
        <v>52</v>
      </c>
      <c r="V305" s="502"/>
      <c r="W305" s="290"/>
      <c r="X305" s="290"/>
      <c r="Y305" s="326"/>
      <c r="Z305" s="292"/>
      <c r="AA305" s="293">
        <f t="shared" si="137"/>
        <v>0</v>
      </c>
      <c r="AB305" s="294"/>
      <c r="AC305" s="294"/>
      <c r="AD305" s="295"/>
      <c r="AE305" s="296"/>
      <c r="AF305" s="287"/>
      <c r="AG305" s="294" t="s">
        <v>48</v>
      </c>
      <c r="AH305" s="478"/>
      <c r="AI305" s="378" t="s">
        <v>220</v>
      </c>
      <c r="AJ305" s="338">
        <f>VLOOKUP(D305,[5]Hoja1!$F$5:$I$32,4,0)</f>
        <v>832.75</v>
      </c>
      <c r="AK305" s="339">
        <f t="shared" ca="1" si="138"/>
        <v>-624.55976366111122</v>
      </c>
      <c r="AL305" s="588">
        <f t="shared" ca="1" si="139"/>
        <v>221</v>
      </c>
    </row>
    <row r="306" spans="1:39" s="300" customFormat="1" ht="12" customHeight="1">
      <c r="A306" s="278" t="s">
        <v>317</v>
      </c>
      <c r="B306" s="278" t="s">
        <v>179</v>
      </c>
      <c r="C306" s="278" t="s">
        <v>318</v>
      </c>
      <c r="D306" s="260" t="str">
        <f>+RIGHT(C306,8)</f>
        <v>KC602901</v>
      </c>
      <c r="E306" s="279">
        <v>702355.64</v>
      </c>
      <c r="F306" s="279">
        <v>702355.64</v>
      </c>
      <c r="G306" s="280" t="s">
        <v>158</v>
      </c>
      <c r="H306" s="278" t="s">
        <v>33</v>
      </c>
      <c r="I306" s="281" t="s">
        <v>44</v>
      </c>
      <c r="J306" s="278" t="s">
        <v>150</v>
      </c>
      <c r="K306" s="282">
        <v>43738</v>
      </c>
      <c r="L306" s="283">
        <v>43869</v>
      </c>
      <c r="M306" s="278">
        <f t="shared" ca="1" si="140"/>
        <v>7</v>
      </c>
      <c r="N306" s="285">
        <v>9.2899999999999996E-2</v>
      </c>
      <c r="O306" s="337">
        <f t="shared" ca="1" si="135"/>
        <v>1268.7274241444443</v>
      </c>
      <c r="P306" s="286">
        <f t="shared" ca="1" si="136"/>
        <v>703624.36742414441</v>
      </c>
      <c r="Q306" s="287"/>
      <c r="R306" s="288"/>
      <c r="S306" s="287"/>
      <c r="T306" s="287"/>
      <c r="U306" s="287" t="s">
        <v>52</v>
      </c>
      <c r="V306" s="502"/>
      <c r="W306" s="290"/>
      <c r="X306" s="290"/>
      <c r="Y306" s="326"/>
      <c r="Z306" s="292"/>
      <c r="AA306" s="293">
        <f t="shared" si="137"/>
        <v>0</v>
      </c>
      <c r="AB306" s="294"/>
      <c r="AC306" s="294"/>
      <c r="AD306" s="295"/>
      <c r="AE306" s="296"/>
      <c r="AF306" s="287"/>
      <c r="AG306" s="294" t="s">
        <v>48</v>
      </c>
      <c r="AH306" s="478"/>
      <c r="AI306" s="294" t="s">
        <v>835</v>
      </c>
      <c r="AJ306" s="338">
        <f>VLOOKUP(D306,[5]Hoja1!$F$5:$I$32,4,0)</f>
        <v>724.99</v>
      </c>
      <c r="AK306" s="339">
        <f t="shared" ca="1" si="138"/>
        <v>-543.73742414444428</v>
      </c>
      <c r="AL306" s="588">
        <f t="shared" ca="1" si="139"/>
        <v>283</v>
      </c>
    </row>
    <row r="307" spans="1:39" s="300" customFormat="1" ht="12" customHeight="1">
      <c r="A307" s="278" t="s">
        <v>330</v>
      </c>
      <c r="B307" s="278" t="s">
        <v>146</v>
      </c>
      <c r="C307" s="278" t="s">
        <v>331</v>
      </c>
      <c r="D307" s="260" t="str">
        <f t="shared" ref="D307:D311" si="141">+RIGHT(C307,8)</f>
        <v>KK222255</v>
      </c>
      <c r="E307" s="279">
        <v>397005.36</v>
      </c>
      <c r="F307" s="279">
        <v>397005.36</v>
      </c>
      <c r="G307" s="280" t="s">
        <v>158</v>
      </c>
      <c r="H307" s="278" t="s">
        <v>33</v>
      </c>
      <c r="I307" s="281" t="s">
        <v>44</v>
      </c>
      <c r="J307" s="278" t="s">
        <v>150</v>
      </c>
      <c r="K307" s="282">
        <v>43738</v>
      </c>
      <c r="L307" s="283">
        <v>43885</v>
      </c>
      <c r="M307" s="278">
        <f t="shared" ca="1" si="140"/>
        <v>7</v>
      </c>
      <c r="N307" s="285">
        <v>9.2899999999999996E-2</v>
      </c>
      <c r="O307" s="337">
        <f t="shared" ca="1" si="135"/>
        <v>717.14607113333329</v>
      </c>
      <c r="P307" s="286">
        <f t="shared" ca="1" si="136"/>
        <v>397722.50607113331</v>
      </c>
      <c r="Q307" s="287"/>
      <c r="R307" s="288"/>
      <c r="S307" s="287"/>
      <c r="T307" s="287"/>
      <c r="U307" s="287" t="s">
        <v>52</v>
      </c>
      <c r="V307" s="502"/>
      <c r="W307" s="290"/>
      <c r="X307" s="290"/>
      <c r="Y307" s="326"/>
      <c r="Z307" s="292"/>
      <c r="AA307" s="293">
        <f t="shared" si="137"/>
        <v>0</v>
      </c>
      <c r="AB307" s="294"/>
      <c r="AC307" s="294"/>
      <c r="AD307" s="295"/>
      <c r="AE307" s="296"/>
      <c r="AF307" s="287"/>
      <c r="AG307" s="294" t="s">
        <v>48</v>
      </c>
      <c r="AH307" s="478"/>
      <c r="AI307" s="294" t="s">
        <v>835</v>
      </c>
      <c r="AJ307" s="338">
        <f>VLOOKUP(D307,[5]Hoja1!$F$5:$I$32,4,0)</f>
        <v>409.8</v>
      </c>
      <c r="AK307" s="339">
        <f t="shared" ref="AK307:AK311" ca="1" si="142">+AJ307-O307</f>
        <v>-307.34607113333328</v>
      </c>
      <c r="AL307" s="588">
        <f t="shared" ca="1" si="139"/>
        <v>253</v>
      </c>
    </row>
    <row r="308" spans="1:39" s="300" customFormat="1" ht="12" customHeight="1">
      <c r="A308" s="278" t="s">
        <v>330</v>
      </c>
      <c r="B308" s="278" t="s">
        <v>146</v>
      </c>
      <c r="C308" s="278" t="s">
        <v>333</v>
      </c>
      <c r="D308" s="260" t="str">
        <f t="shared" si="141"/>
        <v>KK224871</v>
      </c>
      <c r="E308" s="279">
        <v>397005.36</v>
      </c>
      <c r="F308" s="279">
        <v>397005.36</v>
      </c>
      <c r="G308" s="280" t="s">
        <v>158</v>
      </c>
      <c r="H308" s="278" t="s">
        <v>33</v>
      </c>
      <c r="I308" s="281" t="s">
        <v>56</v>
      </c>
      <c r="J308" s="278" t="s">
        <v>150</v>
      </c>
      <c r="K308" s="282">
        <v>43738</v>
      </c>
      <c r="L308" s="283">
        <v>43885</v>
      </c>
      <c r="M308" s="278">
        <f t="shared" ca="1" si="140"/>
        <v>7</v>
      </c>
      <c r="N308" s="285">
        <v>9.2899999999999996E-2</v>
      </c>
      <c r="O308" s="337">
        <f t="shared" ca="1" si="135"/>
        <v>717.14607113333329</v>
      </c>
      <c r="P308" s="286">
        <f t="shared" ca="1" si="136"/>
        <v>397722.50607113331</v>
      </c>
      <c r="Q308" s="287"/>
      <c r="R308" s="288"/>
      <c r="S308" s="287"/>
      <c r="T308" s="287"/>
      <c r="U308" s="287" t="s">
        <v>52</v>
      </c>
      <c r="V308" s="502"/>
      <c r="W308" s="290"/>
      <c r="X308" s="290"/>
      <c r="Y308" s="326"/>
      <c r="Z308" s="292"/>
      <c r="AA308" s="293">
        <f t="shared" si="137"/>
        <v>0</v>
      </c>
      <c r="AB308" s="294"/>
      <c r="AC308" s="294"/>
      <c r="AD308" s="295"/>
      <c r="AE308" s="296"/>
      <c r="AF308" s="287"/>
      <c r="AG308" s="294" t="s">
        <v>48</v>
      </c>
      <c r="AH308" s="478"/>
      <c r="AI308" s="294" t="s">
        <v>835</v>
      </c>
      <c r="AJ308" s="338">
        <f>VLOOKUP(D308,[5]Hoja1!$F$5:$I$32,4,0)</f>
        <v>409.8</v>
      </c>
      <c r="AK308" s="339">
        <f t="shared" ca="1" si="142"/>
        <v>-307.34607113333328</v>
      </c>
      <c r="AL308" s="588">
        <f t="shared" ca="1" si="139"/>
        <v>253</v>
      </c>
    </row>
    <row r="309" spans="1:39" s="300" customFormat="1" ht="12" customHeight="1">
      <c r="A309" s="278" t="s">
        <v>337</v>
      </c>
      <c r="B309" s="278" t="s">
        <v>224</v>
      </c>
      <c r="C309" s="278" t="s">
        <v>340</v>
      </c>
      <c r="D309" s="260" t="str">
        <f t="shared" si="141"/>
        <v>KR627300</v>
      </c>
      <c r="E309" s="279">
        <v>807605.92</v>
      </c>
      <c r="F309" s="279">
        <v>807605.92</v>
      </c>
      <c r="G309" s="280" t="s">
        <v>158</v>
      </c>
      <c r="H309" s="278" t="s">
        <v>33</v>
      </c>
      <c r="I309" s="281" t="s">
        <v>80</v>
      </c>
      <c r="J309" s="278" t="s">
        <v>150</v>
      </c>
      <c r="K309" s="282">
        <v>43738</v>
      </c>
      <c r="L309" s="283">
        <v>43885</v>
      </c>
      <c r="M309" s="278">
        <f t="shared" ca="1" si="140"/>
        <v>7</v>
      </c>
      <c r="N309" s="285">
        <v>9.2899999999999996E-2</v>
      </c>
      <c r="O309" s="337">
        <f t="shared" ca="1" si="135"/>
        <v>1458.850360488889</v>
      </c>
      <c r="P309" s="286">
        <f t="shared" ca="1" si="136"/>
        <v>809064.77036048891</v>
      </c>
      <c r="Q309" s="287"/>
      <c r="R309" s="288"/>
      <c r="S309" s="287" t="s">
        <v>1345</v>
      </c>
      <c r="T309" s="287" t="s">
        <v>1346</v>
      </c>
      <c r="U309" s="325" t="s">
        <v>31</v>
      </c>
      <c r="V309" s="502">
        <v>43738</v>
      </c>
      <c r="W309" s="290"/>
      <c r="X309" s="290"/>
      <c r="Y309" s="326">
        <v>902900</v>
      </c>
      <c r="Z309" s="292">
        <f>50+271212.9+4687.1</f>
        <v>275950</v>
      </c>
      <c r="AA309" s="293">
        <f t="shared" si="137"/>
        <v>626950</v>
      </c>
      <c r="AB309" s="294" t="s">
        <v>68</v>
      </c>
      <c r="AC309" s="294" t="s">
        <v>1352</v>
      </c>
      <c r="AD309" s="295" t="s">
        <v>1353</v>
      </c>
      <c r="AE309" s="296"/>
      <c r="AF309" s="287" t="s">
        <v>187</v>
      </c>
      <c r="AG309" s="294" t="s">
        <v>48</v>
      </c>
      <c r="AH309" s="478"/>
      <c r="AI309" s="294" t="s">
        <v>835</v>
      </c>
      <c r="AJ309" s="338">
        <f>VLOOKUP(D309,[5]Hoja1!$F$5:$I$32,4,0)</f>
        <v>833.63</v>
      </c>
      <c r="AK309" s="339">
        <f t="shared" ca="1" si="142"/>
        <v>-625.22036048888901</v>
      </c>
      <c r="AL309" s="588">
        <f t="shared" ca="1" si="139"/>
        <v>250</v>
      </c>
    </row>
    <row r="310" spans="1:39" s="300" customFormat="1" ht="12" customHeight="1">
      <c r="A310" s="278" t="s">
        <v>337</v>
      </c>
      <c r="B310" s="278" t="s">
        <v>179</v>
      </c>
      <c r="C310" s="278" t="s">
        <v>341</v>
      </c>
      <c r="D310" s="260" t="str">
        <f t="shared" si="141"/>
        <v>KC657605</v>
      </c>
      <c r="E310" s="279">
        <v>709341.16</v>
      </c>
      <c r="F310" s="279">
        <v>709341.16</v>
      </c>
      <c r="G310" s="280" t="s">
        <v>158</v>
      </c>
      <c r="H310" s="278" t="s">
        <v>33</v>
      </c>
      <c r="I310" s="281" t="s">
        <v>80</v>
      </c>
      <c r="J310" s="278" t="s">
        <v>150</v>
      </c>
      <c r="K310" s="282">
        <v>43738</v>
      </c>
      <c r="L310" s="283">
        <v>43885</v>
      </c>
      <c r="M310" s="278">
        <f t="shared" ca="1" si="140"/>
        <v>7</v>
      </c>
      <c r="N310" s="285">
        <v>9.2899999999999996E-2</v>
      </c>
      <c r="O310" s="337">
        <f t="shared" ca="1" si="135"/>
        <v>1281.3459898555557</v>
      </c>
      <c r="P310" s="286">
        <f t="shared" ca="1" si="136"/>
        <v>710622.50598985562</v>
      </c>
      <c r="Q310" s="287"/>
      <c r="R310" s="288"/>
      <c r="S310" s="287"/>
      <c r="T310" s="287"/>
      <c r="U310" s="287" t="s">
        <v>52</v>
      </c>
      <c r="V310" s="502"/>
      <c r="W310" s="290"/>
      <c r="X310" s="290"/>
      <c r="Y310" s="326"/>
      <c r="Z310" s="292"/>
      <c r="AA310" s="293">
        <f t="shared" si="137"/>
        <v>0</v>
      </c>
      <c r="AB310" s="294"/>
      <c r="AC310" s="294"/>
      <c r="AD310" s="295"/>
      <c r="AE310" s="296"/>
      <c r="AF310" s="287"/>
      <c r="AG310" s="294" t="s">
        <v>48</v>
      </c>
      <c r="AH310" s="478"/>
      <c r="AI310" s="294" t="s">
        <v>835</v>
      </c>
      <c r="AJ310" s="338">
        <f>VLOOKUP(D310,[5]Hoja1!$F$5:$I$32,4,0)</f>
        <v>732.2</v>
      </c>
      <c r="AK310" s="339">
        <f t="shared" ca="1" si="142"/>
        <v>-549.14598985555563</v>
      </c>
      <c r="AL310" s="588">
        <f t="shared" ca="1" si="139"/>
        <v>250</v>
      </c>
    </row>
    <row r="311" spans="1:39" s="300" customFormat="1" ht="12" customHeight="1">
      <c r="A311" s="278" t="s">
        <v>338</v>
      </c>
      <c r="B311" s="278" t="s">
        <v>244</v>
      </c>
      <c r="C311" s="278" t="s">
        <v>342</v>
      </c>
      <c r="D311" s="260" t="str">
        <f t="shared" si="141"/>
        <v>KR623345</v>
      </c>
      <c r="E311" s="279">
        <v>437774.72</v>
      </c>
      <c r="F311" s="279">
        <v>437774.72</v>
      </c>
      <c r="G311" s="280" t="s">
        <v>158</v>
      </c>
      <c r="H311" s="278" t="s">
        <v>33</v>
      </c>
      <c r="I311" s="281" t="s">
        <v>44</v>
      </c>
      <c r="J311" s="278" t="s">
        <v>150</v>
      </c>
      <c r="K311" s="282">
        <v>43738</v>
      </c>
      <c r="L311" s="283">
        <v>43885</v>
      </c>
      <c r="M311" s="278">
        <f t="shared" ca="1" si="140"/>
        <v>7</v>
      </c>
      <c r="N311" s="285">
        <v>9.2899999999999996E-2</v>
      </c>
      <c r="O311" s="337">
        <f t="shared" ref="O311:O316" ca="1" si="143">F311*N311/360*M311</f>
        <v>790.79139004444448</v>
      </c>
      <c r="P311" s="286">
        <f t="shared" ref="P311:P316" ca="1" si="144">O311+F311</f>
        <v>438565.51139004441</v>
      </c>
      <c r="Q311" s="287"/>
      <c r="R311" s="288"/>
      <c r="S311" s="287"/>
      <c r="T311" s="287"/>
      <c r="U311" s="287" t="s">
        <v>52</v>
      </c>
      <c r="V311" s="502"/>
      <c r="W311" s="290"/>
      <c r="X311" s="290"/>
      <c r="Y311" s="326"/>
      <c r="Z311" s="292"/>
      <c r="AA311" s="293">
        <f t="shared" si="137"/>
        <v>0</v>
      </c>
      <c r="AB311" s="294"/>
      <c r="AC311" s="294"/>
      <c r="AD311" s="295"/>
      <c r="AE311" s="296"/>
      <c r="AF311" s="287"/>
      <c r="AG311" s="294" t="s">
        <v>48</v>
      </c>
      <c r="AH311" s="478"/>
      <c r="AI311" s="294" t="s">
        <v>835</v>
      </c>
      <c r="AJ311" s="338">
        <f>VLOOKUP(D311,[5]Hoja1!$F$5:$I$32,4,0)</f>
        <v>451.88</v>
      </c>
      <c r="AK311" s="339">
        <f t="shared" ca="1" si="142"/>
        <v>-338.91139004444449</v>
      </c>
      <c r="AL311" s="588">
        <f t="shared" ca="1" si="139"/>
        <v>249</v>
      </c>
    </row>
    <row r="312" spans="1:39" s="300" customFormat="1" ht="12" customHeight="1">
      <c r="A312" s="301" t="s">
        <v>346</v>
      </c>
      <c r="B312" s="278" t="s">
        <v>280</v>
      </c>
      <c r="C312" s="278" t="s">
        <v>662</v>
      </c>
      <c r="D312" s="260" t="s">
        <v>663</v>
      </c>
      <c r="E312" s="286">
        <v>508395.1</v>
      </c>
      <c r="F312" s="286">
        <v>508395.1</v>
      </c>
      <c r="G312" s="280" t="s">
        <v>158</v>
      </c>
      <c r="H312" s="278" t="s">
        <v>33</v>
      </c>
      <c r="I312" s="281"/>
      <c r="J312" s="278" t="s">
        <v>150</v>
      </c>
      <c r="K312" s="282">
        <v>43738</v>
      </c>
      <c r="L312" s="301">
        <v>43900</v>
      </c>
      <c r="M312" s="278">
        <f t="shared" ca="1" si="140"/>
        <v>7</v>
      </c>
      <c r="N312" s="285">
        <v>9.2899999999999996E-2</v>
      </c>
      <c r="O312" s="337">
        <f t="shared" ca="1" si="143"/>
        <v>918.35925980555544</v>
      </c>
      <c r="P312" s="286">
        <f t="shared" ca="1" si="144"/>
        <v>509313.45925980556</v>
      </c>
      <c r="Q312" s="287"/>
      <c r="R312" s="332"/>
      <c r="S312" s="287"/>
      <c r="T312" s="287"/>
      <c r="U312" s="294" t="s">
        <v>52</v>
      </c>
      <c r="V312" s="502"/>
      <c r="W312" s="290"/>
      <c r="X312" s="290"/>
      <c r="Y312" s="326"/>
      <c r="Z312" s="292"/>
      <c r="AA312" s="293">
        <f t="shared" si="137"/>
        <v>0</v>
      </c>
      <c r="AB312" s="294"/>
      <c r="AC312" s="294"/>
      <c r="AD312" s="295"/>
      <c r="AE312" s="296"/>
      <c r="AF312" s="287"/>
      <c r="AG312" s="294" t="s">
        <v>48</v>
      </c>
      <c r="AH312" s="478"/>
      <c r="AI312" s="278" t="s">
        <v>1025</v>
      </c>
      <c r="AJ312" s="338">
        <f>VLOOKUP(D312,[5]Hoja1!$F$5:$I$32,4,0)</f>
        <v>524.78</v>
      </c>
      <c r="AK312" s="339">
        <f t="shared" ref="AK312:AK320" ca="1" si="145">+AJ312-O312</f>
        <v>-393.57925980555547</v>
      </c>
      <c r="AL312" s="588">
        <f t="shared" ref="AL312:AL323" ca="1" si="146">+$A$1-A312</f>
        <v>244</v>
      </c>
    </row>
    <row r="313" spans="1:39" s="300" customFormat="1" ht="12" customHeight="1">
      <c r="A313" s="301" t="s">
        <v>346</v>
      </c>
      <c r="B313" s="278" t="s">
        <v>280</v>
      </c>
      <c r="C313" s="278" t="s">
        <v>664</v>
      </c>
      <c r="D313" s="260" t="s">
        <v>665</v>
      </c>
      <c r="E313" s="286">
        <v>508395.1</v>
      </c>
      <c r="F313" s="286">
        <v>508395.1</v>
      </c>
      <c r="G313" s="280" t="s">
        <v>158</v>
      </c>
      <c r="H313" s="278" t="s">
        <v>33</v>
      </c>
      <c r="I313" s="281"/>
      <c r="J313" s="278" t="s">
        <v>150</v>
      </c>
      <c r="K313" s="282">
        <v>43738</v>
      </c>
      <c r="L313" s="301">
        <v>43900</v>
      </c>
      <c r="M313" s="278">
        <f t="shared" ca="1" si="140"/>
        <v>7</v>
      </c>
      <c r="N313" s="285">
        <v>9.2899999999999996E-2</v>
      </c>
      <c r="O313" s="337">
        <f t="shared" ca="1" si="143"/>
        <v>918.35925980555544</v>
      </c>
      <c r="P313" s="286">
        <f t="shared" ca="1" si="144"/>
        <v>509313.45925980556</v>
      </c>
      <c r="Q313" s="287"/>
      <c r="R313" s="332"/>
      <c r="S313" s="287"/>
      <c r="T313" s="287"/>
      <c r="U313" s="294" t="s">
        <v>52</v>
      </c>
      <c r="V313" s="502"/>
      <c r="W313" s="290"/>
      <c r="X313" s="290"/>
      <c r="Y313" s="326"/>
      <c r="Z313" s="292"/>
      <c r="AA313" s="293">
        <f t="shared" si="137"/>
        <v>0</v>
      </c>
      <c r="AB313" s="294"/>
      <c r="AC313" s="294"/>
      <c r="AD313" s="295"/>
      <c r="AE313" s="296"/>
      <c r="AF313" s="287"/>
      <c r="AG313" s="294" t="s">
        <v>48</v>
      </c>
      <c r="AH313" s="478"/>
      <c r="AI313" s="278" t="s">
        <v>1025</v>
      </c>
      <c r="AJ313" s="338">
        <f>VLOOKUP(D313,[5]Hoja1!$F$5:$I$32,4,0)</f>
        <v>524.78</v>
      </c>
      <c r="AK313" s="339">
        <f t="shared" ca="1" si="145"/>
        <v>-393.57925980555547</v>
      </c>
      <c r="AL313" s="588">
        <f t="shared" ca="1" si="146"/>
        <v>244</v>
      </c>
    </row>
    <row r="314" spans="1:39" s="300" customFormat="1" ht="12" customHeight="1">
      <c r="A314" s="278" t="s">
        <v>345</v>
      </c>
      <c r="B314" s="278" t="s">
        <v>179</v>
      </c>
      <c r="C314" s="278" t="s">
        <v>347</v>
      </c>
      <c r="D314" s="260" t="str">
        <f>+RIGHT(C314,8)</f>
        <v>KC643910</v>
      </c>
      <c r="E314" s="279">
        <v>709341.16</v>
      </c>
      <c r="F314" s="279">
        <v>709341.16</v>
      </c>
      <c r="G314" s="280" t="s">
        <v>158</v>
      </c>
      <c r="H314" s="278" t="s">
        <v>33</v>
      </c>
      <c r="I314" s="281" t="s">
        <v>80</v>
      </c>
      <c r="J314" s="278" t="s">
        <v>150</v>
      </c>
      <c r="K314" s="282">
        <v>43738</v>
      </c>
      <c r="L314" s="301">
        <v>43908</v>
      </c>
      <c r="M314" s="278">
        <f t="shared" ca="1" si="140"/>
        <v>7</v>
      </c>
      <c r="N314" s="285">
        <v>9.2899999999999996E-2</v>
      </c>
      <c r="O314" s="337">
        <f t="shared" ca="1" si="143"/>
        <v>1281.3459898555557</v>
      </c>
      <c r="P314" s="286">
        <f t="shared" ca="1" si="144"/>
        <v>710622.50598985562</v>
      </c>
      <c r="Q314" s="287"/>
      <c r="R314" s="288"/>
      <c r="S314" s="325"/>
      <c r="T314" s="287"/>
      <c r="U314" s="287" t="s">
        <v>52</v>
      </c>
      <c r="V314" s="502"/>
      <c r="W314" s="290"/>
      <c r="X314" s="290"/>
      <c r="Y314" s="326"/>
      <c r="Z314" s="292"/>
      <c r="AA314" s="293">
        <f t="shared" si="137"/>
        <v>0</v>
      </c>
      <c r="AB314" s="294"/>
      <c r="AC314" s="294"/>
      <c r="AD314" s="295"/>
      <c r="AE314" s="296"/>
      <c r="AF314" s="287"/>
      <c r="AG314" s="294" t="s">
        <v>48</v>
      </c>
      <c r="AH314" s="478"/>
      <c r="AI314" s="294" t="s">
        <v>835</v>
      </c>
      <c r="AJ314" s="338">
        <f>VLOOKUP(D314,[5]Hoja1!$F$5:$I$32,4,0)</f>
        <v>732.2</v>
      </c>
      <c r="AK314" s="339">
        <f t="shared" ca="1" si="145"/>
        <v>-549.14598985555563</v>
      </c>
      <c r="AL314" s="588">
        <f t="shared" ca="1" si="146"/>
        <v>243</v>
      </c>
    </row>
    <row r="315" spans="1:39" s="300" customFormat="1" ht="12" customHeight="1">
      <c r="A315" s="278" t="s">
        <v>348</v>
      </c>
      <c r="B315" s="278" t="s">
        <v>172</v>
      </c>
      <c r="C315" s="278" t="s">
        <v>349</v>
      </c>
      <c r="D315" s="260" t="str">
        <f>+RIGHT(C315,8)</f>
        <v>KT667087</v>
      </c>
      <c r="E315" s="279">
        <v>487437.8</v>
      </c>
      <c r="F315" s="279">
        <v>487437.8</v>
      </c>
      <c r="G315" s="280" t="s">
        <v>158</v>
      </c>
      <c r="H315" s="278" t="s">
        <v>33</v>
      </c>
      <c r="I315" s="281" t="s">
        <v>32</v>
      </c>
      <c r="J315" s="278" t="s">
        <v>150</v>
      </c>
      <c r="K315" s="282">
        <v>43738</v>
      </c>
      <c r="L315" s="301">
        <v>43908</v>
      </c>
      <c r="M315" s="278">
        <f t="shared" ca="1" si="140"/>
        <v>7</v>
      </c>
      <c r="N315" s="285">
        <v>9.2899999999999996E-2</v>
      </c>
      <c r="O315" s="337">
        <f t="shared" ca="1" si="143"/>
        <v>880.50222594444438</v>
      </c>
      <c r="P315" s="286">
        <f t="shared" ca="1" si="144"/>
        <v>488318.30222594441</v>
      </c>
      <c r="Q315" s="287"/>
      <c r="R315" s="288"/>
      <c r="S315" s="287"/>
      <c r="T315" s="287"/>
      <c r="U315" s="287" t="s">
        <v>52</v>
      </c>
      <c r="V315" s="502"/>
      <c r="W315" s="290"/>
      <c r="X315" s="290"/>
      <c r="Y315" s="326"/>
      <c r="Z315" s="292"/>
      <c r="AA315" s="293">
        <f t="shared" si="137"/>
        <v>0</v>
      </c>
      <c r="AB315" s="294"/>
      <c r="AC315" s="294"/>
      <c r="AD315" s="295"/>
      <c r="AE315" s="296"/>
      <c r="AF315" s="287"/>
      <c r="AG315" s="294" t="s">
        <v>48</v>
      </c>
      <c r="AH315" s="478"/>
      <c r="AI315" s="294" t="s">
        <v>835</v>
      </c>
      <c r="AJ315" s="338">
        <f>VLOOKUP(D315,[5]Hoja1!$F$5:$I$32,4,0)</f>
        <v>503.14</v>
      </c>
      <c r="AK315" s="339">
        <f t="shared" ca="1" si="145"/>
        <v>-377.36222594444439</v>
      </c>
      <c r="AL315" s="588">
        <f t="shared" ca="1" si="146"/>
        <v>237</v>
      </c>
    </row>
    <row r="316" spans="1:39" s="300" customFormat="1" ht="12" customHeight="1">
      <c r="A316" s="278" t="s">
        <v>350</v>
      </c>
      <c r="B316" s="278" t="s">
        <v>179</v>
      </c>
      <c r="C316" s="278" t="s">
        <v>352</v>
      </c>
      <c r="D316" s="260" t="str">
        <f>+RIGHT(C316,8)</f>
        <v>KC673642</v>
      </c>
      <c r="E316" s="279">
        <v>709341.16</v>
      </c>
      <c r="F316" s="279">
        <v>709341.16</v>
      </c>
      <c r="G316" s="280" t="s">
        <v>158</v>
      </c>
      <c r="H316" s="278" t="s">
        <v>33</v>
      </c>
      <c r="I316" s="281" t="s">
        <v>80</v>
      </c>
      <c r="J316" s="278" t="s">
        <v>150</v>
      </c>
      <c r="K316" s="282">
        <v>43738</v>
      </c>
      <c r="L316" s="301">
        <v>43908</v>
      </c>
      <c r="M316" s="278">
        <f t="shared" ca="1" si="140"/>
        <v>7</v>
      </c>
      <c r="N316" s="285">
        <v>9.2899999999999996E-2</v>
      </c>
      <c r="O316" s="337">
        <f t="shared" ca="1" si="143"/>
        <v>1281.3459898555557</v>
      </c>
      <c r="P316" s="286">
        <f t="shared" ca="1" si="144"/>
        <v>710622.50598985562</v>
      </c>
      <c r="Q316" s="287"/>
      <c r="R316" s="288"/>
      <c r="S316" s="287"/>
      <c r="T316" s="287"/>
      <c r="U316" s="287" t="s">
        <v>52</v>
      </c>
      <c r="V316" s="502"/>
      <c r="W316" s="290"/>
      <c r="X316" s="290"/>
      <c r="Y316" s="326"/>
      <c r="Z316" s="292"/>
      <c r="AA316" s="293">
        <f t="shared" si="137"/>
        <v>0</v>
      </c>
      <c r="AB316" s="294"/>
      <c r="AC316" s="294"/>
      <c r="AD316" s="295"/>
      <c r="AE316" s="296"/>
      <c r="AF316" s="287"/>
      <c r="AG316" s="294" t="s">
        <v>48</v>
      </c>
      <c r="AH316" s="478"/>
      <c r="AI316" s="294" t="s">
        <v>835</v>
      </c>
      <c r="AJ316" s="338">
        <f>VLOOKUP(D316,[5]Hoja1!$F$5:$I$32,4,0)</f>
        <v>732.2</v>
      </c>
      <c r="AK316" s="339">
        <f t="shared" ca="1" si="145"/>
        <v>-549.14598985555563</v>
      </c>
      <c r="AL316" s="588">
        <f t="shared" ca="1" si="146"/>
        <v>236</v>
      </c>
    </row>
    <row r="317" spans="1:39" s="300" customFormat="1" ht="12" customHeight="1">
      <c r="A317" s="301" t="s">
        <v>271</v>
      </c>
      <c r="B317" s="278" t="s">
        <v>235</v>
      </c>
      <c r="C317" s="278" t="s">
        <v>272</v>
      </c>
      <c r="D317" s="260" t="str">
        <f>RIGHT(C317,8)</f>
        <v>KD206020</v>
      </c>
      <c r="E317" s="600">
        <v>609747.55000000005</v>
      </c>
      <c r="F317" s="534">
        <v>609747.55000000005</v>
      </c>
      <c r="G317" s="278" t="s">
        <v>273</v>
      </c>
      <c r="H317" s="278" t="s">
        <v>33</v>
      </c>
      <c r="I317" s="281" t="s">
        <v>1166</v>
      </c>
      <c r="J317" s="278" t="s">
        <v>150</v>
      </c>
      <c r="K317" s="282">
        <v>43738</v>
      </c>
      <c r="L317" s="283">
        <v>43914</v>
      </c>
      <c r="M317" s="278">
        <f t="shared" ref="M317:M323" ca="1" si="147">$A$1-K317</f>
        <v>7</v>
      </c>
      <c r="N317" s="285">
        <v>9.2899999999999996E-2</v>
      </c>
      <c r="O317" s="337">
        <f t="shared" ref="O317:O323" ca="1" si="148">F317*N317/360*M317</f>
        <v>1101.4411993472222</v>
      </c>
      <c r="P317" s="286">
        <f t="shared" ref="P317:P323" ca="1" si="149">O317+F317</f>
        <v>610848.99119934731</v>
      </c>
      <c r="Q317" s="287"/>
      <c r="R317" s="288"/>
      <c r="S317" s="287"/>
      <c r="T317" s="287"/>
      <c r="U317" s="294" t="s">
        <v>52</v>
      </c>
      <c r="V317" s="502"/>
      <c r="W317" s="290"/>
      <c r="X317" s="290"/>
      <c r="Y317" s="326"/>
      <c r="Z317" s="535"/>
      <c r="AA317" s="293">
        <f t="shared" si="137"/>
        <v>0</v>
      </c>
      <c r="AB317" s="294"/>
      <c r="AC317" s="294"/>
      <c r="AD317" s="294"/>
      <c r="AE317" s="296"/>
      <c r="AF317" s="287"/>
      <c r="AG317" s="294" t="s">
        <v>48</v>
      </c>
      <c r="AH317" s="478"/>
      <c r="AI317" s="294" t="s">
        <v>1167</v>
      </c>
      <c r="AJ317" s="338">
        <f>VLOOKUP(D317,[5]Hoja1!$F$5:$I$32,4,0)</f>
        <v>629.4</v>
      </c>
      <c r="AK317" s="339">
        <f t="shared" ca="1" si="145"/>
        <v>-472.04119934722223</v>
      </c>
      <c r="AL317" s="588">
        <f t="shared" ca="1" si="146"/>
        <v>381</v>
      </c>
      <c r="AM317" s="300" t="s">
        <v>1368</v>
      </c>
    </row>
    <row r="318" spans="1:39" s="300" customFormat="1" ht="12" customHeight="1">
      <c r="A318" s="301" t="s">
        <v>271</v>
      </c>
      <c r="B318" s="278" t="s">
        <v>57</v>
      </c>
      <c r="C318" s="278" t="s">
        <v>698</v>
      </c>
      <c r="D318" s="260" t="s">
        <v>697</v>
      </c>
      <c r="E318" s="600">
        <v>771294.22</v>
      </c>
      <c r="F318" s="534">
        <v>771294.22</v>
      </c>
      <c r="G318" s="278" t="s">
        <v>236</v>
      </c>
      <c r="H318" s="278" t="s">
        <v>33</v>
      </c>
      <c r="I318" s="281" t="s">
        <v>80</v>
      </c>
      <c r="J318" s="278" t="s">
        <v>150</v>
      </c>
      <c r="K318" s="282">
        <v>43738</v>
      </c>
      <c r="L318" s="283">
        <v>43914</v>
      </c>
      <c r="M318" s="278">
        <f t="shared" ca="1" si="147"/>
        <v>7</v>
      </c>
      <c r="N318" s="285">
        <v>9.2899999999999996E-2</v>
      </c>
      <c r="O318" s="337">
        <f t="shared" ca="1" si="148"/>
        <v>1393.2573090722219</v>
      </c>
      <c r="P318" s="286">
        <f t="shared" ca="1" si="149"/>
        <v>772687.47730907216</v>
      </c>
      <c r="Q318" s="287"/>
      <c r="R318" s="288"/>
      <c r="S318" s="287"/>
      <c r="T318" s="287"/>
      <c r="U318" s="294" t="s">
        <v>52</v>
      </c>
      <c r="V318" s="502"/>
      <c r="W318" s="290"/>
      <c r="X318" s="290"/>
      <c r="Y318" s="326"/>
      <c r="Z318" s="535"/>
      <c r="AA318" s="293">
        <f t="shared" si="137"/>
        <v>0</v>
      </c>
      <c r="AB318" s="294"/>
      <c r="AC318" s="294"/>
      <c r="AD318" s="294"/>
      <c r="AE318" s="296"/>
      <c r="AF318" s="287"/>
      <c r="AG318" s="294" t="s">
        <v>48</v>
      </c>
      <c r="AH318" s="478"/>
      <c r="AI318" s="294" t="s">
        <v>1167</v>
      </c>
      <c r="AJ318" s="338">
        <f>VLOOKUP(D318,[5]Hoja1!$F$5:$I$32,4,0)</f>
        <v>796.15</v>
      </c>
      <c r="AK318" s="339">
        <f t="shared" ca="1" si="145"/>
        <v>-597.10730907222194</v>
      </c>
      <c r="AL318" s="588">
        <f t="shared" ca="1" si="146"/>
        <v>381</v>
      </c>
      <c r="AM318" s="300" t="s">
        <v>1368</v>
      </c>
    </row>
    <row r="319" spans="1:39" s="300" customFormat="1" ht="12" customHeight="1">
      <c r="A319" s="278" t="s">
        <v>1079</v>
      </c>
      <c r="B319" s="278" t="s">
        <v>700</v>
      </c>
      <c r="C319" s="278" t="s">
        <v>1083</v>
      </c>
      <c r="D319" s="260" t="str">
        <f>+RIGHT(C319,8)</f>
        <v>L6P09915</v>
      </c>
      <c r="E319" s="598">
        <v>309563.43</v>
      </c>
      <c r="F319" s="598">
        <v>309563.43</v>
      </c>
      <c r="G319" s="280" t="s">
        <v>236</v>
      </c>
      <c r="H319" s="278" t="s">
        <v>33</v>
      </c>
      <c r="I319" s="281" t="s">
        <v>80</v>
      </c>
      <c r="J319" s="278" t="s">
        <v>150</v>
      </c>
      <c r="K319" s="282">
        <v>43738</v>
      </c>
      <c r="L319" s="283">
        <v>43915</v>
      </c>
      <c r="M319" s="278">
        <f t="shared" ca="1" si="147"/>
        <v>7</v>
      </c>
      <c r="N319" s="285">
        <v>9.2899999999999996E-2</v>
      </c>
      <c r="O319" s="337">
        <f t="shared" ca="1" si="148"/>
        <v>559.19194035833334</v>
      </c>
      <c r="P319" s="286">
        <f t="shared" ca="1" si="149"/>
        <v>310122.62194035831</v>
      </c>
      <c r="Q319" s="287"/>
      <c r="R319" s="288"/>
      <c r="S319" s="287"/>
      <c r="T319" s="287"/>
      <c r="U319" s="294" t="s">
        <v>52</v>
      </c>
      <c r="V319" s="282"/>
      <c r="W319" s="357"/>
      <c r="X319" s="282"/>
      <c r="Y319" s="534"/>
      <c r="Z319" s="535"/>
      <c r="AA319" s="293">
        <f t="shared" si="137"/>
        <v>0</v>
      </c>
      <c r="AB319" s="299"/>
      <c r="AC319" s="357"/>
      <c r="AD319" s="282"/>
      <c r="AE319" s="537"/>
      <c r="AF319" s="299"/>
      <c r="AG319" s="294" t="s">
        <v>48</v>
      </c>
      <c r="AH319" s="478"/>
      <c r="AI319" s="294" t="s">
        <v>1167</v>
      </c>
      <c r="AJ319" s="338">
        <f>VLOOKUP(D319,[5]Hoja1!$F$5:$I$32,4,0)</f>
        <v>319.54000000000002</v>
      </c>
      <c r="AK319" s="339">
        <f t="shared" ca="1" si="145"/>
        <v>-239.65194035833332</v>
      </c>
      <c r="AL319" s="588">
        <f t="shared" ca="1" si="146"/>
        <v>20</v>
      </c>
    </row>
    <row r="320" spans="1:39" s="300" customFormat="1" ht="12" customHeight="1">
      <c r="A320" s="278" t="s">
        <v>1144</v>
      </c>
      <c r="B320" s="278" t="s">
        <v>266</v>
      </c>
      <c r="C320" s="278" t="s">
        <v>1148</v>
      </c>
      <c r="D320" s="260" t="str">
        <f>+RIGHT(C320,8)</f>
        <v>KG523132</v>
      </c>
      <c r="E320" s="598">
        <v>529132</v>
      </c>
      <c r="F320" s="598">
        <v>529132</v>
      </c>
      <c r="G320" s="280" t="s">
        <v>1023</v>
      </c>
      <c r="H320" s="278" t="s">
        <v>33</v>
      </c>
      <c r="I320" s="281"/>
      <c r="J320" s="278" t="s">
        <v>150</v>
      </c>
      <c r="K320" s="282">
        <v>43738</v>
      </c>
      <c r="L320" s="283">
        <v>43915</v>
      </c>
      <c r="M320" s="278">
        <f t="shared" ca="1" si="147"/>
        <v>7</v>
      </c>
      <c r="N320" s="285">
        <v>9.2899999999999996E-2</v>
      </c>
      <c r="O320" s="337">
        <f t="shared" ca="1" si="148"/>
        <v>955.81816555555542</v>
      </c>
      <c r="P320" s="286">
        <f t="shared" ca="1" si="149"/>
        <v>530087.8181655556</v>
      </c>
      <c r="Q320" s="287"/>
      <c r="R320" s="288"/>
      <c r="S320" s="287" t="s">
        <v>1306</v>
      </c>
      <c r="T320" s="287" t="s">
        <v>1307</v>
      </c>
      <c r="U320" s="294" t="s">
        <v>36</v>
      </c>
      <c r="V320" s="282">
        <v>43738</v>
      </c>
      <c r="W320" s="357"/>
      <c r="X320" s="282"/>
      <c r="Y320" s="534">
        <v>849489.99</v>
      </c>
      <c r="Z320" s="535"/>
      <c r="AA320" s="293">
        <f t="shared" si="137"/>
        <v>849489.99</v>
      </c>
      <c r="AB320" s="299"/>
      <c r="AC320" s="357"/>
      <c r="AD320" s="282"/>
      <c r="AE320" s="537"/>
      <c r="AF320" s="299" t="s">
        <v>672</v>
      </c>
      <c r="AG320" s="294" t="s">
        <v>48</v>
      </c>
      <c r="AH320" s="478"/>
      <c r="AI320" s="294" t="s">
        <v>1167</v>
      </c>
      <c r="AJ320" s="338">
        <f>VLOOKUP(D320,[5]Hoja1!$F$5:$I$32,4,0)</f>
        <v>546.17999999999995</v>
      </c>
      <c r="AK320" s="339">
        <f t="shared" ca="1" si="145"/>
        <v>-409.63816555555547</v>
      </c>
      <c r="AL320" s="588">
        <f t="shared" ca="1" si="146"/>
        <v>13</v>
      </c>
    </row>
    <row r="321" spans="1:38" s="300" customFormat="1" ht="12" customHeight="1">
      <c r="A321" s="278" t="s">
        <v>357</v>
      </c>
      <c r="B321" s="278" t="s">
        <v>169</v>
      </c>
      <c r="C321" s="278" t="s">
        <v>359</v>
      </c>
      <c r="D321" s="260" t="str">
        <f>+RIGHT(C321,8)</f>
        <v>KT730534</v>
      </c>
      <c r="E321" s="279">
        <v>521885.16</v>
      </c>
      <c r="F321" s="279">
        <v>521885.16</v>
      </c>
      <c r="G321" s="280" t="s">
        <v>158</v>
      </c>
      <c r="H321" s="281" t="s">
        <v>101</v>
      </c>
      <c r="I321" s="281" t="s">
        <v>69</v>
      </c>
      <c r="J321" s="278" t="s">
        <v>150</v>
      </c>
      <c r="K321" s="301">
        <v>43740</v>
      </c>
      <c r="L321" s="283">
        <v>43920</v>
      </c>
      <c r="M321" s="278">
        <f t="shared" ca="1" si="147"/>
        <v>5</v>
      </c>
      <c r="N321" s="285">
        <v>9.2774999999999996E-2</v>
      </c>
      <c r="O321" s="337">
        <f t="shared" ca="1" si="148"/>
        <v>672.47077387499985</v>
      </c>
      <c r="P321" s="286">
        <f t="shared" ca="1" si="149"/>
        <v>522557.63077387499</v>
      </c>
      <c r="Q321" s="287"/>
      <c r="R321" s="288"/>
      <c r="S321" s="287"/>
      <c r="T321" s="287"/>
      <c r="U321" s="287" t="s">
        <v>52</v>
      </c>
      <c r="V321" s="502"/>
      <c r="W321" s="290"/>
      <c r="X321" s="290"/>
      <c r="Y321" s="326"/>
      <c r="Z321" s="292"/>
      <c r="AA321" s="293">
        <f t="shared" si="137"/>
        <v>0</v>
      </c>
      <c r="AB321" s="294"/>
      <c r="AC321" s="294"/>
      <c r="AD321" s="295"/>
      <c r="AE321" s="296"/>
      <c r="AF321" s="287"/>
      <c r="AG321" s="294" t="s">
        <v>48</v>
      </c>
      <c r="AH321" s="478"/>
      <c r="AI321" s="294" t="s">
        <v>1422</v>
      </c>
      <c r="AJ321" s="338">
        <f>VLOOKUP(D321,[5]Hoja1!$F$5:$I$32,4,0)</f>
        <v>268.99</v>
      </c>
      <c r="AK321" s="339">
        <f ca="1">+AJ321-O321</f>
        <v>-403.48077387499984</v>
      </c>
      <c r="AL321" s="588">
        <f t="shared" ca="1" si="146"/>
        <v>221</v>
      </c>
    </row>
    <row r="322" spans="1:38" s="300" customFormat="1" ht="12" customHeight="1">
      <c r="A322" s="278" t="s">
        <v>360</v>
      </c>
      <c r="B322" s="278" t="s">
        <v>169</v>
      </c>
      <c r="C322" s="278" t="s">
        <v>361</v>
      </c>
      <c r="D322" s="260" t="str">
        <f>+RIGHT(C322,8)</f>
        <v>KT730535</v>
      </c>
      <c r="E322" s="279">
        <v>521885.16</v>
      </c>
      <c r="F322" s="279">
        <v>521885.16</v>
      </c>
      <c r="G322" s="280" t="s">
        <v>158</v>
      </c>
      <c r="H322" s="281" t="s">
        <v>101</v>
      </c>
      <c r="I322" s="281" t="s">
        <v>44</v>
      </c>
      <c r="J322" s="278" t="s">
        <v>150</v>
      </c>
      <c r="K322" s="301">
        <v>43740</v>
      </c>
      <c r="L322" s="283">
        <v>43920</v>
      </c>
      <c r="M322" s="278">
        <f t="shared" ca="1" si="147"/>
        <v>5</v>
      </c>
      <c r="N322" s="285">
        <v>9.2774999999999996E-2</v>
      </c>
      <c r="O322" s="337">
        <f t="shared" ca="1" si="148"/>
        <v>672.47077387499985</v>
      </c>
      <c r="P322" s="286">
        <f t="shared" ca="1" si="149"/>
        <v>522557.63077387499</v>
      </c>
      <c r="Q322" s="287"/>
      <c r="R322" s="288"/>
      <c r="S322" s="287"/>
      <c r="T322" s="287"/>
      <c r="U322" s="287" t="s">
        <v>52</v>
      </c>
      <c r="V322" s="502"/>
      <c r="W322" s="290"/>
      <c r="X322" s="290"/>
      <c r="Y322" s="326"/>
      <c r="Z322" s="292"/>
      <c r="AA322" s="293">
        <f t="shared" si="137"/>
        <v>0</v>
      </c>
      <c r="AB322" s="294"/>
      <c r="AC322" s="294"/>
      <c r="AD322" s="295"/>
      <c r="AE322" s="296"/>
      <c r="AF322" s="287"/>
      <c r="AG322" s="294" t="s">
        <v>48</v>
      </c>
      <c r="AH322" s="478"/>
      <c r="AI322" s="294" t="s">
        <v>1422</v>
      </c>
      <c r="AJ322" s="338">
        <f>VLOOKUP(D322,[5]Hoja1!$F$5:$I$32,4,0)</f>
        <v>268.99</v>
      </c>
      <c r="AK322" s="339">
        <f ca="1">+AJ322-O322</f>
        <v>-403.48077387499984</v>
      </c>
      <c r="AL322" s="588">
        <f t="shared" ca="1" si="146"/>
        <v>219</v>
      </c>
    </row>
    <row r="323" spans="1:38" s="300" customFormat="1" ht="12" customHeight="1">
      <c r="A323" s="278" t="s">
        <v>364</v>
      </c>
      <c r="B323" s="278" t="s">
        <v>192</v>
      </c>
      <c r="C323" s="278" t="s">
        <v>365</v>
      </c>
      <c r="D323" s="260" t="str">
        <f>+RIGHT(C323,8)</f>
        <v>KC691397</v>
      </c>
      <c r="E323" s="279">
        <v>771239.92</v>
      </c>
      <c r="F323" s="279">
        <v>771239.92</v>
      </c>
      <c r="G323" s="280" t="s">
        <v>158</v>
      </c>
      <c r="H323" s="281" t="s">
        <v>101</v>
      </c>
      <c r="I323" s="281" t="s">
        <v>80</v>
      </c>
      <c r="J323" s="278" t="s">
        <v>150</v>
      </c>
      <c r="K323" s="301">
        <v>43740</v>
      </c>
      <c r="L323" s="283">
        <v>43920</v>
      </c>
      <c r="M323" s="278">
        <f t="shared" ca="1" si="147"/>
        <v>5</v>
      </c>
      <c r="N323" s="285">
        <v>9.2774999999999996E-2</v>
      </c>
      <c r="O323" s="337">
        <f t="shared" ca="1" si="148"/>
        <v>993.77477191666674</v>
      </c>
      <c r="P323" s="286">
        <f t="shared" ca="1" si="149"/>
        <v>772233.69477191672</v>
      </c>
      <c r="Q323" s="287"/>
      <c r="R323" s="288"/>
      <c r="S323" s="287"/>
      <c r="T323" s="287"/>
      <c r="U323" s="287" t="s">
        <v>52</v>
      </c>
      <c r="V323" s="502"/>
      <c r="W323" s="290"/>
      <c r="X323" s="290"/>
      <c r="Y323" s="326"/>
      <c r="Z323" s="292"/>
      <c r="AA323" s="293">
        <f t="shared" si="137"/>
        <v>0</v>
      </c>
      <c r="AB323" s="294"/>
      <c r="AC323" s="294"/>
      <c r="AD323" s="295"/>
      <c r="AE323" s="296"/>
      <c r="AF323" s="287"/>
      <c r="AG323" s="294" t="s">
        <v>48</v>
      </c>
      <c r="AH323" s="478"/>
      <c r="AI323" s="294" t="s">
        <v>1422</v>
      </c>
      <c r="AJ323" s="338">
        <f>VLOOKUP(D323,[5]Hoja1!$F$5:$I$32,4,0)</f>
        <v>397.51</v>
      </c>
      <c r="AK323" s="339">
        <f ca="1">+AJ323-O323</f>
        <v>-596.26477191666675</v>
      </c>
      <c r="AL323" s="588">
        <f t="shared" ca="1" si="146"/>
        <v>210</v>
      </c>
    </row>
    <row r="324" spans="1:38" s="408" customFormat="1" ht="18.75">
      <c r="A324" s="422"/>
      <c r="B324" s="423" t="s">
        <v>35</v>
      </c>
      <c r="C324" s="423"/>
      <c r="D324" s="423"/>
      <c r="E324" s="424"/>
      <c r="F324" s="424"/>
      <c r="G324" s="425"/>
      <c r="H324" s="425"/>
      <c r="I324" s="425"/>
      <c r="J324" s="425"/>
      <c r="K324" s="422"/>
      <c r="L324" s="422"/>
      <c r="M324" s="422"/>
      <c r="N324" s="422"/>
      <c r="O324" s="422"/>
      <c r="P324" s="422"/>
      <c r="Q324" s="425"/>
      <c r="R324" s="422"/>
      <c r="S324" s="422"/>
      <c r="T324" s="422"/>
      <c r="U324" s="422"/>
      <c r="V324" s="422"/>
      <c r="W324" s="422"/>
      <c r="X324" s="422"/>
      <c r="Y324" s="422"/>
      <c r="Z324" s="426"/>
      <c r="AA324" s="422"/>
      <c r="AB324" s="422"/>
      <c r="AC324" s="422"/>
      <c r="AD324" s="422"/>
      <c r="AE324" s="422"/>
      <c r="AF324" s="422"/>
      <c r="AG324" s="422"/>
      <c r="AH324" s="422"/>
      <c r="AI324" s="422"/>
      <c r="AJ324" s="422"/>
      <c r="AK324" s="422"/>
      <c r="AL324" s="591"/>
    </row>
    <row r="325" spans="1:38" s="408" customFormat="1" ht="28.5" customHeight="1">
      <c r="A325" s="54"/>
      <c r="B325" s="55" t="s">
        <v>140</v>
      </c>
      <c r="C325" s="55"/>
      <c r="D325" s="55"/>
      <c r="E325" s="405"/>
      <c r="F325" s="405"/>
      <c r="G325" s="406"/>
      <c r="H325" s="406"/>
      <c r="I325" s="406"/>
      <c r="J325" s="406"/>
      <c r="K325" s="54"/>
      <c r="L325" s="54"/>
      <c r="M325" s="54"/>
      <c r="N325" s="54"/>
      <c r="O325" s="54"/>
      <c r="P325" s="54"/>
      <c r="Q325" s="406"/>
      <c r="R325" s="54"/>
      <c r="S325" s="54"/>
      <c r="T325" s="54"/>
      <c r="U325" s="54"/>
      <c r="V325" s="54"/>
      <c r="W325" s="54"/>
      <c r="X325" s="54"/>
      <c r="Y325" s="54"/>
      <c r="Z325" s="407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91"/>
    </row>
    <row r="326" spans="1:38" ht="12.75" customHeight="1">
      <c r="A326" s="349" t="s">
        <v>428</v>
      </c>
      <c r="B326" s="348" t="s">
        <v>423</v>
      </c>
      <c r="C326" s="349" t="s">
        <v>425</v>
      </c>
      <c r="D326" s="350" t="str">
        <f>+RIGHT(C326,8)</f>
        <v>2W310566</v>
      </c>
      <c r="E326" s="351">
        <v>65000</v>
      </c>
      <c r="F326" s="351">
        <v>65000</v>
      </c>
      <c r="G326" s="352" t="s">
        <v>63</v>
      </c>
      <c r="H326" s="281" t="s">
        <v>101</v>
      </c>
      <c r="I326" s="281"/>
      <c r="J326" s="352" t="s">
        <v>142</v>
      </c>
      <c r="K326" s="353" t="s">
        <v>427</v>
      </c>
      <c r="L326" s="354"/>
      <c r="P326" s="286">
        <f>F326+O326</f>
        <v>65000</v>
      </c>
      <c r="Q326" s="287"/>
      <c r="S326" s="287"/>
      <c r="T326" s="287"/>
      <c r="U326" s="294" t="s">
        <v>52</v>
      </c>
      <c r="W326" s="355"/>
      <c r="X326" s="356"/>
      <c r="Y326" s="326"/>
      <c r="AA326" s="293">
        <f t="shared" ref="AA326:AA344" si="150">+Y326-Z326</f>
        <v>0</v>
      </c>
      <c r="AE326" s="296"/>
      <c r="AF326" s="287"/>
      <c r="AG326" s="294" t="s">
        <v>143</v>
      </c>
      <c r="AH326" s="478"/>
      <c r="AI326" s="294"/>
      <c r="AJ326" s="358"/>
      <c r="AK326" s="359"/>
    </row>
    <row r="327" spans="1:38" ht="12.75" customHeight="1">
      <c r="A327" s="287" t="s">
        <v>283</v>
      </c>
      <c r="B327" s="287" t="s">
        <v>302</v>
      </c>
      <c r="C327" s="287" t="s">
        <v>303</v>
      </c>
      <c r="D327" s="350" t="str">
        <f t="shared" ref="D327:D346" si="151">+RIGHT(C327,8)</f>
        <v>ED799605</v>
      </c>
      <c r="E327" s="351">
        <v>180000</v>
      </c>
      <c r="F327" s="351">
        <v>180000</v>
      </c>
      <c r="G327" s="352" t="s">
        <v>63</v>
      </c>
      <c r="H327" s="278" t="s">
        <v>101</v>
      </c>
      <c r="I327" s="281" t="s">
        <v>44</v>
      </c>
      <c r="J327" s="352" t="s">
        <v>142</v>
      </c>
      <c r="K327" s="282" t="s">
        <v>76</v>
      </c>
      <c r="L327" s="489"/>
      <c r="M327" s="490"/>
      <c r="N327" s="301"/>
      <c r="O327" s="282"/>
      <c r="P327" s="286">
        <f>F327+O327</f>
        <v>180000</v>
      </c>
      <c r="Q327" s="287"/>
      <c r="S327" s="287"/>
      <c r="T327" s="287"/>
      <c r="U327" s="294" t="s">
        <v>52</v>
      </c>
      <c r="V327" s="295"/>
      <c r="W327" s="355"/>
      <c r="X327" s="356"/>
      <c r="Y327" s="326"/>
      <c r="AA327" s="293">
        <f t="shared" si="150"/>
        <v>0</v>
      </c>
      <c r="AE327" s="296"/>
      <c r="AF327" s="287"/>
      <c r="AG327" s="294" t="s">
        <v>143</v>
      </c>
      <c r="AH327" s="478"/>
      <c r="AJ327" s="358"/>
      <c r="AK327" s="359"/>
    </row>
    <row r="328" spans="1:38" s="528" customFormat="1">
      <c r="A328" s="528" t="s">
        <v>571</v>
      </c>
      <c r="B328" s="528" t="s">
        <v>215</v>
      </c>
      <c r="C328" s="528" t="s">
        <v>578</v>
      </c>
      <c r="D328" s="350" t="str">
        <f t="shared" si="151"/>
        <v>DR623777</v>
      </c>
      <c r="E328" s="351">
        <v>100000</v>
      </c>
      <c r="F328" s="351">
        <v>100000</v>
      </c>
      <c r="G328" s="352" t="s">
        <v>63</v>
      </c>
      <c r="H328" s="278" t="s">
        <v>101</v>
      </c>
      <c r="I328" s="281" t="s">
        <v>55</v>
      </c>
      <c r="J328" s="352" t="s">
        <v>142</v>
      </c>
      <c r="K328" s="472" t="s">
        <v>75</v>
      </c>
      <c r="L328" s="489"/>
      <c r="M328" s="490"/>
      <c r="N328" s="282"/>
      <c r="O328" s="286"/>
      <c r="P328" s="286">
        <f>F328+O328</f>
        <v>100000</v>
      </c>
      <c r="Q328" s="287"/>
      <c r="R328" s="288"/>
      <c r="S328" s="287"/>
      <c r="T328" s="287"/>
      <c r="U328" s="294" t="s">
        <v>52</v>
      </c>
      <c r="V328" s="282"/>
      <c r="W328" s="355"/>
      <c r="X328" s="356"/>
      <c r="Y328" s="326"/>
      <c r="Z328" s="309"/>
      <c r="AA328" s="293">
        <f t="shared" si="150"/>
        <v>0</v>
      </c>
      <c r="AB328" s="294"/>
      <c r="AC328" s="357"/>
      <c r="AD328" s="282"/>
      <c r="AE328" s="296"/>
      <c r="AF328" s="287"/>
      <c r="AG328" s="294" t="s">
        <v>143</v>
      </c>
      <c r="AH328" s="478"/>
      <c r="AI328" s="294"/>
      <c r="AJ328" s="358"/>
      <c r="AK328" s="359"/>
      <c r="AL328" s="590"/>
    </row>
    <row r="329" spans="1:38" s="528" customFormat="1">
      <c r="A329" s="536" t="s">
        <v>910</v>
      </c>
      <c r="B329" s="536" t="s">
        <v>215</v>
      </c>
      <c r="C329" s="536" t="s">
        <v>966</v>
      </c>
      <c r="D329" s="350" t="str">
        <f t="shared" si="151"/>
        <v>DR737190</v>
      </c>
      <c r="E329" s="534">
        <v>160000</v>
      </c>
      <c r="F329" s="534">
        <v>160000</v>
      </c>
      <c r="G329" s="352" t="s">
        <v>63</v>
      </c>
      <c r="H329" s="278" t="s">
        <v>101</v>
      </c>
      <c r="I329" s="281" t="s">
        <v>55</v>
      </c>
      <c r="J329" s="352" t="s">
        <v>142</v>
      </c>
      <c r="K329" s="472" t="s">
        <v>75</v>
      </c>
      <c r="L329" s="489"/>
      <c r="M329" s="490"/>
      <c r="N329" s="282"/>
      <c r="O329" s="286"/>
      <c r="P329" s="286">
        <f t="shared" ref="P329:P334" si="152">F329+O329</f>
        <v>160000</v>
      </c>
      <c r="Q329" s="287"/>
      <c r="R329" s="288"/>
      <c r="S329" s="287"/>
      <c r="T329" s="287"/>
      <c r="U329" s="294" t="s">
        <v>52</v>
      </c>
      <c r="V329" s="282"/>
      <c r="W329" s="355"/>
      <c r="X329" s="356"/>
      <c r="Y329" s="326"/>
      <c r="Z329" s="309"/>
      <c r="AA329" s="293">
        <f t="shared" si="150"/>
        <v>0</v>
      </c>
      <c r="AB329" s="294"/>
      <c r="AC329" s="357"/>
      <c r="AD329" s="282"/>
      <c r="AE329" s="296"/>
      <c r="AF329" s="287"/>
      <c r="AG329" s="294" t="s">
        <v>143</v>
      </c>
      <c r="AH329" s="478"/>
      <c r="AI329" s="294"/>
      <c r="AJ329" s="358"/>
      <c r="AK329" s="359"/>
      <c r="AL329" s="590"/>
    </row>
    <row r="330" spans="1:38" s="528" customFormat="1">
      <c r="A330" s="536" t="s">
        <v>1053</v>
      </c>
      <c r="B330" s="536" t="s">
        <v>1054</v>
      </c>
      <c r="C330" s="536" t="s">
        <v>1065</v>
      </c>
      <c r="D330" s="350" t="str">
        <f t="shared" si="151"/>
        <v>HC618217</v>
      </c>
      <c r="E330" s="534">
        <v>900000</v>
      </c>
      <c r="F330" s="534">
        <v>900000</v>
      </c>
      <c r="G330" s="352" t="s">
        <v>63</v>
      </c>
      <c r="H330" s="278" t="s">
        <v>101</v>
      </c>
      <c r="I330" s="281" t="s">
        <v>80</v>
      </c>
      <c r="J330" s="352" t="s">
        <v>142</v>
      </c>
      <c r="K330" s="472" t="s">
        <v>147</v>
      </c>
      <c r="L330" s="489"/>
      <c r="M330" s="490"/>
      <c r="N330" s="282"/>
      <c r="O330" s="286"/>
      <c r="P330" s="286">
        <f t="shared" si="152"/>
        <v>900000</v>
      </c>
      <c r="Q330" s="287"/>
      <c r="R330" s="288"/>
      <c r="S330" s="287"/>
      <c r="T330" s="287"/>
      <c r="U330" s="294" t="s">
        <v>52</v>
      </c>
      <c r="V330" s="282"/>
      <c r="W330" s="355"/>
      <c r="X330" s="356"/>
      <c r="Y330" s="326"/>
      <c r="Z330" s="309"/>
      <c r="AA330" s="293">
        <f t="shared" si="150"/>
        <v>0</v>
      </c>
      <c r="AB330" s="294"/>
      <c r="AC330" s="357"/>
      <c r="AD330" s="282"/>
      <c r="AE330" s="296"/>
      <c r="AF330" s="287"/>
      <c r="AG330" s="294" t="s">
        <v>143</v>
      </c>
      <c r="AH330" s="478"/>
      <c r="AI330" s="294"/>
      <c r="AJ330" s="358"/>
      <c r="AK330" s="359"/>
      <c r="AL330" s="590"/>
    </row>
    <row r="331" spans="1:38" s="528" customFormat="1">
      <c r="A331" s="536" t="s">
        <v>1009</v>
      </c>
      <c r="B331" s="536" t="s">
        <v>1059</v>
      </c>
      <c r="C331" s="536" t="s">
        <v>1071</v>
      </c>
      <c r="D331" s="350" t="str">
        <f t="shared" si="151"/>
        <v>FN550270</v>
      </c>
      <c r="E331" s="534">
        <v>183000</v>
      </c>
      <c r="F331" s="600">
        <v>183000</v>
      </c>
      <c r="G331" s="352" t="s">
        <v>63</v>
      </c>
      <c r="H331" s="278" t="s">
        <v>101</v>
      </c>
      <c r="I331" s="281"/>
      <c r="J331" s="352" t="s">
        <v>142</v>
      </c>
      <c r="K331" s="472" t="s">
        <v>77</v>
      </c>
      <c r="L331" s="489"/>
      <c r="M331" s="490"/>
      <c r="N331" s="282"/>
      <c r="O331" s="286"/>
      <c r="P331" s="286">
        <f t="shared" si="152"/>
        <v>183000</v>
      </c>
      <c r="Q331" s="287"/>
      <c r="R331" s="288"/>
      <c r="S331" s="287"/>
      <c r="T331" s="287"/>
      <c r="U331" s="294" t="s">
        <v>52</v>
      </c>
      <c r="V331" s="282"/>
      <c r="W331" s="355"/>
      <c r="X331" s="356"/>
      <c r="Y331" s="326"/>
      <c r="Z331" s="309"/>
      <c r="AA331" s="293">
        <f t="shared" si="150"/>
        <v>0</v>
      </c>
      <c r="AB331" s="294"/>
      <c r="AC331" s="357"/>
      <c r="AD331" s="282"/>
      <c r="AE331" s="296"/>
      <c r="AF331" s="287"/>
      <c r="AG331" s="294" t="s">
        <v>143</v>
      </c>
      <c r="AH331" s="478"/>
      <c r="AI331" s="294"/>
      <c r="AJ331" s="358"/>
      <c r="AK331" s="359"/>
      <c r="AL331" s="590"/>
    </row>
    <row r="332" spans="1:38" s="528" customFormat="1">
      <c r="A332" s="536" t="s">
        <v>961</v>
      </c>
      <c r="B332" s="536" t="s">
        <v>1061</v>
      </c>
      <c r="C332" s="536" t="s">
        <v>1073</v>
      </c>
      <c r="D332" s="350" t="str">
        <f t="shared" si="151"/>
        <v>GS176692</v>
      </c>
      <c r="E332" s="534">
        <v>270000</v>
      </c>
      <c r="F332" s="534">
        <v>270000</v>
      </c>
      <c r="G332" s="352" t="s">
        <v>63</v>
      </c>
      <c r="H332" s="278" t="s">
        <v>101</v>
      </c>
      <c r="I332" s="281" t="s">
        <v>80</v>
      </c>
      <c r="J332" s="352" t="s">
        <v>142</v>
      </c>
      <c r="K332" s="472" t="s">
        <v>237</v>
      </c>
      <c r="L332" s="489"/>
      <c r="M332" s="490"/>
      <c r="N332" s="282"/>
      <c r="O332" s="286"/>
      <c r="P332" s="286">
        <f t="shared" si="152"/>
        <v>270000</v>
      </c>
      <c r="Q332" s="287"/>
      <c r="R332" s="288"/>
      <c r="S332" s="287"/>
      <c r="T332" s="287"/>
      <c r="U332" s="294" t="s">
        <v>52</v>
      </c>
      <c r="V332" s="282"/>
      <c r="W332" s="355"/>
      <c r="X332" s="356"/>
      <c r="Y332" s="326"/>
      <c r="Z332" s="309"/>
      <c r="AA332" s="293">
        <f t="shared" si="150"/>
        <v>0</v>
      </c>
      <c r="AB332" s="294"/>
      <c r="AC332" s="357"/>
      <c r="AD332" s="282"/>
      <c r="AE332" s="296"/>
      <c r="AF332" s="287"/>
      <c r="AG332" s="294" t="s">
        <v>143</v>
      </c>
      <c r="AH332" s="478"/>
      <c r="AI332" s="294"/>
      <c r="AJ332" s="358"/>
      <c r="AK332" s="359"/>
      <c r="AL332" s="590"/>
    </row>
    <row r="333" spans="1:38" s="528" customFormat="1">
      <c r="A333" s="536" t="s">
        <v>961</v>
      </c>
      <c r="B333" s="536" t="s">
        <v>1062</v>
      </c>
      <c r="C333" s="536" t="s">
        <v>1074</v>
      </c>
      <c r="D333" s="350" t="str">
        <f t="shared" si="151"/>
        <v>H7451648</v>
      </c>
      <c r="E333" s="534">
        <v>265000</v>
      </c>
      <c r="F333" s="534">
        <v>265000</v>
      </c>
      <c r="G333" s="352" t="s">
        <v>63</v>
      </c>
      <c r="H333" s="278" t="s">
        <v>101</v>
      </c>
      <c r="I333" s="281" t="s">
        <v>55</v>
      </c>
      <c r="J333" s="352" t="s">
        <v>142</v>
      </c>
      <c r="K333" s="472" t="s">
        <v>147</v>
      </c>
      <c r="L333" s="489"/>
      <c r="M333" s="490"/>
      <c r="N333" s="282"/>
      <c r="O333" s="286"/>
      <c r="P333" s="286">
        <f t="shared" si="152"/>
        <v>265000</v>
      </c>
      <c r="Q333" s="287"/>
      <c r="R333" s="288"/>
      <c r="S333" s="287"/>
      <c r="T333" s="287"/>
      <c r="U333" s="294" t="s">
        <v>52</v>
      </c>
      <c r="V333" s="282"/>
      <c r="W333" s="355"/>
      <c r="X333" s="356"/>
      <c r="Y333" s="326"/>
      <c r="Z333" s="309"/>
      <c r="AA333" s="293">
        <f t="shared" si="150"/>
        <v>0</v>
      </c>
      <c r="AB333" s="294"/>
      <c r="AC333" s="357"/>
      <c r="AD333" s="282"/>
      <c r="AE333" s="296"/>
      <c r="AF333" s="287"/>
      <c r="AG333" s="294" t="s">
        <v>143</v>
      </c>
      <c r="AH333" s="478"/>
      <c r="AI333" s="294"/>
      <c r="AJ333" s="358"/>
      <c r="AK333" s="359"/>
      <c r="AL333" s="590"/>
    </row>
    <row r="334" spans="1:38" s="528" customFormat="1">
      <c r="A334" s="536" t="s">
        <v>961</v>
      </c>
      <c r="B334" s="536" t="s">
        <v>1063</v>
      </c>
      <c r="C334" s="536" t="s">
        <v>1076</v>
      </c>
      <c r="D334" s="350" t="str">
        <f t="shared" si="151"/>
        <v>HH650366</v>
      </c>
      <c r="E334" s="534">
        <v>397000</v>
      </c>
      <c r="F334" s="534">
        <v>397000</v>
      </c>
      <c r="G334" s="352" t="s">
        <v>63</v>
      </c>
      <c r="H334" s="278" t="s">
        <v>101</v>
      </c>
      <c r="I334" s="281" t="s">
        <v>80</v>
      </c>
      <c r="J334" s="352" t="s">
        <v>142</v>
      </c>
      <c r="K334" s="472" t="s">
        <v>147</v>
      </c>
      <c r="L334" s="489"/>
      <c r="M334" s="490"/>
      <c r="N334" s="282"/>
      <c r="O334" s="286"/>
      <c r="P334" s="286">
        <f t="shared" si="152"/>
        <v>397000</v>
      </c>
      <c r="Q334" s="287"/>
      <c r="R334" s="288"/>
      <c r="S334" s="287"/>
      <c r="T334" s="287"/>
      <c r="U334" s="294" t="s">
        <v>52</v>
      </c>
      <c r="V334" s="282"/>
      <c r="W334" s="355"/>
      <c r="X334" s="356"/>
      <c r="Y334" s="326"/>
      <c r="Z334" s="309"/>
      <c r="AA334" s="293">
        <f t="shared" si="150"/>
        <v>0</v>
      </c>
      <c r="AB334" s="294"/>
      <c r="AC334" s="357"/>
      <c r="AD334" s="282"/>
      <c r="AE334" s="296"/>
      <c r="AF334" s="287"/>
      <c r="AG334" s="294" t="s">
        <v>143</v>
      </c>
      <c r="AH334" s="478"/>
      <c r="AI334" s="294"/>
      <c r="AJ334" s="358"/>
      <c r="AK334" s="359"/>
      <c r="AL334" s="590"/>
    </row>
    <row r="335" spans="1:38" s="528" customFormat="1">
      <c r="A335" s="536" t="s">
        <v>1089</v>
      </c>
      <c r="B335" s="536" t="s">
        <v>1101</v>
      </c>
      <c r="C335" s="536" t="s">
        <v>1106</v>
      </c>
      <c r="D335" s="350" t="str">
        <f t="shared" si="151"/>
        <v>FE602127</v>
      </c>
      <c r="E335" s="534">
        <v>145000</v>
      </c>
      <c r="F335" s="534">
        <v>145000</v>
      </c>
      <c r="G335" s="352" t="s">
        <v>63</v>
      </c>
      <c r="H335" s="278" t="s">
        <v>101</v>
      </c>
      <c r="I335" s="281" t="s">
        <v>80</v>
      </c>
      <c r="J335" s="352" t="s">
        <v>142</v>
      </c>
      <c r="K335" s="472" t="s">
        <v>77</v>
      </c>
      <c r="L335" s="489"/>
      <c r="M335" s="490"/>
      <c r="N335" s="282"/>
      <c r="O335" s="286"/>
      <c r="P335" s="286">
        <f t="shared" ref="P335:P344" si="153">F335+O335</f>
        <v>145000</v>
      </c>
      <c r="Q335" s="287"/>
      <c r="R335" s="288"/>
      <c r="S335" s="287"/>
      <c r="T335" s="287"/>
      <c r="U335" s="294" t="s">
        <v>52</v>
      </c>
      <c r="V335" s="282"/>
      <c r="W335" s="355"/>
      <c r="X335" s="356"/>
      <c r="Y335" s="326"/>
      <c r="Z335" s="309"/>
      <c r="AA335" s="293">
        <f t="shared" si="150"/>
        <v>0</v>
      </c>
      <c r="AB335" s="294"/>
      <c r="AC335" s="357"/>
      <c r="AD335" s="282"/>
      <c r="AE335" s="296"/>
      <c r="AF335" s="287"/>
      <c r="AG335" s="294" t="s">
        <v>143</v>
      </c>
      <c r="AH335" s="478"/>
      <c r="AI335" s="294"/>
      <c r="AJ335" s="358"/>
      <c r="AK335" s="359"/>
      <c r="AL335" s="590"/>
    </row>
    <row r="336" spans="1:38" s="528" customFormat="1">
      <c r="A336" s="536" t="s">
        <v>1089</v>
      </c>
      <c r="B336" s="536" t="s">
        <v>1102</v>
      </c>
      <c r="C336" s="536" t="s">
        <v>1107</v>
      </c>
      <c r="D336" s="350" t="str">
        <f t="shared" si="151"/>
        <v>FW010596</v>
      </c>
      <c r="E336" s="534">
        <v>195000</v>
      </c>
      <c r="F336" s="534">
        <v>195000</v>
      </c>
      <c r="G336" s="352" t="s">
        <v>63</v>
      </c>
      <c r="H336" s="278" t="s">
        <v>101</v>
      </c>
      <c r="I336" s="281"/>
      <c r="J336" s="352" t="s">
        <v>142</v>
      </c>
      <c r="K336" s="472" t="s">
        <v>77</v>
      </c>
      <c r="L336" s="489"/>
      <c r="M336" s="490"/>
      <c r="N336" s="282"/>
      <c r="O336" s="286"/>
      <c r="P336" s="286">
        <f t="shared" si="153"/>
        <v>195000</v>
      </c>
      <c r="Q336" s="287"/>
      <c r="R336" s="288"/>
      <c r="S336" s="287"/>
      <c r="T336" s="287"/>
      <c r="U336" s="294" t="s">
        <v>52</v>
      </c>
      <c r="V336" s="282"/>
      <c r="W336" s="355"/>
      <c r="X336" s="356"/>
      <c r="Y336" s="326"/>
      <c r="Z336" s="309"/>
      <c r="AA336" s="293">
        <f t="shared" si="150"/>
        <v>0</v>
      </c>
      <c r="AB336" s="294"/>
      <c r="AC336" s="357"/>
      <c r="AD336" s="282"/>
      <c r="AE336" s="296"/>
      <c r="AF336" s="287"/>
      <c r="AG336" s="294" t="s">
        <v>143</v>
      </c>
      <c r="AH336" s="478"/>
      <c r="AI336" s="294"/>
      <c r="AJ336" s="358"/>
      <c r="AK336" s="359"/>
      <c r="AL336" s="590"/>
    </row>
    <row r="337" spans="1:38" s="528" customFormat="1">
      <c r="A337" s="536" t="s">
        <v>1100</v>
      </c>
      <c r="B337" s="536" t="s">
        <v>1104</v>
      </c>
      <c r="C337" s="536" t="s">
        <v>1109</v>
      </c>
      <c r="D337" s="350" t="str">
        <f t="shared" si="151"/>
        <v>FT528695</v>
      </c>
      <c r="E337" s="534">
        <v>83000</v>
      </c>
      <c r="F337" s="534">
        <v>83000</v>
      </c>
      <c r="G337" s="352" t="s">
        <v>63</v>
      </c>
      <c r="H337" s="278" t="s">
        <v>101</v>
      </c>
      <c r="I337" s="281" t="s">
        <v>80</v>
      </c>
      <c r="J337" s="352" t="s">
        <v>142</v>
      </c>
      <c r="K337" s="472" t="s">
        <v>77</v>
      </c>
      <c r="L337" s="489"/>
      <c r="M337" s="490"/>
      <c r="N337" s="282"/>
      <c r="O337" s="286"/>
      <c r="P337" s="286">
        <f t="shared" si="153"/>
        <v>83000</v>
      </c>
      <c r="Q337" s="287"/>
      <c r="R337" s="288"/>
      <c r="S337" s="287"/>
      <c r="T337" s="287"/>
      <c r="U337" s="294" t="s">
        <v>52</v>
      </c>
      <c r="V337" s="282"/>
      <c r="W337" s="355"/>
      <c r="X337" s="356"/>
      <c r="Y337" s="326"/>
      <c r="Z337" s="309"/>
      <c r="AA337" s="293">
        <f t="shared" si="150"/>
        <v>0</v>
      </c>
      <c r="AB337" s="294"/>
      <c r="AC337" s="357"/>
      <c r="AD337" s="282"/>
      <c r="AE337" s="296"/>
      <c r="AF337" s="287"/>
      <c r="AG337" s="294" t="s">
        <v>143</v>
      </c>
      <c r="AH337" s="478"/>
      <c r="AI337" s="294"/>
      <c r="AJ337" s="358"/>
      <c r="AK337" s="359"/>
      <c r="AL337" s="590"/>
    </row>
    <row r="338" spans="1:38" s="528" customFormat="1">
      <c r="A338" s="536" t="s">
        <v>1098</v>
      </c>
      <c r="B338" s="536" t="s">
        <v>1105</v>
      </c>
      <c r="C338" s="536" t="s">
        <v>1110</v>
      </c>
      <c r="D338" s="350" t="str">
        <f t="shared" si="151"/>
        <v>DN015386</v>
      </c>
      <c r="E338" s="534">
        <v>260000</v>
      </c>
      <c r="F338" s="534">
        <v>260000</v>
      </c>
      <c r="G338" s="352" t="s">
        <v>63</v>
      </c>
      <c r="H338" s="278" t="s">
        <v>101</v>
      </c>
      <c r="I338" s="281" t="s">
        <v>80</v>
      </c>
      <c r="J338" s="352" t="s">
        <v>142</v>
      </c>
      <c r="K338" s="472" t="s">
        <v>75</v>
      </c>
      <c r="L338" s="489"/>
      <c r="M338" s="490"/>
      <c r="N338" s="282"/>
      <c r="O338" s="286"/>
      <c r="P338" s="286">
        <f t="shared" si="153"/>
        <v>260000</v>
      </c>
      <c r="Q338" s="287"/>
      <c r="R338" s="288"/>
      <c r="S338" s="287"/>
      <c r="T338" s="287"/>
      <c r="U338" s="294" t="s">
        <v>52</v>
      </c>
      <c r="V338" s="282"/>
      <c r="W338" s="355"/>
      <c r="X338" s="356"/>
      <c r="Y338" s="326"/>
      <c r="Z338" s="309"/>
      <c r="AA338" s="293">
        <f t="shared" si="150"/>
        <v>0</v>
      </c>
      <c r="AB338" s="294"/>
      <c r="AC338" s="357"/>
      <c r="AD338" s="282"/>
      <c r="AE338" s="296"/>
      <c r="AF338" s="287"/>
      <c r="AG338" s="294" t="s">
        <v>143</v>
      </c>
      <c r="AH338" s="478"/>
      <c r="AI338" s="294"/>
      <c r="AJ338" s="358"/>
      <c r="AK338" s="359"/>
      <c r="AL338" s="590"/>
    </row>
    <row r="339" spans="1:38" s="528" customFormat="1">
      <c r="A339" s="536" t="s">
        <v>1125</v>
      </c>
      <c r="B339" s="536" t="s">
        <v>1372</v>
      </c>
      <c r="C339" s="536" t="s">
        <v>1373</v>
      </c>
      <c r="D339" s="350" t="str">
        <f t="shared" si="151"/>
        <v>H6F09594</v>
      </c>
      <c r="E339" s="534">
        <v>166000</v>
      </c>
      <c r="F339" s="534">
        <v>166000</v>
      </c>
      <c r="G339" s="352" t="s">
        <v>63</v>
      </c>
      <c r="H339" s="278" t="s">
        <v>101</v>
      </c>
      <c r="I339" s="281"/>
      <c r="J339" s="352" t="s">
        <v>142</v>
      </c>
      <c r="K339" s="472" t="s">
        <v>75</v>
      </c>
      <c r="L339" s="607"/>
      <c r="M339" s="490"/>
      <c r="N339" s="282"/>
      <c r="O339" s="286"/>
      <c r="P339" s="286">
        <f t="shared" si="153"/>
        <v>166000</v>
      </c>
      <c r="Q339" s="287"/>
      <c r="R339" s="288"/>
      <c r="S339" s="287"/>
      <c r="T339" s="287"/>
      <c r="U339" s="294" t="s">
        <v>52</v>
      </c>
      <c r="V339" s="282"/>
      <c r="W339" s="355"/>
      <c r="X339" s="356"/>
      <c r="Y339" s="326"/>
      <c r="Z339" s="292"/>
      <c r="AA339" s="293">
        <f t="shared" si="150"/>
        <v>0</v>
      </c>
      <c r="AB339" s="294"/>
      <c r="AC339" s="357"/>
      <c r="AD339" s="282"/>
      <c r="AE339" s="296"/>
      <c r="AF339" s="287"/>
      <c r="AG339" s="294" t="s">
        <v>143</v>
      </c>
      <c r="AH339" s="478"/>
      <c r="AI339" s="294"/>
      <c r="AJ339" s="608"/>
      <c r="AK339" s="359"/>
      <c r="AL339" s="590"/>
    </row>
    <row r="340" spans="1:38" s="528" customFormat="1">
      <c r="A340" s="536" t="s">
        <v>1125</v>
      </c>
      <c r="B340" s="536" t="s">
        <v>1374</v>
      </c>
      <c r="C340" s="536" t="s">
        <v>1375</v>
      </c>
      <c r="D340" s="350" t="str">
        <f t="shared" si="151"/>
        <v>G1437439</v>
      </c>
      <c r="E340" s="534">
        <v>220000</v>
      </c>
      <c r="F340" s="534">
        <v>220000</v>
      </c>
      <c r="G340" s="352" t="s">
        <v>63</v>
      </c>
      <c r="H340" s="278" t="s">
        <v>101</v>
      </c>
      <c r="I340" s="281" t="s">
        <v>80</v>
      </c>
      <c r="J340" s="352" t="s">
        <v>142</v>
      </c>
      <c r="K340" s="472" t="s">
        <v>75</v>
      </c>
      <c r="L340" s="607"/>
      <c r="M340" s="490"/>
      <c r="N340" s="282"/>
      <c r="O340" s="286"/>
      <c r="P340" s="286">
        <f t="shared" si="153"/>
        <v>220000</v>
      </c>
      <c r="Q340" s="287"/>
      <c r="R340" s="288"/>
      <c r="S340" s="287"/>
      <c r="T340" s="287"/>
      <c r="U340" s="294" t="s">
        <v>52</v>
      </c>
      <c r="V340" s="282"/>
      <c r="W340" s="355"/>
      <c r="X340" s="356"/>
      <c r="Y340" s="326"/>
      <c r="Z340" s="292"/>
      <c r="AA340" s="293">
        <f t="shared" si="150"/>
        <v>0</v>
      </c>
      <c r="AB340" s="294"/>
      <c r="AC340" s="357"/>
      <c r="AD340" s="282"/>
      <c r="AE340" s="296"/>
      <c r="AF340" s="287"/>
      <c r="AG340" s="294" t="s">
        <v>143</v>
      </c>
      <c r="AH340" s="478"/>
      <c r="AI340" s="294"/>
      <c r="AJ340" s="608"/>
      <c r="AK340" s="359"/>
      <c r="AL340" s="590"/>
    </row>
    <row r="341" spans="1:38" s="528" customFormat="1">
      <c r="A341" s="536" t="s">
        <v>1144</v>
      </c>
      <c r="B341" s="536" t="s">
        <v>1378</v>
      </c>
      <c r="C341" s="536" t="s">
        <v>1379</v>
      </c>
      <c r="D341" s="350" t="str">
        <f t="shared" si="151"/>
        <v>J9099574</v>
      </c>
      <c r="E341" s="534">
        <v>137931.04</v>
      </c>
      <c r="F341" s="534">
        <v>137931.04</v>
      </c>
      <c r="G341" s="352" t="s">
        <v>63</v>
      </c>
      <c r="H341" s="278" t="s">
        <v>101</v>
      </c>
      <c r="I341" s="281"/>
      <c r="J341" s="352" t="s">
        <v>142</v>
      </c>
      <c r="K341" s="472" t="s">
        <v>75</v>
      </c>
      <c r="L341" s="607"/>
      <c r="M341" s="490"/>
      <c r="N341" s="282"/>
      <c r="O341" s="286"/>
      <c r="P341" s="286">
        <f t="shared" si="153"/>
        <v>137931.04</v>
      </c>
      <c r="Q341" s="287"/>
      <c r="R341" s="288"/>
      <c r="S341" s="287"/>
      <c r="T341" s="287"/>
      <c r="U341" s="294" t="s">
        <v>52</v>
      </c>
      <c r="V341" s="282"/>
      <c r="W341" s="355"/>
      <c r="X341" s="356"/>
      <c r="Y341" s="326"/>
      <c r="Z341" s="292"/>
      <c r="AA341" s="293">
        <f t="shared" si="150"/>
        <v>0</v>
      </c>
      <c r="AB341" s="294"/>
      <c r="AC341" s="357"/>
      <c r="AD341" s="282"/>
      <c r="AE341" s="296"/>
      <c r="AF341" s="287"/>
      <c r="AG341" s="294" t="s">
        <v>143</v>
      </c>
      <c r="AH341" s="478"/>
      <c r="AI341" s="294"/>
      <c r="AJ341" s="608"/>
      <c r="AK341" s="359"/>
      <c r="AL341" s="590"/>
    </row>
    <row r="342" spans="1:38" s="528" customFormat="1">
      <c r="A342" s="536" t="s">
        <v>1212</v>
      </c>
      <c r="B342" s="536" t="s">
        <v>1382</v>
      </c>
      <c r="C342" s="536" t="s">
        <v>1383</v>
      </c>
      <c r="D342" s="350" t="str">
        <f t="shared" si="151"/>
        <v>C0121871</v>
      </c>
      <c r="E342" s="534">
        <v>94827.59</v>
      </c>
      <c r="F342" s="534">
        <v>94827.59</v>
      </c>
      <c r="G342" s="352" t="s">
        <v>63</v>
      </c>
      <c r="H342" s="278" t="s">
        <v>101</v>
      </c>
      <c r="I342" s="281" t="s">
        <v>80</v>
      </c>
      <c r="J342" s="352" t="s">
        <v>142</v>
      </c>
      <c r="K342" s="472" t="s">
        <v>75</v>
      </c>
      <c r="L342" s="607"/>
      <c r="M342" s="490"/>
      <c r="N342" s="282"/>
      <c r="O342" s="286"/>
      <c r="P342" s="286">
        <f t="shared" si="153"/>
        <v>94827.59</v>
      </c>
      <c r="Q342" s="287"/>
      <c r="R342" s="288"/>
      <c r="S342" s="287"/>
      <c r="T342" s="287"/>
      <c r="U342" s="294" t="s">
        <v>52</v>
      </c>
      <c r="V342" s="282"/>
      <c r="W342" s="355"/>
      <c r="X342" s="356"/>
      <c r="Y342" s="326"/>
      <c r="Z342" s="292"/>
      <c r="AA342" s="293">
        <f t="shared" si="150"/>
        <v>0</v>
      </c>
      <c r="AB342" s="294"/>
      <c r="AC342" s="357"/>
      <c r="AD342" s="282"/>
      <c r="AE342" s="296"/>
      <c r="AF342" s="287"/>
      <c r="AG342" s="294" t="s">
        <v>143</v>
      </c>
      <c r="AH342" s="478"/>
      <c r="AI342" s="294"/>
      <c r="AJ342" s="608"/>
      <c r="AK342" s="359"/>
      <c r="AL342" s="590"/>
    </row>
    <row r="343" spans="1:38" s="528" customFormat="1">
      <c r="A343" s="536" t="s">
        <v>1242</v>
      </c>
      <c r="B343" s="536" t="s">
        <v>1388</v>
      </c>
      <c r="C343" s="536" t="s">
        <v>1389</v>
      </c>
      <c r="D343" s="350" t="str">
        <f t="shared" si="151"/>
        <v>GR106501</v>
      </c>
      <c r="E343" s="534">
        <v>147000</v>
      </c>
      <c r="F343" s="534">
        <v>147000</v>
      </c>
      <c r="G343" s="352" t="s">
        <v>63</v>
      </c>
      <c r="H343" s="278" t="s">
        <v>101</v>
      </c>
      <c r="I343" s="281"/>
      <c r="J343" s="352" t="s">
        <v>142</v>
      </c>
      <c r="K343" s="472" t="s">
        <v>75</v>
      </c>
      <c r="L343" s="607"/>
      <c r="M343" s="490"/>
      <c r="N343" s="282"/>
      <c r="O343" s="286"/>
      <c r="P343" s="286">
        <f t="shared" si="153"/>
        <v>147000</v>
      </c>
      <c r="Q343" s="287"/>
      <c r="R343" s="288"/>
      <c r="S343" s="287"/>
      <c r="T343" s="287"/>
      <c r="U343" s="294" t="s">
        <v>52</v>
      </c>
      <c r="V343" s="282"/>
      <c r="W343" s="355"/>
      <c r="X343" s="356"/>
      <c r="Y343" s="326"/>
      <c r="Z343" s="292"/>
      <c r="AA343" s="293">
        <f t="shared" si="150"/>
        <v>0</v>
      </c>
      <c r="AB343" s="294"/>
      <c r="AC343" s="357"/>
      <c r="AD343" s="282"/>
      <c r="AE343" s="296"/>
      <c r="AF343" s="287"/>
      <c r="AG343" s="294" t="s">
        <v>143</v>
      </c>
      <c r="AH343" s="478"/>
      <c r="AI343" s="294"/>
      <c r="AJ343" s="608"/>
      <c r="AK343" s="359"/>
      <c r="AL343" s="590"/>
    </row>
    <row r="344" spans="1:38" s="528" customFormat="1">
      <c r="A344" s="536" t="s">
        <v>1242</v>
      </c>
      <c r="B344" s="536" t="s">
        <v>1390</v>
      </c>
      <c r="C344" s="536" t="s">
        <v>1391</v>
      </c>
      <c r="D344" s="350" t="str">
        <f t="shared" si="151"/>
        <v>H6C90054</v>
      </c>
      <c r="E344" s="534">
        <v>165000</v>
      </c>
      <c r="F344" s="534">
        <v>165000</v>
      </c>
      <c r="G344" s="352" t="s">
        <v>63</v>
      </c>
      <c r="H344" s="278" t="s">
        <v>101</v>
      </c>
      <c r="I344" s="281"/>
      <c r="J344" s="352" t="s">
        <v>142</v>
      </c>
      <c r="K344" s="472" t="s">
        <v>75</v>
      </c>
      <c r="L344" s="607"/>
      <c r="M344" s="490"/>
      <c r="N344" s="282"/>
      <c r="O344" s="286"/>
      <c r="P344" s="286">
        <f t="shared" si="153"/>
        <v>165000</v>
      </c>
      <c r="Q344" s="287"/>
      <c r="R344" s="288"/>
      <c r="S344" s="287"/>
      <c r="T344" s="287"/>
      <c r="U344" s="294" t="s">
        <v>52</v>
      </c>
      <c r="V344" s="282"/>
      <c r="W344" s="355"/>
      <c r="X344" s="356"/>
      <c r="Y344" s="326"/>
      <c r="Z344" s="292"/>
      <c r="AA344" s="293">
        <f t="shared" si="150"/>
        <v>0</v>
      </c>
      <c r="AB344" s="294"/>
      <c r="AC344" s="357"/>
      <c r="AD344" s="282"/>
      <c r="AE344" s="296"/>
      <c r="AF344" s="287"/>
      <c r="AG344" s="294" t="s">
        <v>143</v>
      </c>
      <c r="AH344" s="478"/>
      <c r="AI344" s="294"/>
      <c r="AJ344" s="608"/>
      <c r="AK344" s="359"/>
      <c r="AL344" s="590"/>
    </row>
    <row r="345" spans="1:38" s="408" customFormat="1" ht="12.75" customHeight="1">
      <c r="A345" s="45"/>
      <c r="B345" s="46" t="s">
        <v>139</v>
      </c>
      <c r="C345" s="46"/>
      <c r="D345" s="46"/>
      <c r="E345" s="409"/>
      <c r="F345" s="409"/>
      <c r="G345" s="410"/>
      <c r="H345" s="410"/>
      <c r="I345" s="410"/>
      <c r="J345" s="45"/>
      <c r="K345" s="45"/>
      <c r="L345" s="45"/>
      <c r="M345" s="45"/>
      <c r="N345" s="45"/>
      <c r="O345" s="45"/>
      <c r="P345" s="45"/>
      <c r="Q345" s="410"/>
      <c r="R345" s="45"/>
      <c r="S345" s="45"/>
      <c r="T345" s="45"/>
      <c r="U345" s="45"/>
      <c r="V345" s="45"/>
      <c r="W345" s="45"/>
      <c r="X345" s="45"/>
      <c r="Y345" s="45"/>
      <c r="Z345" s="411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591"/>
    </row>
    <row r="346" spans="1:38" s="300" customFormat="1" ht="12" customHeight="1">
      <c r="A346" s="278"/>
      <c r="B346" s="278"/>
      <c r="C346" s="278" t="s">
        <v>1214</v>
      </c>
      <c r="D346" s="350" t="str">
        <f t="shared" si="151"/>
        <v>KT718061</v>
      </c>
      <c r="E346" s="598"/>
      <c r="F346" s="598"/>
      <c r="G346" s="280"/>
      <c r="H346" s="278" t="s">
        <v>101</v>
      </c>
      <c r="I346" s="281"/>
      <c r="J346" s="299" t="s">
        <v>34</v>
      </c>
      <c r="K346" s="282"/>
      <c r="L346" s="283"/>
      <c r="M346" s="284"/>
      <c r="N346" s="468"/>
      <c r="O346" s="282"/>
      <c r="P346" s="286">
        <f>+F346</f>
        <v>0</v>
      </c>
      <c r="Q346" s="287"/>
      <c r="R346" s="288"/>
      <c r="S346" s="287"/>
      <c r="T346" s="287"/>
      <c r="U346" s="294" t="s">
        <v>52</v>
      </c>
      <c r="V346" s="282"/>
      <c r="W346" s="357"/>
      <c r="X346" s="282"/>
      <c r="Y346" s="534"/>
      <c r="Z346" s="535"/>
      <c r="AA346" s="293">
        <f>+Y346-Z346</f>
        <v>0</v>
      </c>
      <c r="AB346" s="299"/>
      <c r="AC346" s="357"/>
      <c r="AD346" s="282"/>
      <c r="AE346" s="537"/>
      <c r="AF346" s="299"/>
      <c r="AG346" s="294" t="s">
        <v>138</v>
      </c>
      <c r="AH346" s="478"/>
      <c r="AI346" s="299"/>
      <c r="AJ346" s="534"/>
      <c r="AK346" s="299"/>
      <c r="AL346" s="588">
        <f ca="1">+$A$1-A346</f>
        <v>43745</v>
      </c>
    </row>
    <row r="347" spans="1:38" s="412" customFormat="1" ht="12" customHeight="1">
      <c r="A347" s="45"/>
      <c r="B347" s="46" t="s">
        <v>1201</v>
      </c>
      <c r="C347" s="46"/>
      <c r="D347" s="410"/>
      <c r="E347" s="410"/>
      <c r="F347" s="410"/>
      <c r="G347" s="410"/>
      <c r="H347" s="410"/>
      <c r="I347" s="410"/>
      <c r="J347" s="45"/>
      <c r="K347" s="45"/>
      <c r="L347" s="45"/>
      <c r="M347" s="45"/>
      <c r="N347" s="45"/>
      <c r="O347" s="45"/>
      <c r="P347" s="45"/>
      <c r="Q347" s="410"/>
      <c r="R347" s="45"/>
      <c r="S347" s="45"/>
      <c r="T347" s="45"/>
      <c r="U347" s="45"/>
      <c r="V347" s="45"/>
      <c r="W347" s="45"/>
      <c r="X347" s="45"/>
      <c r="Y347" s="45"/>
      <c r="Z347" s="411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588"/>
    </row>
    <row r="348" spans="1:38" s="347" customFormat="1" ht="12" customHeight="1">
      <c r="A348" s="362">
        <v>42936</v>
      </c>
      <c r="B348" s="342" t="s">
        <v>144</v>
      </c>
      <c r="C348" s="342" t="s">
        <v>165</v>
      </c>
      <c r="D348" s="260" t="str">
        <f>RIGHT(C348,8)</f>
        <v>H7464025</v>
      </c>
      <c r="E348" s="363">
        <v>510771.20000000001</v>
      </c>
      <c r="F348" s="363">
        <v>510771.20000000001</v>
      </c>
      <c r="G348" s="342" t="s">
        <v>166</v>
      </c>
      <c r="H348" s="278" t="s">
        <v>101</v>
      </c>
      <c r="I348" s="281" t="s">
        <v>80</v>
      </c>
      <c r="J348" s="311" t="s">
        <v>34</v>
      </c>
      <c r="K348" s="362"/>
      <c r="L348" s="317"/>
      <c r="M348" s="318"/>
      <c r="N348" s="307"/>
      <c r="O348" s="342"/>
      <c r="P348" s="319">
        <f>+F348</f>
        <v>510771.20000000001</v>
      </c>
      <c r="Q348" s="287"/>
      <c r="R348" s="288"/>
      <c r="S348" s="341"/>
      <c r="T348" s="341"/>
      <c r="U348" s="343" t="s">
        <v>52</v>
      </c>
      <c r="V348" s="501"/>
      <c r="W348" s="344"/>
      <c r="X348" s="344"/>
      <c r="Y348" s="345"/>
      <c r="Z348" s="535"/>
      <c r="AA348" s="320">
        <f>+Y348-Z348</f>
        <v>0</v>
      </c>
      <c r="AB348" s="343"/>
      <c r="AC348" s="343"/>
      <c r="AD348" s="343"/>
      <c r="AE348" s="346"/>
      <c r="AF348" s="341"/>
      <c r="AG348" s="343" t="s">
        <v>137</v>
      </c>
      <c r="AH348" s="478"/>
      <c r="AI348" s="364"/>
      <c r="AJ348" s="365"/>
      <c r="AK348" s="366"/>
      <c r="AL348" s="588">
        <f ca="1">+$A$1-A348</f>
        <v>809</v>
      </c>
    </row>
    <row r="349" spans="1:38" s="408" customFormat="1" ht="12" customHeight="1">
      <c r="A349" s="413"/>
      <c r="B349" s="47" t="s">
        <v>102</v>
      </c>
      <c r="C349" s="47"/>
      <c r="D349" s="47"/>
      <c r="E349" s="414"/>
      <c r="F349" s="414"/>
      <c r="G349" s="415"/>
      <c r="H349" s="415"/>
      <c r="I349" s="415"/>
      <c r="J349" s="415"/>
      <c r="K349" s="413"/>
      <c r="L349" s="413"/>
      <c r="M349" s="413"/>
      <c r="N349" s="413"/>
      <c r="O349" s="413"/>
      <c r="P349" s="413"/>
      <c r="Q349" s="415"/>
      <c r="R349" s="414"/>
      <c r="S349" s="413"/>
      <c r="T349" s="413"/>
      <c r="U349" s="413"/>
      <c r="V349" s="413"/>
      <c r="W349" s="413"/>
      <c r="X349" s="413"/>
      <c r="Y349" s="413"/>
      <c r="Z349" s="416"/>
      <c r="AA349" s="413"/>
      <c r="AB349" s="413"/>
      <c r="AC349" s="413"/>
      <c r="AD349" s="413"/>
      <c r="AE349" s="413"/>
      <c r="AF349" s="413"/>
      <c r="AG349" s="413"/>
      <c r="AH349" s="413"/>
      <c r="AI349" s="413"/>
      <c r="AJ349" s="413"/>
      <c r="AK349" s="413"/>
      <c r="AL349" s="591"/>
    </row>
    <row r="350" spans="1:38" s="347" customFormat="1" ht="12" customHeight="1">
      <c r="A350" s="340" t="s">
        <v>98</v>
      </c>
      <c r="B350" s="341" t="s">
        <v>54</v>
      </c>
      <c r="C350" s="342" t="s">
        <v>99</v>
      </c>
      <c r="D350" s="335" t="str">
        <f>+RIGHT(C350,8)</f>
        <v>HC626329</v>
      </c>
      <c r="E350" s="372">
        <v>608211.68000000005</v>
      </c>
      <c r="F350" s="372">
        <v>608211.68000000005</v>
      </c>
      <c r="G350" s="341" t="s">
        <v>81</v>
      </c>
      <c r="H350" s="373" t="s">
        <v>101</v>
      </c>
      <c r="I350" s="281" t="s">
        <v>103</v>
      </c>
      <c r="J350" s="311" t="s">
        <v>100</v>
      </c>
      <c r="K350" s="340"/>
      <c r="L350" s="311"/>
      <c r="M350" s="311"/>
      <c r="N350" s="361"/>
      <c r="O350" s="342"/>
      <c r="P350" s="319">
        <f>+F350</f>
        <v>608211.68000000005</v>
      </c>
      <c r="Q350" s="287"/>
      <c r="R350" s="374"/>
      <c r="S350" s="341"/>
      <c r="T350" s="341"/>
      <c r="U350" s="341" t="s">
        <v>52</v>
      </c>
      <c r="V350" s="501"/>
      <c r="W350" s="344"/>
      <c r="X350" s="344"/>
      <c r="Y350" s="345"/>
      <c r="Z350" s="535"/>
      <c r="AA350" s="320">
        <f>+Y350-Z350</f>
        <v>0</v>
      </c>
      <c r="AB350" s="343"/>
      <c r="AC350" s="343"/>
      <c r="AD350" s="362"/>
      <c r="AE350" s="346"/>
      <c r="AF350" s="341"/>
      <c r="AG350" s="343" t="s">
        <v>102</v>
      </c>
      <c r="AH350" s="478"/>
      <c r="AI350" s="343"/>
      <c r="AJ350" s="365"/>
      <c r="AK350" s="366"/>
      <c r="AL350" s="593"/>
    </row>
    <row r="351" spans="1:38" ht="12.75" customHeight="1">
      <c r="A351" s="340" t="s">
        <v>156</v>
      </c>
      <c r="B351" s="375" t="s">
        <v>74</v>
      </c>
      <c r="C351" s="375" t="s">
        <v>157</v>
      </c>
      <c r="D351" s="260" t="str">
        <f>+RIGHT(C351,8)</f>
        <v>HH023331</v>
      </c>
      <c r="E351" s="376">
        <v>199598.88</v>
      </c>
      <c r="F351" s="376">
        <v>199598.88</v>
      </c>
      <c r="G351" s="280" t="s">
        <v>158</v>
      </c>
      <c r="H351" s="377" t="s">
        <v>101</v>
      </c>
      <c r="I351" s="281" t="s">
        <v>210</v>
      </c>
      <c r="J351" s="299" t="s">
        <v>100</v>
      </c>
      <c r="K351" s="340"/>
      <c r="L351" s="283"/>
      <c r="M351" s="278"/>
      <c r="N351" s="301"/>
      <c r="P351" s="319">
        <f>+F351</f>
        <v>199598.88</v>
      </c>
      <c r="Q351" s="287"/>
      <c r="S351" s="287"/>
      <c r="T351" s="287"/>
      <c r="U351" s="294" t="s">
        <v>52</v>
      </c>
      <c r="V351" s="502"/>
      <c r="W351" s="290"/>
      <c r="X351" s="290"/>
      <c r="Y351" s="326"/>
      <c r="Z351" s="535"/>
      <c r="AA351" s="293">
        <f>+Y351-Z351</f>
        <v>0</v>
      </c>
      <c r="AC351" s="294"/>
      <c r="AD351" s="294"/>
      <c r="AE351" s="296"/>
      <c r="AF351" s="287"/>
      <c r="AG351" s="294" t="s">
        <v>102</v>
      </c>
      <c r="AH351" s="478"/>
      <c r="AI351" s="278"/>
      <c r="AJ351" s="330"/>
      <c r="AK351" s="379"/>
    </row>
    <row r="352" spans="1:38" s="300" customFormat="1" ht="12" customHeight="1">
      <c r="A352" s="340" t="s">
        <v>88</v>
      </c>
      <c r="B352" s="287" t="s">
        <v>59</v>
      </c>
      <c r="C352" s="260" t="s">
        <v>89</v>
      </c>
      <c r="D352" s="260" t="s">
        <v>245</v>
      </c>
      <c r="E352" s="380">
        <v>244800</v>
      </c>
      <c r="F352" s="329">
        <v>244800</v>
      </c>
      <c r="G352" s="287" t="s">
        <v>81</v>
      </c>
      <c r="H352" s="278" t="s">
        <v>101</v>
      </c>
      <c r="I352" s="487" t="s">
        <v>660</v>
      </c>
      <c r="J352" s="299" t="s">
        <v>100</v>
      </c>
      <c r="K352" s="340"/>
      <c r="L352" s="283"/>
      <c r="M352" s="284"/>
      <c r="N352" s="282"/>
      <c r="O352" s="286"/>
      <c r="P352" s="319">
        <f>+F352</f>
        <v>244800</v>
      </c>
      <c r="Q352" s="287"/>
      <c r="R352" s="332">
        <v>43088</v>
      </c>
      <c r="S352" s="287"/>
      <c r="T352" s="287"/>
      <c r="U352" s="294" t="s">
        <v>52</v>
      </c>
      <c r="V352" s="502"/>
      <c r="W352" s="290"/>
      <c r="X352" s="290"/>
      <c r="Y352" s="326"/>
      <c r="Z352" s="535"/>
      <c r="AA352" s="293">
        <v>0</v>
      </c>
      <c r="AB352" s="294"/>
      <c r="AC352" s="294"/>
      <c r="AD352" s="294"/>
      <c r="AE352" s="296"/>
      <c r="AF352" s="287"/>
      <c r="AG352" s="294" t="s">
        <v>102</v>
      </c>
      <c r="AH352" s="478"/>
      <c r="AI352" s="278" t="s">
        <v>170</v>
      </c>
      <c r="AJ352" s="330"/>
      <c r="AK352" s="330"/>
      <c r="AL352" s="589"/>
    </row>
    <row r="353" spans="1:38" ht="12.75" customHeight="1">
      <c r="A353" s="340" t="s">
        <v>200</v>
      </c>
      <c r="B353" s="278" t="s">
        <v>83</v>
      </c>
      <c r="C353" s="278" t="s">
        <v>201</v>
      </c>
      <c r="D353" s="260" t="s">
        <v>247</v>
      </c>
      <c r="E353" s="376">
        <v>212617.72</v>
      </c>
      <c r="F353" s="376">
        <v>212617.72</v>
      </c>
      <c r="G353" s="280" t="s">
        <v>158</v>
      </c>
      <c r="H353" s="278" t="s">
        <v>101</v>
      </c>
      <c r="I353" s="281" t="s">
        <v>685</v>
      </c>
      <c r="J353" s="299" t="s">
        <v>100</v>
      </c>
      <c r="K353" s="340"/>
      <c r="L353" s="283"/>
      <c r="M353" s="278"/>
      <c r="N353" s="301"/>
      <c r="P353" s="319">
        <f>+F353</f>
        <v>212617.72</v>
      </c>
      <c r="Q353" s="287"/>
      <c r="S353" s="287"/>
      <c r="T353" s="287"/>
      <c r="U353" s="294" t="s">
        <v>52</v>
      </c>
      <c r="V353" s="502"/>
      <c r="W353" s="290"/>
      <c r="X353" s="290"/>
      <c r="Y353" s="326"/>
      <c r="Z353" s="535"/>
      <c r="AA353" s="293">
        <f>+Y353-Z353</f>
        <v>0</v>
      </c>
      <c r="AC353" s="294"/>
      <c r="AD353" s="295"/>
      <c r="AE353" s="296"/>
      <c r="AF353" s="287"/>
      <c r="AG353" s="294" t="s">
        <v>102</v>
      </c>
      <c r="AH353" s="478"/>
      <c r="AI353" s="278" t="s">
        <v>220</v>
      </c>
      <c r="AJ353" s="330"/>
      <c r="AK353" s="330"/>
    </row>
    <row r="354" spans="1:38" ht="12.75" customHeight="1">
      <c r="A354" s="340" t="s">
        <v>148</v>
      </c>
      <c r="B354" s="348" t="s">
        <v>424</v>
      </c>
      <c r="C354" s="349" t="s">
        <v>426</v>
      </c>
      <c r="D354" s="350" t="str">
        <f>+RIGHT(C354,8)</f>
        <v>GC452523</v>
      </c>
      <c r="E354" s="333">
        <v>780000</v>
      </c>
      <c r="F354" s="333">
        <v>780000</v>
      </c>
      <c r="G354" s="352" t="s">
        <v>63</v>
      </c>
      <c r="H354" s="281" t="s">
        <v>101</v>
      </c>
      <c r="I354" s="281" t="s">
        <v>686</v>
      </c>
      <c r="J354" s="299" t="s">
        <v>100</v>
      </c>
      <c r="K354" s="340"/>
      <c r="L354" s="354"/>
      <c r="P354" s="319">
        <f>F354+O354</f>
        <v>780000</v>
      </c>
      <c r="Q354" s="287"/>
      <c r="S354" s="287"/>
      <c r="T354" s="287"/>
      <c r="U354" s="294" t="s">
        <v>52</v>
      </c>
      <c r="W354" s="355"/>
      <c r="X354" s="356"/>
      <c r="Y354" s="326"/>
      <c r="Z354" s="535"/>
      <c r="AA354" s="293">
        <f>+Y354-Z354</f>
        <v>0</v>
      </c>
      <c r="AE354" s="296"/>
      <c r="AF354" s="287"/>
      <c r="AG354" s="294" t="s">
        <v>102</v>
      </c>
      <c r="AH354" s="478"/>
      <c r="AI354" s="294"/>
      <c r="AJ354" s="358"/>
      <c r="AK354" s="359"/>
    </row>
    <row r="355" spans="1:38" s="528" customFormat="1">
      <c r="A355" s="340" t="s">
        <v>444</v>
      </c>
      <c r="B355" s="528" t="s">
        <v>490</v>
      </c>
      <c r="C355" s="528" t="s">
        <v>491</v>
      </c>
      <c r="D355" s="350" t="str">
        <f>+RIGHT(C355,8)</f>
        <v>JT151938</v>
      </c>
      <c r="E355" s="333">
        <v>345000</v>
      </c>
      <c r="F355" s="333">
        <v>345000</v>
      </c>
      <c r="G355" s="352" t="s">
        <v>63</v>
      </c>
      <c r="H355" s="281" t="s">
        <v>101</v>
      </c>
      <c r="I355" s="281" t="s">
        <v>687</v>
      </c>
      <c r="J355" s="299" t="s">
        <v>100</v>
      </c>
      <c r="K355" s="340"/>
      <c r="L355" s="489"/>
      <c r="M355" s="490"/>
      <c r="N355" s="282"/>
      <c r="O355" s="286"/>
      <c r="P355" s="319">
        <f>F355+O355</f>
        <v>345000</v>
      </c>
      <c r="Q355" s="287"/>
      <c r="R355" s="288"/>
      <c r="S355" s="287"/>
      <c r="T355" s="287"/>
      <c r="U355" s="294" t="s">
        <v>52</v>
      </c>
      <c r="V355" s="282"/>
      <c r="W355" s="355"/>
      <c r="X355" s="356"/>
      <c r="Y355" s="326"/>
      <c r="Z355" s="535"/>
      <c r="AA355" s="293">
        <f>+Y355-Z355</f>
        <v>0</v>
      </c>
      <c r="AB355" s="294"/>
      <c r="AC355" s="357"/>
      <c r="AD355" s="282"/>
      <c r="AE355" s="296"/>
      <c r="AF355" s="287"/>
      <c r="AG355" s="294" t="s">
        <v>102</v>
      </c>
      <c r="AH355" s="478"/>
      <c r="AI355" s="294"/>
      <c r="AJ355" s="358"/>
      <c r="AK355" s="359"/>
      <c r="AL355" s="590"/>
    </row>
    <row r="356" spans="1:38" s="300" customFormat="1" ht="12" customHeight="1">
      <c r="A356" s="301" t="s">
        <v>286</v>
      </c>
      <c r="B356" s="278" t="s">
        <v>120</v>
      </c>
      <c r="C356" s="278" t="s">
        <v>290</v>
      </c>
      <c r="D356" s="260" t="str">
        <f>+RIGHT(C356,8)</f>
        <v>K9121864</v>
      </c>
      <c r="E356" s="279">
        <v>217505.14</v>
      </c>
      <c r="F356" s="279">
        <v>217505.14</v>
      </c>
      <c r="G356" s="280" t="s">
        <v>158</v>
      </c>
      <c r="H356" s="281" t="s">
        <v>101</v>
      </c>
      <c r="I356" s="281" t="s">
        <v>556</v>
      </c>
      <c r="J356" s="299" t="s">
        <v>100</v>
      </c>
      <c r="K356" s="282"/>
      <c r="L356" s="283"/>
      <c r="M356" s="278"/>
      <c r="N356" s="285"/>
      <c r="O356" s="286"/>
      <c r="P356" s="286">
        <f>O356+F356</f>
        <v>217505.14</v>
      </c>
      <c r="Q356" s="287"/>
      <c r="R356" s="288"/>
      <c r="S356" s="287"/>
      <c r="T356" s="287"/>
      <c r="U356" s="294" t="s">
        <v>52</v>
      </c>
      <c r="V356" s="502"/>
      <c r="W356" s="290"/>
      <c r="X356" s="290"/>
      <c r="Y356" s="326"/>
      <c r="Z356" s="535"/>
      <c r="AA356" s="293">
        <f>+Y356-Z356</f>
        <v>0</v>
      </c>
      <c r="AB356" s="294"/>
      <c r="AC356" s="294"/>
      <c r="AD356" s="295"/>
      <c r="AE356" s="296"/>
      <c r="AF356" s="287"/>
      <c r="AG356" s="294" t="s">
        <v>102</v>
      </c>
      <c r="AH356" s="478"/>
      <c r="AI356" s="294" t="s">
        <v>555</v>
      </c>
      <c r="AJ356" s="358"/>
      <c r="AK356" s="359"/>
      <c r="AL356" s="589"/>
    </row>
    <row r="357" spans="1:38" s="412" customFormat="1" ht="12" customHeight="1">
      <c r="A357" s="417"/>
      <c r="B357" s="253" t="s">
        <v>1202</v>
      </c>
      <c r="C357" s="253"/>
      <c r="D357" s="253"/>
      <c r="E357" s="418"/>
      <c r="F357" s="418"/>
      <c r="G357" s="419"/>
      <c r="H357" s="419"/>
      <c r="I357" s="419"/>
      <c r="J357" s="419"/>
      <c r="K357" s="417"/>
      <c r="L357" s="417"/>
      <c r="M357" s="417"/>
      <c r="N357" s="417"/>
      <c r="O357" s="417"/>
      <c r="P357" s="417"/>
      <c r="Q357" s="419"/>
      <c r="R357" s="418"/>
      <c r="S357" s="417"/>
      <c r="T357" s="417"/>
      <c r="U357" s="417"/>
      <c r="V357" s="417"/>
      <c r="W357" s="417"/>
      <c r="X357" s="417"/>
      <c r="Y357" s="417"/>
      <c r="Z357" s="420"/>
      <c r="AA357" s="417"/>
      <c r="AB357" s="417"/>
      <c r="AC357" s="417"/>
      <c r="AD357" s="417"/>
      <c r="AE357" s="417"/>
      <c r="AF357" s="417"/>
      <c r="AG357" s="417"/>
      <c r="AH357" s="417"/>
      <c r="AI357" s="417"/>
      <c r="AJ357" s="417"/>
      <c r="AK357" s="417"/>
      <c r="AL357" s="592"/>
    </row>
    <row r="358" spans="1:38" s="347" customFormat="1" ht="12" customHeight="1">
      <c r="A358" s="381">
        <v>42914</v>
      </c>
      <c r="B358" s="341" t="s">
        <v>60</v>
      </c>
      <c r="C358" s="342" t="s">
        <v>84</v>
      </c>
      <c r="D358" s="335" t="str">
        <f>+RIGHT(C358,8)</f>
        <v>GG121775</v>
      </c>
      <c r="E358" s="372">
        <v>336455.38</v>
      </c>
      <c r="F358" s="372">
        <v>336455.38</v>
      </c>
      <c r="G358" s="341" t="s">
        <v>85</v>
      </c>
      <c r="H358" s="373" t="s">
        <v>101</v>
      </c>
      <c r="I358" s="281" t="s">
        <v>182</v>
      </c>
      <c r="J358" s="311" t="s">
        <v>100</v>
      </c>
      <c r="K358" s="361"/>
      <c r="L358" s="334"/>
      <c r="M358" s="308"/>
      <c r="N358" s="307"/>
      <c r="O358" s="382"/>
      <c r="P358" s="382">
        <f>+F358</f>
        <v>336455.38</v>
      </c>
      <c r="Q358" s="287"/>
      <c r="R358" s="374"/>
      <c r="S358" s="341"/>
      <c r="T358" s="341"/>
      <c r="U358" s="343" t="s">
        <v>52</v>
      </c>
      <c r="V358" s="501"/>
      <c r="W358" s="344"/>
      <c r="X358" s="344"/>
      <c r="Y358" s="345"/>
      <c r="Z358" s="535"/>
      <c r="AA358" s="320">
        <f>+Y358-Z358</f>
        <v>0</v>
      </c>
      <c r="AB358" s="343"/>
      <c r="AC358" s="343"/>
      <c r="AD358" s="343"/>
      <c r="AE358" s="346"/>
      <c r="AF358" s="341"/>
      <c r="AG358" s="343" t="s">
        <v>251</v>
      </c>
      <c r="AH358" s="478"/>
      <c r="AI358" s="308" t="s">
        <v>278</v>
      </c>
      <c r="AJ358" s="383" t="s">
        <v>506</v>
      </c>
      <c r="AK358" s="384"/>
      <c r="AL358" s="593"/>
    </row>
    <row r="359" spans="1:38" s="421" customFormat="1" ht="12" customHeight="1">
      <c r="A359" s="417"/>
      <c r="B359" s="253" t="s">
        <v>1203</v>
      </c>
      <c r="C359" s="253"/>
      <c r="D359" s="253"/>
      <c r="E359" s="418"/>
      <c r="F359" s="418"/>
      <c r="G359" s="419"/>
      <c r="H359" s="419"/>
      <c r="I359" s="419"/>
      <c r="J359" s="419"/>
      <c r="K359" s="417"/>
      <c r="L359" s="417"/>
      <c r="M359" s="417"/>
      <c r="N359" s="417"/>
      <c r="O359" s="417"/>
      <c r="P359" s="417"/>
      <c r="Q359" s="419"/>
      <c r="R359" s="418"/>
      <c r="S359" s="417"/>
      <c r="T359" s="417"/>
      <c r="U359" s="417"/>
      <c r="V359" s="417"/>
      <c r="W359" s="417"/>
      <c r="X359" s="417"/>
      <c r="Y359" s="417"/>
      <c r="Z359" s="420"/>
      <c r="AA359" s="417"/>
      <c r="AB359" s="417"/>
      <c r="AC359" s="417"/>
      <c r="AD359" s="417"/>
      <c r="AE359" s="417"/>
      <c r="AF359" s="417"/>
      <c r="AG359" s="417"/>
      <c r="AH359" s="417"/>
      <c r="AI359" s="417"/>
      <c r="AJ359" s="417"/>
      <c r="AK359" s="417"/>
      <c r="AL359" s="594"/>
    </row>
    <row r="360" spans="1:38" s="300" customFormat="1" ht="12" customHeight="1">
      <c r="A360" s="278"/>
      <c r="B360" s="278"/>
      <c r="C360" s="278"/>
      <c r="D360" s="260"/>
      <c r="E360" s="279"/>
      <c r="F360" s="279"/>
      <c r="G360" s="280"/>
      <c r="H360" s="281" t="s">
        <v>101</v>
      </c>
      <c r="I360" s="281"/>
      <c r="J360" s="311" t="s">
        <v>100</v>
      </c>
      <c r="K360" s="301"/>
      <c r="L360" s="323"/>
      <c r="M360" s="278"/>
      <c r="N360" s="285"/>
      <c r="O360" s="378"/>
      <c r="P360" s="286">
        <f>O360+F360</f>
        <v>0</v>
      </c>
      <c r="Q360" s="287"/>
      <c r="R360" s="288"/>
      <c r="S360" s="287"/>
      <c r="T360" s="287"/>
      <c r="U360" s="287" t="s">
        <v>52</v>
      </c>
      <c r="V360" s="502"/>
      <c r="W360" s="290"/>
      <c r="X360" s="290"/>
      <c r="Y360" s="326"/>
      <c r="Z360" s="292"/>
      <c r="AA360" s="293">
        <f>+Y360-Z360</f>
        <v>0</v>
      </c>
      <c r="AB360" s="294"/>
      <c r="AC360" s="294"/>
      <c r="AD360" s="295"/>
      <c r="AE360" s="296"/>
      <c r="AF360" s="287"/>
      <c r="AG360" s="343" t="s">
        <v>251</v>
      </c>
      <c r="AH360" s="478"/>
      <c r="AI360" s="294"/>
      <c r="AJ360" s="278"/>
      <c r="AK360" s="331"/>
      <c r="AL360" s="588">
        <f ca="1">+$A$1-A360</f>
        <v>43745</v>
      </c>
    </row>
    <row r="361" spans="1:38" s="300" customFormat="1" ht="12" customHeight="1">
      <c r="A361" s="278"/>
      <c r="B361" s="278"/>
      <c r="C361" s="278"/>
      <c r="D361" s="260"/>
      <c r="E361" s="279"/>
      <c r="F361" s="279"/>
      <c r="G361" s="280"/>
      <c r="H361" s="281"/>
      <c r="I361" s="281"/>
      <c r="J361" s="311"/>
      <c r="K361" s="301"/>
      <c r="L361" s="323"/>
      <c r="M361" s="278"/>
      <c r="N361" s="285"/>
      <c r="O361" s="378"/>
      <c r="P361" s="286"/>
      <c r="Q361" s="287"/>
      <c r="R361" s="288"/>
      <c r="S361" s="287"/>
      <c r="T361" s="287"/>
      <c r="U361" s="287"/>
      <c r="V361" s="502"/>
      <c r="W361" s="290"/>
      <c r="X361" s="290"/>
      <c r="Y361" s="326"/>
      <c r="Z361" s="292"/>
      <c r="AA361" s="293"/>
      <c r="AB361" s="294"/>
      <c r="AC361" s="294"/>
      <c r="AD361" s="295"/>
      <c r="AE361" s="296"/>
      <c r="AF361" s="287"/>
      <c r="AG361" s="343"/>
      <c r="AH361" s="478"/>
      <c r="AI361" s="294"/>
      <c r="AJ361" s="278"/>
      <c r="AK361" s="331"/>
      <c r="AL361" s="588"/>
    </row>
    <row r="362" spans="1:38" s="300" customFormat="1" ht="12" customHeight="1">
      <c r="A362" s="278"/>
      <c r="B362" s="278"/>
      <c r="C362" s="278"/>
      <c r="D362" s="260"/>
      <c r="E362" s="279"/>
      <c r="F362" s="279"/>
      <c r="G362" s="280"/>
      <c r="H362" s="281"/>
      <c r="I362" s="281"/>
      <c r="J362" s="311"/>
      <c r="K362" s="301"/>
      <c r="L362" s="323"/>
      <c r="M362" s="278"/>
      <c r="N362" s="285"/>
      <c r="O362" s="378"/>
      <c r="P362" s="286"/>
      <c r="Q362" s="287"/>
      <c r="R362" s="288"/>
      <c r="S362" s="287"/>
      <c r="T362" s="287"/>
      <c r="U362" s="287"/>
      <c r="V362" s="502"/>
      <c r="W362" s="290"/>
      <c r="X362" s="290"/>
      <c r="Y362" s="326"/>
      <c r="Z362" s="292"/>
      <c r="AA362" s="293"/>
      <c r="AB362" s="294"/>
      <c r="AC362" s="294"/>
      <c r="AD362" s="295"/>
      <c r="AE362" s="296"/>
      <c r="AF362" s="287"/>
      <c r="AG362" s="343"/>
      <c r="AH362" s="478"/>
      <c r="AI362" s="294"/>
      <c r="AJ362" s="278"/>
      <c r="AK362" s="331"/>
      <c r="AL362" s="588"/>
    </row>
    <row r="366" spans="1:38" ht="13.5">
      <c r="C366" s="581"/>
    </row>
  </sheetData>
  <autoFilter ref="A2:AK362" xr:uid="{00000000-0009-0000-0000-000003000000}"/>
  <conditionalFormatting sqref="I1:I3">
    <cfRule type="containsText" dxfId="605" priority="16133" operator="containsText" text="ENTREGADA">
      <formula>NOT(ISERROR(SEARCH("ENTREGADA",I1)))</formula>
    </cfRule>
  </conditionalFormatting>
  <conditionalFormatting sqref="I326 I301 I171 I187 I144 I146 I213:I214 I206:I207 I178:I179 I175:I176 I139:I141 I14:I17 I152:I155 I158 I160:I161 I247 I173 I19:I22 I346 I121:I122 I164:I166 I328:I342 I4:I9 I26:I119">
    <cfRule type="containsText" dxfId="604" priority="16000" operator="containsText" text="BODY">
      <formula>NOT(ISERROR(SEARCH("BODY",I4)))</formula>
    </cfRule>
    <cfRule type="containsText" dxfId="603" priority="16001" operator="containsText" text="ENTREGADA">
      <formula>NOT(ISERROR(SEARCH("ENTREGADA",I4)))</formula>
    </cfRule>
    <cfRule type="containsText" dxfId="602" priority="16002" operator="containsText" text="ATLACOMULCO">
      <formula>NOT(ISERROR(SEARCH("ATLACOMULCO",I4)))</formula>
    </cfRule>
    <cfRule type="containsText" dxfId="601" priority="16003" operator="containsText" text="MITSU">
      <formula>NOT(ISERROR(SEARCH("MITSU",I4)))</formula>
    </cfRule>
    <cfRule type="containsText" dxfId="600" priority="16004" operator="containsText" text="ATLACOMULCO">
      <formula>NOT(ISERROR(SEARCH("ATLACOMULCO",I4)))</formula>
    </cfRule>
    <cfRule type="containsText" dxfId="599" priority="16005" operator="containsText" text="FIAT">
      <formula>NOT(ISERROR(SEARCH("FIAT",I4)))</formula>
    </cfRule>
    <cfRule type="containsText" dxfId="598" priority="16006" operator="containsText" text="P1">
      <formula>NOT(ISERROR(SEARCH("P1",I4)))</formula>
    </cfRule>
    <cfRule type="containsText" dxfId="597" priority="16007" operator="containsText" text="P3">
      <formula>NOT(ISERROR(SEARCH("P3",I4)))</formula>
    </cfRule>
    <cfRule type="containsText" dxfId="596" priority="16008" operator="containsText" text="SALA">
      <formula>NOT(ISERROR(SEARCH("SALA",I4)))</formula>
    </cfRule>
    <cfRule type="containsText" dxfId="595" priority="16009" operator="containsText" text="TENANCINGO">
      <formula>NOT(ISERROR(SEARCH("TENANCINGO",I4)))</formula>
    </cfRule>
    <cfRule type="containsText" dxfId="594" priority="16010" operator="containsText" text="LERMA">
      <formula>NOT(ISERROR(SEARCH("LERMA",I4)))</formula>
    </cfRule>
  </conditionalFormatting>
  <conditionalFormatting sqref="D300">
    <cfRule type="duplicateValues" dxfId="593" priority="1244672"/>
  </conditionalFormatting>
  <conditionalFormatting sqref="D354">
    <cfRule type="duplicateValues" dxfId="592" priority="6691"/>
  </conditionalFormatting>
  <conditionalFormatting sqref="D355">
    <cfRule type="duplicateValues" dxfId="591" priority="6679"/>
  </conditionalFormatting>
  <conditionalFormatting sqref="D302">
    <cfRule type="duplicateValues" dxfId="590" priority="1255769"/>
  </conditionalFormatting>
  <conditionalFormatting sqref="D184:D186">
    <cfRule type="duplicateValues" dxfId="589" priority="6026"/>
  </conditionalFormatting>
  <conditionalFormatting sqref="D189">
    <cfRule type="duplicateValues" dxfId="588" priority="5787"/>
  </conditionalFormatting>
  <conditionalFormatting sqref="D190">
    <cfRule type="duplicateValues" dxfId="587" priority="5775"/>
  </conditionalFormatting>
  <conditionalFormatting sqref="D356">
    <cfRule type="duplicateValues" dxfId="586" priority="5672"/>
  </conditionalFormatting>
  <conditionalFormatting sqref="D170">
    <cfRule type="duplicateValues" dxfId="585" priority="1257001"/>
  </conditionalFormatting>
  <conditionalFormatting sqref="D187">
    <cfRule type="duplicateValues" dxfId="584" priority="1257827"/>
  </conditionalFormatting>
  <conditionalFormatting sqref="D349:D353 D281 D297 D363:D1048576 D324:D325 D345 D357:D359 D169 D1:D120">
    <cfRule type="duplicateValues" dxfId="583" priority="1258642"/>
  </conditionalFormatting>
  <conditionalFormatting sqref="D223">
    <cfRule type="duplicateValues" dxfId="582" priority="2312"/>
  </conditionalFormatting>
  <conditionalFormatting sqref="D348">
    <cfRule type="duplicateValues" dxfId="581" priority="1259029"/>
  </conditionalFormatting>
  <conditionalFormatting sqref="D282">
    <cfRule type="duplicateValues" dxfId="580" priority="1977"/>
  </conditionalFormatting>
  <conditionalFormatting sqref="D305">
    <cfRule type="duplicateValues" dxfId="579" priority="1942"/>
  </conditionalFormatting>
  <conditionalFormatting sqref="D306">
    <cfRule type="duplicateValues" dxfId="578" priority="1930"/>
  </conditionalFormatting>
  <conditionalFormatting sqref="D191">
    <cfRule type="duplicateValues" dxfId="577" priority="1259339"/>
  </conditionalFormatting>
  <conditionalFormatting sqref="D200:D202">
    <cfRule type="duplicateValues" dxfId="576" priority="1259538"/>
  </conditionalFormatting>
  <conditionalFormatting sqref="I158 I160:I161 I19:I22 I345:I359 I363:I1048576 I164:I166 I139:I155 I324:I342 I169:I228 I235:I247 I254:I264 I281:I286 I1:I17 I26:I122 I296:I311">
    <cfRule type="containsText" dxfId="575" priority="1611" operator="containsText" text="ENTREGADA">
      <formula>NOT(ISERROR(SEARCH("ENTREGADA",I1)))</formula>
    </cfRule>
    <cfRule type="containsText" dxfId="574" priority="1612" operator="containsText" text="ENTREGADA">
      <formula>NOT(ISERROR(SEARCH("ENTREGADA",I1)))</formula>
    </cfRule>
  </conditionalFormatting>
  <conditionalFormatting sqref="I18">
    <cfRule type="containsText" dxfId="573" priority="1584" operator="containsText" text="ENTREGADA">
      <formula>NOT(ISERROR(SEARCH("ENTREGADA",I18)))</formula>
    </cfRule>
    <cfRule type="containsText" dxfId="572" priority="1585" operator="containsText" text="ENTREGADA">
      <formula>NOT(ISERROR(SEARCH("ENTREGADA",I18)))</formula>
    </cfRule>
  </conditionalFormatting>
  <conditionalFormatting sqref="I156:I157">
    <cfRule type="containsText" dxfId="571" priority="1520" operator="containsText" text="ENTREGADA">
      <formula>NOT(ISERROR(SEARCH("ENTREGADA",I156)))</formula>
    </cfRule>
    <cfRule type="containsText" dxfId="570" priority="1521" operator="containsText" text="ENTREGADA">
      <formula>NOT(ISERROR(SEARCH("ENTREGADA",I156)))</formula>
    </cfRule>
  </conditionalFormatting>
  <conditionalFormatting sqref="D156:D157">
    <cfRule type="duplicateValues" dxfId="569" priority="1514"/>
  </conditionalFormatting>
  <conditionalFormatting sqref="D199">
    <cfRule type="duplicateValues" dxfId="568" priority="1260313"/>
  </conditionalFormatting>
  <conditionalFormatting sqref="I135:I137">
    <cfRule type="containsText" dxfId="567" priority="1329" operator="containsText" text="ENTREGADA">
      <formula>NOT(ISERROR(SEARCH("ENTREGADA",I135)))</formula>
    </cfRule>
    <cfRule type="containsText" dxfId="566" priority="1330" operator="containsText" text="ENTREGADA">
      <formula>NOT(ISERROR(SEARCH("ENTREGADA",I135)))</formula>
    </cfRule>
  </conditionalFormatting>
  <conditionalFormatting sqref="D135:D137">
    <cfRule type="duplicateValues" dxfId="565" priority="1323"/>
  </conditionalFormatting>
  <conditionalFormatting sqref="D134">
    <cfRule type="duplicateValues" dxfId="564" priority="1297"/>
  </conditionalFormatting>
  <conditionalFormatting sqref="I134">
    <cfRule type="containsText" dxfId="563" priority="1295" operator="containsText" text="ENTREGADA">
      <formula>NOT(ISERROR(SEARCH("ENTREGADA",I134)))</formula>
    </cfRule>
    <cfRule type="containsText" dxfId="562" priority="1296" operator="containsText" text="ENTREGADA">
      <formula>NOT(ISERROR(SEARCH("ENTREGADA",I134)))</formula>
    </cfRule>
  </conditionalFormatting>
  <conditionalFormatting sqref="D138">
    <cfRule type="duplicateValues" dxfId="561" priority="1286"/>
  </conditionalFormatting>
  <conditionalFormatting sqref="I138">
    <cfRule type="containsText" dxfId="560" priority="1284" operator="containsText" text="ENTREGADA">
      <formula>NOT(ISERROR(SEARCH("ENTREGADA",I138)))</formula>
    </cfRule>
    <cfRule type="containsText" dxfId="559" priority="1285" operator="containsText" text="ENTREGADA">
      <formula>NOT(ISERROR(SEARCH("ENTREGADA",I138)))</formula>
    </cfRule>
  </conditionalFormatting>
  <conditionalFormatting sqref="D283">
    <cfRule type="duplicateValues" dxfId="558" priority="1261048"/>
  </conditionalFormatting>
  <conditionalFormatting sqref="D139:D141">
    <cfRule type="duplicateValues" dxfId="557" priority="1261138"/>
  </conditionalFormatting>
  <conditionalFormatting sqref="I23:I25">
    <cfRule type="containsText" dxfId="556" priority="1263" operator="containsText" text="ENTREGADA">
      <formula>NOT(ISERROR(SEARCH("ENTREGADA",I23)))</formula>
    </cfRule>
    <cfRule type="containsText" dxfId="555" priority="1264" operator="containsText" text="ENTREGADA">
      <formula>NOT(ISERROR(SEARCH("ENTREGADA",I23)))</formula>
    </cfRule>
  </conditionalFormatting>
  <conditionalFormatting sqref="AL160:AL161 AL345:AL359 AL363:AL1048576 AL164:AL166 AL134:AL158 AL324:AL342 AL169:AL247 AL1:AL122 AL253:AL313">
    <cfRule type="cellIs" dxfId="554" priority="1232" operator="greaterThan">
      <formula>365</formula>
    </cfRule>
    <cfRule type="cellIs" dxfId="553" priority="1233" operator="equal">
      <formula>365</formula>
    </cfRule>
  </conditionalFormatting>
  <conditionalFormatting sqref="D298:D299">
    <cfRule type="duplicateValues" dxfId="552" priority="1261150"/>
  </conditionalFormatting>
  <conditionalFormatting sqref="D229:D230">
    <cfRule type="duplicateValues" dxfId="551" priority="1220"/>
  </conditionalFormatting>
  <conditionalFormatting sqref="I229:I230">
    <cfRule type="containsText" dxfId="550" priority="1218" operator="containsText" text="ENTREGADA">
      <formula>NOT(ISERROR(SEARCH("ENTREGADA",I229)))</formula>
    </cfRule>
    <cfRule type="containsText" dxfId="549" priority="1219" operator="containsText" text="ENTREGADA">
      <formula>NOT(ISERROR(SEARCH("ENTREGADA",I229)))</formula>
    </cfRule>
  </conditionalFormatting>
  <conditionalFormatting sqref="AL229:AL230">
    <cfRule type="cellIs" dxfId="548" priority="1208" operator="greaterThan">
      <formula>365</formula>
    </cfRule>
    <cfRule type="cellIs" dxfId="547" priority="1209" operator="equal">
      <formula>365</formula>
    </cfRule>
  </conditionalFormatting>
  <conditionalFormatting sqref="D231">
    <cfRule type="duplicateValues" dxfId="546" priority="1207"/>
  </conditionalFormatting>
  <conditionalFormatting sqref="I231">
    <cfRule type="containsText" dxfId="545" priority="1205" operator="containsText" text="ENTREGADA">
      <formula>NOT(ISERROR(SEARCH("ENTREGADA",I231)))</formula>
    </cfRule>
    <cfRule type="containsText" dxfId="544" priority="1206" operator="containsText" text="ENTREGADA">
      <formula>NOT(ISERROR(SEARCH("ENTREGADA",I231)))</formula>
    </cfRule>
  </conditionalFormatting>
  <conditionalFormatting sqref="AL231">
    <cfRule type="cellIs" dxfId="543" priority="1195" operator="greaterThan">
      <formula>365</formula>
    </cfRule>
    <cfRule type="cellIs" dxfId="542" priority="1196" operator="equal">
      <formula>365</formula>
    </cfRule>
  </conditionalFormatting>
  <conditionalFormatting sqref="D232:D233">
    <cfRule type="duplicateValues" dxfId="541" priority="1194"/>
  </conditionalFormatting>
  <conditionalFormatting sqref="I232:I233">
    <cfRule type="containsText" dxfId="540" priority="1192" operator="containsText" text="ENTREGADA">
      <formula>NOT(ISERROR(SEARCH("ENTREGADA",I232)))</formula>
    </cfRule>
    <cfRule type="containsText" dxfId="539" priority="1193" operator="containsText" text="ENTREGADA">
      <formula>NOT(ISERROR(SEARCH("ENTREGADA",I232)))</formula>
    </cfRule>
  </conditionalFormatting>
  <conditionalFormatting sqref="AL232:AL233">
    <cfRule type="cellIs" dxfId="538" priority="1182" operator="greaterThan">
      <formula>365</formula>
    </cfRule>
    <cfRule type="cellIs" dxfId="537" priority="1183" operator="equal">
      <formula>365</formula>
    </cfRule>
  </conditionalFormatting>
  <conditionalFormatting sqref="D234">
    <cfRule type="duplicateValues" dxfId="536" priority="1181"/>
  </conditionalFormatting>
  <conditionalFormatting sqref="I234">
    <cfRule type="containsText" dxfId="535" priority="1179" operator="containsText" text="ENTREGADA">
      <formula>NOT(ISERROR(SEARCH("ENTREGADA",I234)))</formula>
    </cfRule>
    <cfRule type="containsText" dxfId="534" priority="1180" operator="containsText" text="ENTREGADA">
      <formula>NOT(ISERROR(SEARCH("ENTREGADA",I234)))</formula>
    </cfRule>
  </conditionalFormatting>
  <conditionalFormatting sqref="AL234">
    <cfRule type="cellIs" dxfId="533" priority="1169" operator="greaterThan">
      <formula>365</formula>
    </cfRule>
    <cfRule type="cellIs" dxfId="532" priority="1170" operator="equal">
      <formula>365</formula>
    </cfRule>
  </conditionalFormatting>
  <conditionalFormatting sqref="D203:D222">
    <cfRule type="duplicateValues" dxfId="531" priority="1261226"/>
  </conditionalFormatting>
  <conditionalFormatting sqref="D158">
    <cfRule type="duplicateValues" dxfId="530" priority="1261316"/>
  </conditionalFormatting>
  <conditionalFormatting sqref="I159">
    <cfRule type="containsText" dxfId="529" priority="1071" operator="containsText" text="ENTREGADA">
      <formula>NOT(ISERROR(SEARCH("ENTREGADA",I159)))</formula>
    </cfRule>
    <cfRule type="containsText" dxfId="528" priority="1072" operator="containsText" text="ENTREGADA">
      <formula>NOT(ISERROR(SEARCH("ENTREGADA",I159)))</formula>
    </cfRule>
  </conditionalFormatting>
  <conditionalFormatting sqref="D159">
    <cfRule type="duplicateValues" dxfId="527" priority="1062"/>
  </conditionalFormatting>
  <conditionalFormatting sqref="AL159">
    <cfRule type="cellIs" dxfId="526" priority="1060" operator="greaterThan">
      <formula>365</formula>
    </cfRule>
    <cfRule type="cellIs" dxfId="525" priority="1061" operator="equal">
      <formula>365</formula>
    </cfRule>
  </conditionalFormatting>
  <conditionalFormatting sqref="I162:I163">
    <cfRule type="containsText" dxfId="524" priority="1023" operator="containsText" text="ENTREGADA">
      <formula>NOT(ISERROR(SEARCH("ENTREGADA",I162)))</formula>
    </cfRule>
    <cfRule type="containsText" dxfId="523" priority="1024" operator="containsText" text="ENTREGADA">
      <formula>NOT(ISERROR(SEARCH("ENTREGADA",I162)))</formula>
    </cfRule>
  </conditionalFormatting>
  <conditionalFormatting sqref="AL162:AL163">
    <cfRule type="cellIs" dxfId="522" priority="1013" operator="greaterThan">
      <formula>365</formula>
    </cfRule>
    <cfRule type="cellIs" dxfId="521" priority="1014" operator="equal">
      <formula>365</formula>
    </cfRule>
  </conditionalFormatting>
  <conditionalFormatting sqref="D162:D163">
    <cfRule type="duplicateValues" dxfId="520" priority="1012"/>
  </conditionalFormatting>
  <conditionalFormatting sqref="D160:D161">
    <cfRule type="duplicateValues" dxfId="519" priority="1261667"/>
  </conditionalFormatting>
  <conditionalFormatting sqref="D312">
    <cfRule type="duplicateValues" dxfId="518" priority="988"/>
  </conditionalFormatting>
  <conditionalFormatting sqref="D313">
    <cfRule type="duplicateValues" dxfId="517" priority="987"/>
  </conditionalFormatting>
  <conditionalFormatting sqref="I312:I313">
    <cfRule type="containsText" dxfId="516" priority="985" operator="containsText" text="ENTREGADA">
      <formula>NOT(ISERROR(SEARCH("ENTREGADA",I312)))</formula>
    </cfRule>
    <cfRule type="containsText" dxfId="515" priority="986" operator="containsText" text="ENTREGADA">
      <formula>NOT(ISERROR(SEARCH("ENTREGADA",I312)))</formula>
    </cfRule>
  </conditionalFormatting>
  <conditionalFormatting sqref="I248:I251">
    <cfRule type="containsText" dxfId="514" priority="850" operator="containsText" text="ENTREGADA">
      <formula>NOT(ISERROR(SEARCH("ENTREGADA",I248)))</formula>
    </cfRule>
    <cfRule type="containsText" dxfId="513" priority="851" operator="containsText" text="ENTREGADA">
      <formula>NOT(ISERROR(SEARCH("ENTREGADA",I248)))</formula>
    </cfRule>
  </conditionalFormatting>
  <conditionalFormatting sqref="AL248:AL251">
    <cfRule type="cellIs" dxfId="512" priority="840" operator="greaterThan">
      <formula>365</formula>
    </cfRule>
    <cfRule type="cellIs" dxfId="511" priority="841" operator="equal">
      <formula>365</formula>
    </cfRule>
  </conditionalFormatting>
  <conditionalFormatting sqref="I252">
    <cfRule type="containsText" dxfId="510" priority="801" operator="containsText" text="ENTREGADA">
      <formula>NOT(ISERROR(SEARCH("ENTREGADA",I252)))</formula>
    </cfRule>
    <cfRule type="containsText" dxfId="509" priority="802" operator="containsText" text="ENTREGADA">
      <formula>NOT(ISERROR(SEARCH("ENTREGADA",I252)))</formula>
    </cfRule>
  </conditionalFormatting>
  <conditionalFormatting sqref="AL252">
    <cfRule type="cellIs" dxfId="508" priority="791" operator="greaterThan">
      <formula>365</formula>
    </cfRule>
    <cfRule type="cellIs" dxfId="507" priority="792" operator="equal">
      <formula>365</formula>
    </cfRule>
  </conditionalFormatting>
  <conditionalFormatting sqref="D315:D316">
    <cfRule type="duplicateValues" dxfId="506" priority="748"/>
  </conditionalFormatting>
  <conditionalFormatting sqref="D314">
    <cfRule type="duplicateValues" dxfId="505" priority="747"/>
  </conditionalFormatting>
  <conditionalFormatting sqref="I314:I316">
    <cfRule type="containsText" dxfId="504" priority="745" operator="containsText" text="ENTREGADA">
      <formula>NOT(ISERROR(SEARCH("ENTREGADA",I314)))</formula>
    </cfRule>
    <cfRule type="containsText" dxfId="503" priority="746" operator="containsText" text="ENTREGADA">
      <formula>NOT(ISERROR(SEARCH("ENTREGADA",I314)))</formula>
    </cfRule>
  </conditionalFormatting>
  <conditionalFormatting sqref="AL314:AL316">
    <cfRule type="cellIs" dxfId="502" priority="735" operator="greaterThan">
      <formula>365</formula>
    </cfRule>
    <cfRule type="cellIs" dxfId="501" priority="736" operator="equal">
      <formula>365</formula>
    </cfRule>
  </conditionalFormatting>
  <conditionalFormatting sqref="D144:D147">
    <cfRule type="duplicateValues" dxfId="500" priority="1262123"/>
  </conditionalFormatting>
  <conditionalFormatting sqref="D253">
    <cfRule type="duplicateValues" dxfId="499" priority="652"/>
  </conditionalFormatting>
  <conditionalFormatting sqref="I253">
    <cfRule type="containsText" dxfId="498" priority="650" operator="containsText" text="ENTREGADA">
      <formula>NOT(ISERROR(SEARCH("ENTREGADA",I253)))</formula>
    </cfRule>
    <cfRule type="containsText" dxfId="497" priority="651" operator="containsText" text="ENTREGADA">
      <formula>NOT(ISERROR(SEARCH("ENTREGADA",I253)))</formula>
    </cfRule>
  </conditionalFormatting>
  <conditionalFormatting sqref="D252">
    <cfRule type="duplicateValues" dxfId="496" priority="1262255"/>
  </conditionalFormatting>
  <conditionalFormatting sqref="I167">
    <cfRule type="containsText" dxfId="495" priority="530" operator="containsText" text="ENTREGADA">
      <formula>NOT(ISERROR(SEARCH("ENTREGADA",I167)))</formula>
    </cfRule>
    <cfRule type="containsText" dxfId="494" priority="531" operator="containsText" text="ENTREGADA">
      <formula>NOT(ISERROR(SEARCH("ENTREGADA",I167)))</formula>
    </cfRule>
  </conditionalFormatting>
  <conditionalFormatting sqref="AL167">
    <cfRule type="cellIs" dxfId="493" priority="520" operator="greaterThan">
      <formula>365</formula>
    </cfRule>
    <cfRule type="cellIs" dxfId="492" priority="521" operator="equal">
      <formula>365</formula>
    </cfRule>
  </conditionalFormatting>
  <conditionalFormatting sqref="D167">
    <cfRule type="duplicateValues" dxfId="491" priority="519"/>
  </conditionalFormatting>
  <conditionalFormatting sqref="I168">
    <cfRule type="containsText" dxfId="490" priority="506" operator="containsText" text="ENTREGADA">
      <formula>NOT(ISERROR(SEARCH("ENTREGADA",I168)))</formula>
    </cfRule>
    <cfRule type="containsText" dxfId="489" priority="507" operator="containsText" text="ENTREGADA">
      <formula>NOT(ISERROR(SEARCH("ENTREGADA",I168)))</formula>
    </cfRule>
  </conditionalFormatting>
  <conditionalFormatting sqref="AL168">
    <cfRule type="cellIs" dxfId="488" priority="496" operator="greaterThan">
      <formula>365</formula>
    </cfRule>
    <cfRule type="cellIs" dxfId="487" priority="497" operator="equal">
      <formula>365</formula>
    </cfRule>
  </conditionalFormatting>
  <conditionalFormatting sqref="D168">
    <cfRule type="duplicateValues" dxfId="486" priority="495"/>
  </conditionalFormatting>
  <conditionalFormatting sqref="D345 D281:D286 D297:D316 D134:D264 D324:D338 D363:D1048576 D1:D121 D347:D359">
    <cfRule type="duplicateValues" dxfId="485" priority="494"/>
  </conditionalFormatting>
  <conditionalFormatting sqref="D142:D143">
    <cfRule type="duplicateValues" dxfId="484" priority="1262501"/>
  </conditionalFormatting>
  <conditionalFormatting sqref="D265">
    <cfRule type="duplicateValues" dxfId="483" priority="436"/>
  </conditionalFormatting>
  <conditionalFormatting sqref="I265">
    <cfRule type="containsText" dxfId="482" priority="434" operator="containsText" text="ENTREGADA">
      <formula>NOT(ISERROR(SEARCH("ENTREGADA",I265)))</formula>
    </cfRule>
    <cfRule type="containsText" dxfId="481" priority="435" operator="containsText" text="ENTREGADA">
      <formula>NOT(ISERROR(SEARCH("ENTREGADA",I265)))</formula>
    </cfRule>
  </conditionalFormatting>
  <conditionalFormatting sqref="AL265">
    <cfRule type="cellIs" dxfId="480" priority="424" operator="greaterThan">
      <formula>365</formula>
    </cfRule>
    <cfRule type="cellIs" dxfId="479" priority="425" operator="equal">
      <formula>365</formula>
    </cfRule>
  </conditionalFormatting>
  <conditionalFormatting sqref="D265">
    <cfRule type="duplicateValues" dxfId="478" priority="423"/>
  </conditionalFormatting>
  <conditionalFormatting sqref="D266:D279">
    <cfRule type="duplicateValues" dxfId="477" priority="411"/>
  </conditionalFormatting>
  <conditionalFormatting sqref="I266:I276">
    <cfRule type="containsText" dxfId="476" priority="409" operator="containsText" text="ENTREGADA">
      <formula>NOT(ISERROR(SEARCH("ENTREGADA",I266)))</formula>
    </cfRule>
    <cfRule type="containsText" dxfId="475" priority="410" operator="containsText" text="ENTREGADA">
      <formula>NOT(ISERROR(SEARCH("ENTREGADA",I266)))</formula>
    </cfRule>
  </conditionalFormatting>
  <conditionalFormatting sqref="I277:I279">
    <cfRule type="containsText" dxfId="474" priority="388" operator="containsText" text="ENTREGADA">
      <formula>NOT(ISERROR(SEARCH("ENTREGADA",I277)))</formula>
    </cfRule>
    <cfRule type="containsText" dxfId="473" priority="389" operator="containsText" text="ENTREGADA">
      <formula>NOT(ISERROR(SEARCH("ENTREGADA",I277)))</formula>
    </cfRule>
  </conditionalFormatting>
  <conditionalFormatting sqref="AL266:AL279">
    <cfRule type="cellIs" dxfId="472" priority="378" operator="greaterThan">
      <formula>365</formula>
    </cfRule>
    <cfRule type="cellIs" dxfId="471" priority="379" operator="equal">
      <formula>365</formula>
    </cfRule>
  </conditionalFormatting>
  <conditionalFormatting sqref="D266:D279">
    <cfRule type="duplicateValues" dxfId="470" priority="377"/>
  </conditionalFormatting>
  <conditionalFormatting sqref="D280">
    <cfRule type="duplicateValues" dxfId="469" priority="376"/>
  </conditionalFormatting>
  <conditionalFormatting sqref="I280">
    <cfRule type="containsText" dxfId="468" priority="363" operator="containsText" text="ENTREGADA">
      <formula>NOT(ISERROR(SEARCH("ENTREGADA",I280)))</formula>
    </cfRule>
    <cfRule type="containsText" dxfId="467" priority="364" operator="containsText" text="ENTREGADA">
      <formula>NOT(ISERROR(SEARCH("ENTREGADA",I280)))</formula>
    </cfRule>
  </conditionalFormatting>
  <conditionalFormatting sqref="AL280">
    <cfRule type="cellIs" dxfId="466" priority="353" operator="greaterThan">
      <formula>365</formula>
    </cfRule>
    <cfRule type="cellIs" dxfId="465" priority="354" operator="equal">
      <formula>365</formula>
    </cfRule>
  </conditionalFormatting>
  <conditionalFormatting sqref="D280">
    <cfRule type="duplicateValues" dxfId="464" priority="352"/>
  </conditionalFormatting>
  <conditionalFormatting sqref="D192:D198">
    <cfRule type="duplicateValues" dxfId="463" priority="1262636"/>
  </conditionalFormatting>
  <conditionalFormatting sqref="D248:D251">
    <cfRule type="duplicateValues" dxfId="462" priority="1262775"/>
  </conditionalFormatting>
  <conditionalFormatting sqref="D292">
    <cfRule type="duplicateValues" dxfId="461" priority="351"/>
  </conditionalFormatting>
  <conditionalFormatting sqref="I292">
    <cfRule type="containsText" dxfId="460" priority="349" operator="containsText" text="ENTREGADA">
      <formula>NOT(ISERROR(SEARCH("ENTREGADA",I292)))</formula>
    </cfRule>
    <cfRule type="containsText" dxfId="459" priority="350" operator="containsText" text="ENTREGADA">
      <formula>NOT(ISERROR(SEARCH("ENTREGADA",I292)))</formula>
    </cfRule>
  </conditionalFormatting>
  <conditionalFormatting sqref="D287:D291">
    <cfRule type="duplicateValues" dxfId="458" priority="329"/>
  </conditionalFormatting>
  <conditionalFormatting sqref="I287:I291">
    <cfRule type="containsText" dxfId="457" priority="327" operator="containsText" text="ENTREGADA">
      <formula>NOT(ISERROR(SEARCH("ENTREGADA",I287)))</formula>
    </cfRule>
    <cfRule type="containsText" dxfId="456" priority="328" operator="containsText" text="ENTREGADA">
      <formula>NOT(ISERROR(SEARCH("ENTREGADA",I287)))</formula>
    </cfRule>
  </conditionalFormatting>
  <conditionalFormatting sqref="D287:D292">
    <cfRule type="duplicateValues" dxfId="455" priority="316"/>
  </conditionalFormatting>
  <conditionalFormatting sqref="I293">
    <cfRule type="containsText" dxfId="454" priority="303" operator="containsText" text="ENTREGADA">
      <formula>NOT(ISERROR(SEARCH("ENTREGADA",I293)))</formula>
    </cfRule>
    <cfRule type="containsText" dxfId="453" priority="304" operator="containsText" text="ENTREGADA">
      <formula>NOT(ISERROR(SEARCH("ENTREGADA",I293)))</formula>
    </cfRule>
  </conditionalFormatting>
  <conditionalFormatting sqref="D293">
    <cfRule type="duplicateValues" dxfId="452" priority="292"/>
  </conditionalFormatting>
  <conditionalFormatting sqref="D293">
    <cfRule type="duplicateValues" dxfId="451" priority="291"/>
  </conditionalFormatting>
  <conditionalFormatting sqref="I294:I295">
    <cfRule type="containsText" dxfId="450" priority="278" operator="containsText" text="ENTREGADA">
      <formula>NOT(ISERROR(SEARCH("ENTREGADA",I294)))</formula>
    </cfRule>
    <cfRule type="containsText" dxfId="449" priority="279" operator="containsText" text="ENTREGADA">
      <formula>NOT(ISERROR(SEARCH("ENTREGADA",I294)))</formula>
    </cfRule>
  </conditionalFormatting>
  <conditionalFormatting sqref="D294">
    <cfRule type="duplicateValues" dxfId="448" priority="267"/>
  </conditionalFormatting>
  <conditionalFormatting sqref="D317:D318">
    <cfRule type="duplicateValues" dxfId="447" priority="226"/>
  </conditionalFormatting>
  <conditionalFormatting sqref="I317:I318">
    <cfRule type="containsText" dxfId="446" priority="224" operator="containsText" text="ENTREGADA">
      <formula>NOT(ISERROR(SEARCH("ENTREGADA",I317)))</formula>
    </cfRule>
    <cfRule type="containsText" dxfId="445" priority="225" operator="containsText" text="ENTREGADA">
      <formula>NOT(ISERROR(SEARCH("ENTREGADA",I317)))</formula>
    </cfRule>
  </conditionalFormatting>
  <conditionalFormatting sqref="D317:D318">
    <cfRule type="duplicateValues" dxfId="444" priority="213"/>
  </conditionalFormatting>
  <conditionalFormatting sqref="AL317:AL318">
    <cfRule type="cellIs" dxfId="443" priority="211" operator="greaterThan">
      <formula>365</formula>
    </cfRule>
    <cfRule type="cellIs" dxfId="442" priority="212" operator="equal">
      <formula>365</formula>
    </cfRule>
  </conditionalFormatting>
  <conditionalFormatting sqref="D171:D176">
    <cfRule type="duplicateValues" dxfId="441" priority="1262897"/>
  </conditionalFormatting>
  <conditionalFormatting sqref="D177:D183">
    <cfRule type="duplicateValues" dxfId="440" priority="1262928"/>
  </conditionalFormatting>
  <conditionalFormatting sqref="D121">
    <cfRule type="duplicateValues" dxfId="439" priority="1263099"/>
  </conditionalFormatting>
  <conditionalFormatting sqref="I319:I320">
    <cfRule type="containsText" dxfId="438" priority="198" operator="containsText" text="ENTREGADA">
      <formula>NOT(ISERROR(SEARCH("ENTREGADA",I319)))</formula>
    </cfRule>
    <cfRule type="containsText" dxfId="437" priority="199" operator="containsText" text="ENTREGADA">
      <formula>NOT(ISERROR(SEARCH("ENTREGADA",I319)))</formula>
    </cfRule>
  </conditionalFormatting>
  <conditionalFormatting sqref="AL319:AL320">
    <cfRule type="cellIs" dxfId="436" priority="188" operator="greaterThan">
      <formula>365</formula>
    </cfRule>
    <cfRule type="cellIs" dxfId="435" priority="189" operator="equal">
      <formula>365</formula>
    </cfRule>
  </conditionalFormatting>
  <conditionalFormatting sqref="D319:D320">
    <cfRule type="duplicateValues" dxfId="434" priority="187"/>
  </conditionalFormatting>
  <conditionalFormatting sqref="D319:D320">
    <cfRule type="duplicateValues" dxfId="433" priority="186"/>
  </conditionalFormatting>
  <conditionalFormatting sqref="D301">
    <cfRule type="duplicateValues" dxfId="432" priority="1263154"/>
  </conditionalFormatting>
  <conditionalFormatting sqref="D123:D133">
    <cfRule type="duplicateValues" dxfId="431" priority="131"/>
  </conditionalFormatting>
  <conditionalFormatting sqref="D123:D133">
    <cfRule type="duplicateValues" dxfId="430" priority="130"/>
  </conditionalFormatting>
  <conditionalFormatting sqref="I123:I133">
    <cfRule type="containsText" dxfId="429" priority="117" operator="containsText" text="ENTREGADA">
      <formula>NOT(ISERROR(SEARCH("ENTREGADA",I123)))</formula>
    </cfRule>
    <cfRule type="containsText" dxfId="428" priority="118" operator="containsText" text="ENTREGADA">
      <formula>NOT(ISERROR(SEARCH("ENTREGADA",I123)))</formula>
    </cfRule>
  </conditionalFormatting>
  <conditionalFormatting sqref="AL123:AL133">
    <cfRule type="cellIs" dxfId="427" priority="107" operator="greaterThan">
      <formula>365</formula>
    </cfRule>
    <cfRule type="cellIs" dxfId="426" priority="108" operator="equal">
      <formula>365</formula>
    </cfRule>
  </conditionalFormatting>
  <conditionalFormatting sqref="AL123:AL133">
    <cfRule type="cellIs" dxfId="425" priority="105" operator="greaterThan">
      <formula>365</formula>
    </cfRule>
    <cfRule type="cellIs" dxfId="424" priority="106" operator="equal">
      <formula>365</formula>
    </cfRule>
  </conditionalFormatting>
  <conditionalFormatting sqref="I343:I344">
    <cfRule type="containsText" dxfId="423" priority="92" operator="containsText" text="ENTREGADA">
      <formula>NOT(ISERROR(SEARCH("ENTREGADA",I343)))</formula>
    </cfRule>
    <cfRule type="containsText" dxfId="422" priority="93" operator="containsText" text="ENTREGADA">
      <formula>NOT(ISERROR(SEARCH("ENTREGADA",I343)))</formula>
    </cfRule>
  </conditionalFormatting>
  <conditionalFormatting sqref="AL343:AL344">
    <cfRule type="cellIs" dxfId="421" priority="82" operator="greaterThan">
      <formula>365</formula>
    </cfRule>
    <cfRule type="cellIs" dxfId="420" priority="83" operator="equal">
      <formula>365</formula>
    </cfRule>
  </conditionalFormatting>
  <conditionalFormatting sqref="D343:D344">
    <cfRule type="duplicateValues" dxfId="419" priority="81"/>
  </conditionalFormatting>
  <conditionalFormatting sqref="D343:D344">
    <cfRule type="duplicateValues" dxfId="418" priority="80"/>
  </conditionalFormatting>
  <conditionalFormatting sqref="D339:D342">
    <cfRule type="duplicateValues" dxfId="417" priority="1263695"/>
  </conditionalFormatting>
  <conditionalFormatting sqref="D360:D362">
    <cfRule type="duplicateValues" dxfId="416" priority="43"/>
  </conditionalFormatting>
  <conditionalFormatting sqref="I360:I362">
    <cfRule type="containsText" dxfId="415" priority="41" operator="containsText" text="ENTREGADA">
      <formula>NOT(ISERROR(SEARCH("ENTREGADA",I360)))</formula>
    </cfRule>
    <cfRule type="containsText" dxfId="414" priority="42" operator="containsText" text="ENTREGADA">
      <formula>NOT(ISERROR(SEARCH("ENTREGADA",I360)))</formula>
    </cfRule>
  </conditionalFormatting>
  <conditionalFormatting sqref="AL360:AL362">
    <cfRule type="cellIs" dxfId="413" priority="31" operator="greaterThan">
      <formula>365</formula>
    </cfRule>
    <cfRule type="cellIs" dxfId="412" priority="32" operator="equal">
      <formula>365</formula>
    </cfRule>
  </conditionalFormatting>
  <conditionalFormatting sqref="D360:D362">
    <cfRule type="duplicateValues" dxfId="411" priority="30"/>
  </conditionalFormatting>
  <conditionalFormatting sqref="D346">
    <cfRule type="duplicateValues" dxfId="410" priority="29"/>
  </conditionalFormatting>
  <conditionalFormatting sqref="D346">
    <cfRule type="duplicateValues" dxfId="409" priority="28"/>
  </conditionalFormatting>
  <conditionalFormatting sqref="D321:D323">
    <cfRule type="duplicateValues" dxfId="408" priority="16"/>
  </conditionalFormatting>
  <conditionalFormatting sqref="I321:I323">
    <cfRule type="containsText" dxfId="407" priority="14" operator="containsText" text="ENTREGADA">
      <formula>NOT(ISERROR(SEARCH("ENTREGADA",I321)))</formula>
    </cfRule>
    <cfRule type="containsText" dxfId="406" priority="15" operator="containsText" text="ENTREGADA">
      <formula>NOT(ISERROR(SEARCH("ENTREGADA",I321)))</formula>
    </cfRule>
  </conditionalFormatting>
  <conditionalFormatting sqref="D321:D323">
    <cfRule type="duplicateValues" dxfId="405" priority="3"/>
  </conditionalFormatting>
  <conditionalFormatting sqref="AL321:AL323">
    <cfRule type="cellIs" dxfId="404" priority="1" operator="greaterThan">
      <formula>365</formula>
    </cfRule>
    <cfRule type="cellIs" dxfId="403" priority="2" operator="equal">
      <formula>365</formula>
    </cfRule>
  </conditionalFormatting>
  <conditionalFormatting sqref="D303:D304">
    <cfRule type="duplicateValues" dxfId="402" priority="1263772"/>
  </conditionalFormatting>
  <conditionalFormatting sqref="D122">
    <cfRule type="duplicateValues" dxfId="401" priority="1263829"/>
  </conditionalFormatting>
  <conditionalFormatting sqref="D164:D166">
    <cfRule type="duplicateValues" dxfId="400" priority="1263861"/>
  </conditionalFormatting>
  <conditionalFormatting sqref="D148:D155">
    <cfRule type="duplicateValues" dxfId="399" priority="1263894"/>
  </conditionalFormatting>
  <conditionalFormatting sqref="D326:D338">
    <cfRule type="duplicateValues" dxfId="398" priority="1264020"/>
  </conditionalFormatting>
  <conditionalFormatting sqref="D188">
    <cfRule type="duplicateValues" dxfId="397" priority="1264021"/>
  </conditionalFormatting>
  <conditionalFormatting sqref="D224:D225">
    <cfRule type="duplicateValues" dxfId="396" priority="1264046"/>
  </conditionalFormatting>
  <conditionalFormatting sqref="D226:D227">
    <cfRule type="duplicateValues" dxfId="395" priority="1264059"/>
  </conditionalFormatting>
  <conditionalFormatting sqref="D228">
    <cfRule type="duplicateValues" dxfId="394" priority="1264084"/>
  </conditionalFormatting>
  <conditionalFormatting sqref="D235">
    <cfRule type="duplicateValues" dxfId="393" priority="1264109"/>
  </conditionalFormatting>
  <conditionalFormatting sqref="D236:D237">
    <cfRule type="duplicateValues" dxfId="392" priority="1264110"/>
  </conditionalFormatting>
  <conditionalFormatting sqref="D238:D240">
    <cfRule type="duplicateValues" dxfId="391" priority="1264123"/>
  </conditionalFormatting>
  <conditionalFormatting sqref="D241:D247">
    <cfRule type="duplicateValues" dxfId="390" priority="1264173"/>
  </conditionalFormatting>
  <conditionalFormatting sqref="D254:D264">
    <cfRule type="duplicateValues" dxfId="389" priority="1264221"/>
  </conditionalFormatting>
  <conditionalFormatting sqref="D284:D286">
    <cfRule type="duplicateValues" dxfId="388" priority="1264234"/>
  </conditionalFormatting>
  <conditionalFormatting sqref="D294:D295">
    <cfRule type="duplicateValues" dxfId="387" priority="1264250"/>
  </conditionalFormatting>
  <conditionalFormatting sqref="D295">
    <cfRule type="duplicateValues" dxfId="386" priority="1264251"/>
  </conditionalFormatting>
  <conditionalFormatting sqref="D296">
    <cfRule type="duplicateValues" dxfId="385" priority="1264254"/>
  </conditionalFormatting>
  <conditionalFormatting sqref="D307:D311">
    <cfRule type="duplicateValues" dxfId="384" priority="1264279"/>
  </conditionalFormatting>
  <pageMargins left="0" right="0" top="0" bottom="0" header="0" footer="0"/>
  <pageSetup scale="26" fitToHeight="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7030A0"/>
  </sheetPr>
  <dimension ref="A1:AM76"/>
  <sheetViews>
    <sheetView zoomScale="89" zoomScaleNormal="89" workbookViewId="0">
      <pane ySplit="3" topLeftCell="A51" activePane="bottomLeft" state="frozen"/>
      <selection pane="bottomLeft" activeCell="R76" sqref="R76"/>
    </sheetView>
  </sheetViews>
  <sheetFormatPr baseColWidth="10" defaultRowHeight="12.75"/>
  <cols>
    <col min="1" max="1" width="11" style="7" customWidth="1"/>
    <col min="2" max="2" width="37.7109375" style="1" customWidth="1"/>
    <col min="3" max="3" width="20.5703125" style="1" bestFit="1" customWidth="1"/>
    <col min="4" max="4" width="10.85546875" style="2" customWidth="1"/>
    <col min="5" max="5" width="15.140625" style="13" customWidth="1"/>
    <col min="6" max="6" width="15.42578125" style="13" customWidth="1"/>
    <col min="7" max="7" width="12.5703125" style="1" customWidth="1"/>
    <col min="8" max="8" width="12.7109375" style="1" customWidth="1"/>
    <col min="9" max="9" width="11" style="281" customWidth="1"/>
    <col min="10" max="10" width="14.140625" style="1" customWidth="1"/>
    <col min="11" max="11" width="12.28515625" style="7" customWidth="1"/>
    <col min="12" max="12" width="11.7109375" style="7" customWidth="1"/>
    <col min="13" max="13" width="6.28515625" style="1" customWidth="1"/>
    <col min="14" max="14" width="6.42578125" style="9" customWidth="1"/>
    <col min="15" max="15" width="7.5703125" style="8" customWidth="1"/>
    <col min="16" max="16" width="15.28515625" style="8" customWidth="1"/>
    <col min="17" max="17" width="11.7109375" style="1" customWidth="1"/>
    <col min="18" max="18" width="13.85546875" style="5" customWidth="1"/>
    <col min="19" max="19" width="16.5703125" style="32" customWidth="1"/>
    <col min="20" max="20" width="30.28515625" style="11" customWidth="1"/>
    <col min="21" max="21" width="10.7109375" style="1" customWidth="1"/>
    <col min="22" max="22" width="12.5703125" style="7" customWidth="1"/>
    <col min="23" max="23" width="15.140625" style="10" customWidth="1"/>
    <col min="24" max="24" width="13.140625" style="7" customWidth="1"/>
    <col min="25" max="25" width="15.28515625" style="13" customWidth="1"/>
    <col min="26" max="26" width="15.85546875" style="232" customWidth="1"/>
    <col min="27" max="27" width="15.85546875" style="233" customWidth="1"/>
    <col min="28" max="28" width="12.28515625" style="1" customWidth="1"/>
    <col min="29" max="29" width="12.42578125" style="10" customWidth="1"/>
    <col min="30" max="30" width="10.85546875" style="7" customWidth="1"/>
    <col min="31" max="31" width="13.7109375" style="40" customWidth="1"/>
    <col min="32" max="32" width="24" style="1" customWidth="1"/>
    <col min="33" max="33" width="18.140625" style="1" bestFit="1" customWidth="1"/>
    <col min="34" max="34" width="27.85546875" style="1" customWidth="1"/>
    <col min="35" max="35" width="21.5703125" style="13" customWidth="1"/>
    <col min="36" max="36" width="17.5703125" style="1" customWidth="1"/>
    <col min="37" max="37" width="32.42578125" style="1" bestFit="1" customWidth="1"/>
    <col min="38" max="16384" width="11.42578125" style="1"/>
  </cols>
  <sheetData>
    <row r="1" spans="1:39" s="3" customFormat="1">
      <c r="A1" s="4"/>
      <c r="D1" s="12"/>
      <c r="E1" s="227"/>
      <c r="F1" s="227"/>
      <c r="I1" s="281"/>
      <c r="K1" s="4"/>
      <c r="L1" s="4"/>
      <c r="M1" s="4"/>
      <c r="N1" s="228"/>
      <c r="O1" s="4"/>
      <c r="P1" s="4"/>
      <c r="R1" s="34"/>
      <c r="S1" s="17"/>
      <c r="T1" s="14"/>
      <c r="V1" s="4"/>
      <c r="W1" s="6"/>
      <c r="X1" s="4"/>
      <c r="Y1" s="229"/>
      <c r="Z1" s="230"/>
      <c r="AA1" s="230"/>
      <c r="AC1" s="6"/>
      <c r="AD1" s="4"/>
      <c r="AE1" s="38"/>
      <c r="AI1" s="227"/>
    </row>
    <row r="2" spans="1:39" s="3" customFormat="1">
      <c r="A2" s="4">
        <f ca="1">TODAY()</f>
        <v>43745</v>
      </c>
      <c r="D2" s="12"/>
      <c r="E2" s="227"/>
      <c r="F2" s="227"/>
      <c r="I2" s="281"/>
      <c r="J2" s="18"/>
      <c r="K2" s="4"/>
      <c r="L2" s="228"/>
      <c r="M2" s="231"/>
      <c r="N2" s="231"/>
      <c r="O2" s="231"/>
      <c r="P2" s="231"/>
      <c r="Q2" s="18"/>
      <c r="R2" s="34"/>
      <c r="S2" s="17"/>
      <c r="T2" s="14"/>
      <c r="V2" s="4"/>
      <c r="W2" s="6"/>
      <c r="X2" s="4"/>
      <c r="Y2" s="229"/>
      <c r="Z2" s="230"/>
      <c r="AA2" s="230"/>
      <c r="AC2" s="6"/>
      <c r="AD2" s="4"/>
      <c r="AE2" s="38"/>
      <c r="AI2" s="227"/>
    </row>
    <row r="3" spans="1:39" s="31" customFormat="1" ht="28.5" customHeight="1">
      <c r="A3" s="19" t="s">
        <v>2</v>
      </c>
      <c r="B3" s="20" t="s">
        <v>3</v>
      </c>
      <c r="C3" s="20" t="s">
        <v>4</v>
      </c>
      <c r="D3" s="20" t="s">
        <v>51</v>
      </c>
      <c r="E3" s="167" t="s">
        <v>5</v>
      </c>
      <c r="F3" s="167" t="s">
        <v>43</v>
      </c>
      <c r="G3" s="20" t="s">
        <v>6</v>
      </c>
      <c r="H3" s="20" t="s">
        <v>7</v>
      </c>
      <c r="I3" s="20" t="s">
        <v>8</v>
      </c>
      <c r="J3" s="21" t="s">
        <v>9</v>
      </c>
      <c r="K3" s="22" t="s">
        <v>10</v>
      </c>
      <c r="L3" s="22" t="s">
        <v>11</v>
      </c>
      <c r="M3" s="443" t="s">
        <v>344</v>
      </c>
      <c r="N3" s="24" t="s">
        <v>13</v>
      </c>
      <c r="O3" s="25" t="s">
        <v>14</v>
      </c>
      <c r="P3" s="25" t="s">
        <v>15</v>
      </c>
      <c r="Q3" s="21" t="s">
        <v>16</v>
      </c>
      <c r="R3" s="33" t="s">
        <v>78</v>
      </c>
      <c r="S3" s="27" t="s">
        <v>50</v>
      </c>
      <c r="T3" s="28" t="s">
        <v>18</v>
      </c>
      <c r="U3" s="26" t="s">
        <v>19</v>
      </c>
      <c r="V3" s="29" t="s">
        <v>20</v>
      </c>
      <c r="W3" s="30" t="s">
        <v>21</v>
      </c>
      <c r="X3" s="29" t="s">
        <v>22</v>
      </c>
      <c r="Y3" s="168" t="s">
        <v>23</v>
      </c>
      <c r="Z3" s="169" t="s">
        <v>24</v>
      </c>
      <c r="AA3" s="169" t="s">
        <v>25</v>
      </c>
      <c r="AB3" s="26" t="s">
        <v>46</v>
      </c>
      <c r="AC3" s="30" t="s">
        <v>26</v>
      </c>
      <c r="AD3" s="29" t="s">
        <v>27</v>
      </c>
      <c r="AE3" s="39" t="s">
        <v>28</v>
      </c>
      <c r="AF3" s="26" t="s">
        <v>42</v>
      </c>
      <c r="AG3" s="26" t="s">
        <v>47</v>
      </c>
      <c r="AH3" s="26" t="s">
        <v>29</v>
      </c>
      <c r="AI3" s="169"/>
      <c r="AJ3" s="26" t="s">
        <v>30</v>
      </c>
      <c r="AK3" s="26" t="s">
        <v>61</v>
      </c>
    </row>
    <row r="4" spans="1:39" ht="18.75">
      <c r="B4" s="467" t="s">
        <v>653</v>
      </c>
      <c r="H4" s="2"/>
      <c r="O4" s="97"/>
      <c r="P4" s="97"/>
    </row>
    <row r="5" spans="1:39" s="299" customFormat="1" ht="12">
      <c r="A5" s="282" t="s">
        <v>567</v>
      </c>
      <c r="B5" s="299" t="s">
        <v>248</v>
      </c>
      <c r="C5" s="299" t="s">
        <v>568</v>
      </c>
      <c r="D5" s="278" t="s">
        <v>651</v>
      </c>
      <c r="E5" s="534">
        <v>427826.75</v>
      </c>
      <c r="F5" s="534">
        <v>427826.75</v>
      </c>
      <c r="G5" s="299" t="s">
        <v>158</v>
      </c>
      <c r="H5" s="278" t="s">
        <v>33</v>
      </c>
      <c r="I5" s="281" t="s">
        <v>80</v>
      </c>
      <c r="J5" s="299" t="s">
        <v>160</v>
      </c>
      <c r="K5" s="282" t="s">
        <v>567</v>
      </c>
      <c r="L5" s="282">
        <v>43655</v>
      </c>
      <c r="M5" s="299">
        <v>-7</v>
      </c>
      <c r="N5" s="462">
        <v>16</v>
      </c>
      <c r="O5" s="286"/>
      <c r="P5" s="286">
        <v>427826.75</v>
      </c>
      <c r="R5" s="332">
        <v>43647</v>
      </c>
      <c r="S5" s="386" t="s">
        <v>598</v>
      </c>
      <c r="T5" s="533" t="s">
        <v>599</v>
      </c>
      <c r="U5" s="299" t="s">
        <v>31</v>
      </c>
      <c r="V5" s="282" t="s">
        <v>590</v>
      </c>
      <c r="W5" s="357"/>
      <c r="X5" s="282"/>
      <c r="Y5" s="534">
        <v>454900</v>
      </c>
      <c r="Z5" s="535">
        <v>455745</v>
      </c>
      <c r="AA5" s="543">
        <v>-845</v>
      </c>
      <c r="AB5" s="299" t="s">
        <v>197</v>
      </c>
      <c r="AC5" s="357" t="s">
        <v>647</v>
      </c>
      <c r="AD5" s="282">
        <v>43645</v>
      </c>
      <c r="AE5" s="387"/>
      <c r="AF5" s="299" t="s">
        <v>180</v>
      </c>
      <c r="AG5" s="299" t="s">
        <v>82</v>
      </c>
      <c r="AI5" s="534"/>
      <c r="AJ5" s="299">
        <v>427826.75</v>
      </c>
      <c r="AK5" s="299">
        <v>0</v>
      </c>
      <c r="AL5" s="299">
        <v>16</v>
      </c>
    </row>
    <row r="6" spans="1:39" s="299" customFormat="1" ht="12">
      <c r="A6" s="282" t="s">
        <v>468</v>
      </c>
      <c r="B6" s="299" t="s">
        <v>145</v>
      </c>
      <c r="C6" s="299" t="s">
        <v>469</v>
      </c>
      <c r="D6" s="278" t="s">
        <v>652</v>
      </c>
      <c r="E6" s="534">
        <v>366751.45</v>
      </c>
      <c r="F6" s="534">
        <v>366751.45</v>
      </c>
      <c r="G6" s="299" t="s">
        <v>158</v>
      </c>
      <c r="H6" s="278" t="s">
        <v>33</v>
      </c>
      <c r="I6" s="281" t="s">
        <v>56</v>
      </c>
      <c r="J6" s="299" t="s">
        <v>160</v>
      </c>
      <c r="K6" s="282" t="s">
        <v>468</v>
      </c>
      <c r="L6" s="282">
        <v>43636</v>
      </c>
      <c r="M6" s="299">
        <v>12</v>
      </c>
      <c r="N6" s="462">
        <v>35</v>
      </c>
      <c r="O6" s="286"/>
      <c r="P6" s="286">
        <v>366751.45</v>
      </c>
      <c r="R6" s="332">
        <v>43647</v>
      </c>
      <c r="S6" s="386" t="s">
        <v>644</v>
      </c>
      <c r="T6" s="533" t="s">
        <v>645</v>
      </c>
      <c r="U6" s="299" t="s">
        <v>37</v>
      </c>
      <c r="V6" s="282" t="s">
        <v>602</v>
      </c>
      <c r="W6" s="357"/>
      <c r="X6" s="282"/>
      <c r="Y6" s="534">
        <v>383900</v>
      </c>
      <c r="Z6" s="535">
        <v>114203.15</v>
      </c>
      <c r="AA6" s="543">
        <v>269696.84999999998</v>
      </c>
      <c r="AB6" s="299" t="s">
        <v>203</v>
      </c>
      <c r="AC6" s="357" t="s">
        <v>646</v>
      </c>
      <c r="AD6" s="282">
        <v>43644</v>
      </c>
      <c r="AE6" s="387"/>
      <c r="AF6" s="299" t="s">
        <v>173</v>
      </c>
      <c r="AG6" s="299" t="s">
        <v>82</v>
      </c>
      <c r="AI6" s="534"/>
      <c r="AJ6" s="299">
        <v>366751.45</v>
      </c>
      <c r="AK6" s="299">
        <v>0</v>
      </c>
      <c r="AL6" s="299">
        <v>35</v>
      </c>
    </row>
    <row r="7" spans="1:39" ht="18.75">
      <c r="B7" s="467" t="s">
        <v>794</v>
      </c>
    </row>
    <row r="8" spans="1:39" s="299" customFormat="1" ht="12">
      <c r="A8" s="282" t="s">
        <v>590</v>
      </c>
      <c r="B8" s="299" t="s">
        <v>628</v>
      </c>
      <c r="C8" s="299" t="s">
        <v>629</v>
      </c>
      <c r="D8" s="278" t="s">
        <v>793</v>
      </c>
      <c r="E8" s="534">
        <v>111840</v>
      </c>
      <c r="F8" s="534">
        <v>111840</v>
      </c>
      <c r="G8" s="299" t="s">
        <v>158</v>
      </c>
      <c r="H8" s="299" t="s">
        <v>33</v>
      </c>
      <c r="I8" s="281" t="s">
        <v>69</v>
      </c>
      <c r="J8" s="299" t="s">
        <v>170</v>
      </c>
      <c r="K8" s="282">
        <v>43658</v>
      </c>
      <c r="L8" s="282">
        <v>43681</v>
      </c>
      <c r="M8" s="299">
        <v>-2</v>
      </c>
      <c r="N8" s="462">
        <v>36</v>
      </c>
      <c r="O8" s="286"/>
      <c r="P8" s="286">
        <v>111840</v>
      </c>
      <c r="R8" s="332">
        <v>43678</v>
      </c>
      <c r="S8" s="386" t="s">
        <v>777</v>
      </c>
      <c r="T8" s="533" t="s">
        <v>778</v>
      </c>
      <c r="U8" s="299" t="s">
        <v>31</v>
      </c>
      <c r="V8" s="282">
        <v>43677</v>
      </c>
      <c r="W8" s="357"/>
      <c r="X8" s="282"/>
      <c r="Y8" s="534">
        <v>178000</v>
      </c>
      <c r="Z8" s="535">
        <v>178000</v>
      </c>
      <c r="AA8" s="543">
        <v>0</v>
      </c>
      <c r="AB8" s="299" t="s">
        <v>197</v>
      </c>
      <c r="AC8" s="357" t="s">
        <v>791</v>
      </c>
      <c r="AD8" s="282">
        <v>43677</v>
      </c>
      <c r="AE8" s="387"/>
      <c r="AF8" s="299" t="s">
        <v>262</v>
      </c>
      <c r="AG8" s="299" t="s">
        <v>82</v>
      </c>
      <c r="AI8" s="534"/>
      <c r="AJ8" s="299">
        <v>111840</v>
      </c>
      <c r="AK8" s="299">
        <v>0</v>
      </c>
      <c r="AL8" s="299">
        <v>36</v>
      </c>
    </row>
    <row r="9" spans="1:39" s="528" customFormat="1" ht="12">
      <c r="A9" s="528" t="s">
        <v>452</v>
      </c>
      <c r="B9" s="528" t="s">
        <v>492</v>
      </c>
      <c r="C9" s="528" t="s">
        <v>493</v>
      </c>
      <c r="D9" s="350" t="str">
        <f>+RIGHT(C9,8)</f>
        <v>GX047881</v>
      </c>
      <c r="E9" s="313">
        <v>144000</v>
      </c>
      <c r="F9" s="314">
        <v>144000</v>
      </c>
      <c r="G9" s="315" t="s">
        <v>158</v>
      </c>
      <c r="H9" s="278" t="s">
        <v>33</v>
      </c>
      <c r="I9" s="491" t="s">
        <v>80</v>
      </c>
      <c r="J9" s="316" t="s">
        <v>170</v>
      </c>
      <c r="K9" s="301">
        <v>43627</v>
      </c>
      <c r="L9" s="283">
        <f>K9+23</f>
        <v>43650</v>
      </c>
      <c r="M9" s="284">
        <f>$A$1-L9</f>
        <v>-43650</v>
      </c>
      <c r="N9" s="468">
        <f>+$A$1-K9</f>
        <v>-43627</v>
      </c>
      <c r="O9" s="286"/>
      <c r="P9" s="286">
        <f>+F9</f>
        <v>144000</v>
      </c>
      <c r="Q9" s="287"/>
      <c r="R9" s="332">
        <v>43693</v>
      </c>
      <c r="S9" s="289" t="s">
        <v>775</v>
      </c>
      <c r="T9" s="289" t="s">
        <v>776</v>
      </c>
      <c r="U9" s="294" t="s">
        <v>31</v>
      </c>
      <c r="V9" s="282">
        <v>43677</v>
      </c>
      <c r="W9" s="355"/>
      <c r="X9" s="356"/>
      <c r="Y9" s="291">
        <v>210000</v>
      </c>
      <c r="Z9" s="309">
        <f>4000+23000+183000</f>
        <v>210000</v>
      </c>
      <c r="AA9" s="293">
        <f>+Y9-Z9</f>
        <v>0</v>
      </c>
      <c r="AB9" s="294" t="s">
        <v>197</v>
      </c>
      <c r="AC9" s="357" t="s">
        <v>871</v>
      </c>
      <c r="AD9" s="282" t="s">
        <v>872</v>
      </c>
      <c r="AE9" s="296"/>
      <c r="AF9" s="289" t="s">
        <v>267</v>
      </c>
      <c r="AG9" s="294" t="s">
        <v>82</v>
      </c>
      <c r="AH9" s="478"/>
      <c r="AI9" s="286"/>
      <c r="AJ9" s="297">
        <f>VLOOKUP(D9,[6]Hoja1!$G$5:$I$204,3,0)</f>
        <v>144000</v>
      </c>
      <c r="AK9" s="298">
        <f>+AJ9-F9</f>
        <v>0</v>
      </c>
      <c r="AL9" s="299">
        <f>$A$1-A9</f>
        <v>-43598</v>
      </c>
      <c r="AM9" s="278"/>
    </row>
    <row r="10" spans="1:39" s="300" customFormat="1" ht="12" customHeight="1">
      <c r="A10" s="278" t="s">
        <v>486</v>
      </c>
      <c r="B10" s="278" t="s">
        <v>58</v>
      </c>
      <c r="C10" s="278" t="s">
        <v>488</v>
      </c>
      <c r="D10" s="260" t="str">
        <f>+RIGHT(C10,8)</f>
        <v>KG585901</v>
      </c>
      <c r="E10" s="279">
        <v>509107.35</v>
      </c>
      <c r="F10" s="279">
        <v>509107.35</v>
      </c>
      <c r="G10" s="280" t="s">
        <v>158</v>
      </c>
      <c r="H10" s="278" t="s">
        <v>33</v>
      </c>
      <c r="I10" s="281" t="s">
        <v>55</v>
      </c>
      <c r="J10" s="278" t="s">
        <v>160</v>
      </c>
      <c r="K10" s="282" t="str">
        <f>A10</f>
        <v>31/05/2019</v>
      </c>
      <c r="L10" s="283">
        <f>K10+23</f>
        <v>43639</v>
      </c>
      <c r="M10" s="284">
        <f>$A$1-L10</f>
        <v>-43639</v>
      </c>
      <c r="N10" s="468">
        <f>+$A$1-A10</f>
        <v>-43616</v>
      </c>
      <c r="O10" s="282"/>
      <c r="P10" s="286">
        <f>+F10</f>
        <v>509107.35</v>
      </c>
      <c r="Q10" s="287"/>
      <c r="R10" s="332">
        <v>43700</v>
      </c>
      <c r="S10" s="289" t="s">
        <v>502</v>
      </c>
      <c r="T10" s="289" t="s">
        <v>503</v>
      </c>
      <c r="U10" s="289" t="s">
        <v>804</v>
      </c>
      <c r="V10" s="500" t="s">
        <v>498</v>
      </c>
      <c r="W10" s="290"/>
      <c r="X10" s="290"/>
      <c r="Y10" s="291">
        <v>562100</v>
      </c>
      <c r="Z10" s="292">
        <f>300000+262100</f>
        <v>562100</v>
      </c>
      <c r="AA10" s="293">
        <f>+Y10-Z10</f>
        <v>0</v>
      </c>
      <c r="AB10" s="294" t="s">
        <v>68</v>
      </c>
      <c r="AC10" s="294" t="s">
        <v>892</v>
      </c>
      <c r="AD10" s="295" t="s">
        <v>893</v>
      </c>
      <c r="AE10" s="296"/>
      <c r="AF10" s="289" t="s">
        <v>187</v>
      </c>
      <c r="AG10" s="294" t="s">
        <v>82</v>
      </c>
      <c r="AH10" s="478"/>
      <c r="AI10" s="378"/>
      <c r="AJ10" s="297">
        <f>VLOOKUP(D10,[7]Hoja1!$G$6:$I$171,3,0)</f>
        <v>509107.35</v>
      </c>
      <c r="AK10" s="298">
        <f>+AJ10-F10</f>
        <v>0</v>
      </c>
      <c r="AL10" s="299">
        <f>$A$1-A10</f>
        <v>-43616</v>
      </c>
      <c r="AM10" s="278"/>
    </row>
    <row r="11" spans="1:39" s="300" customFormat="1" ht="12" customHeight="1">
      <c r="A11" s="278" t="s">
        <v>805</v>
      </c>
      <c r="B11" s="278" t="s">
        <v>83</v>
      </c>
      <c r="C11" s="278" t="s">
        <v>810</v>
      </c>
      <c r="D11" s="260" t="str">
        <f>+RIGHT(C11,8)</f>
        <v>KY332779</v>
      </c>
      <c r="E11" s="279">
        <v>226510.79</v>
      </c>
      <c r="F11" s="279">
        <v>226510.79</v>
      </c>
      <c r="G11" s="280" t="s">
        <v>158</v>
      </c>
      <c r="H11" s="278" t="s">
        <v>33</v>
      </c>
      <c r="I11" s="281" t="s">
        <v>44</v>
      </c>
      <c r="J11" s="278" t="s">
        <v>160</v>
      </c>
      <c r="K11" s="282" t="str">
        <f>A11</f>
        <v>07/08/2019</v>
      </c>
      <c r="L11" s="283">
        <f>K11+23</f>
        <v>43707</v>
      </c>
      <c r="M11" s="284">
        <f>$A$1-L11</f>
        <v>-43707</v>
      </c>
      <c r="N11" s="468">
        <f>+$A$1-A11</f>
        <v>-43684</v>
      </c>
      <c r="O11" s="282"/>
      <c r="P11" s="286">
        <f>+F11</f>
        <v>226510.79</v>
      </c>
      <c r="Q11" s="287"/>
      <c r="R11" s="332">
        <v>43705</v>
      </c>
      <c r="S11" s="287" t="s">
        <v>915</v>
      </c>
      <c r="T11" s="287" t="s">
        <v>909</v>
      </c>
      <c r="U11" s="287" t="s">
        <v>37</v>
      </c>
      <c r="V11" s="502">
        <v>43704</v>
      </c>
      <c r="W11" s="290"/>
      <c r="X11" s="290"/>
      <c r="Y11" s="326">
        <v>250900</v>
      </c>
      <c r="Z11" s="292">
        <v>27000</v>
      </c>
      <c r="AA11" s="293">
        <f>+Y11-Z11</f>
        <v>223900</v>
      </c>
      <c r="AB11" s="294" t="s">
        <v>203</v>
      </c>
      <c r="AC11" s="294" t="s">
        <v>911</v>
      </c>
      <c r="AD11" s="295">
        <v>43704</v>
      </c>
      <c r="AE11" s="296"/>
      <c r="AF11" s="287" t="s">
        <v>193</v>
      </c>
      <c r="AG11" s="294" t="s">
        <v>82</v>
      </c>
      <c r="AH11" s="478"/>
      <c r="AI11" s="378"/>
      <c r="AJ11" s="297">
        <f>VLOOKUP(D11,[8]Hoja1!$G$6:$I$171,3,0)</f>
        <v>226510.79</v>
      </c>
      <c r="AK11" s="298">
        <f>+AJ11-F11</f>
        <v>0</v>
      </c>
      <c r="AL11" s="299">
        <f>$A$1-A11</f>
        <v>-43684</v>
      </c>
      <c r="AM11" s="278"/>
    </row>
    <row r="13" spans="1:39" ht="18.75">
      <c r="B13" s="467" t="s">
        <v>980</v>
      </c>
    </row>
    <row r="14" spans="1:39" s="300" customFormat="1" ht="12" customHeight="1">
      <c r="A14" s="305" t="s">
        <v>634</v>
      </c>
      <c r="B14" s="305" t="s">
        <v>191</v>
      </c>
      <c r="C14" s="305" t="s">
        <v>635</v>
      </c>
      <c r="D14" s="260" t="str">
        <f>+RIGHT(C14,8)</f>
        <v>KG600195</v>
      </c>
      <c r="E14" s="279">
        <v>496518.43</v>
      </c>
      <c r="F14" s="279">
        <v>496518.43</v>
      </c>
      <c r="G14" s="280" t="s">
        <v>158</v>
      </c>
      <c r="H14" s="278" t="s">
        <v>33</v>
      </c>
      <c r="I14" s="281" t="s">
        <v>80</v>
      </c>
      <c r="J14" s="278" t="s">
        <v>160</v>
      </c>
      <c r="K14" s="282" t="str">
        <f>A14</f>
        <v>29/06/2019</v>
      </c>
      <c r="L14" s="283">
        <f>K14+23</f>
        <v>43668</v>
      </c>
      <c r="M14" s="284">
        <f>$A$1-L14</f>
        <v>-43668</v>
      </c>
      <c r="N14" s="468">
        <f>+$A$1-A14</f>
        <v>-43645</v>
      </c>
      <c r="O14" s="282"/>
      <c r="P14" s="286">
        <f>+F14</f>
        <v>496518.43</v>
      </c>
      <c r="Q14" s="287"/>
      <c r="R14" s="332">
        <v>43720</v>
      </c>
      <c r="S14" s="287" t="s">
        <v>836</v>
      </c>
      <c r="T14" s="287" t="s">
        <v>679</v>
      </c>
      <c r="U14" s="538" t="s">
        <v>202</v>
      </c>
      <c r="V14" s="502" t="s">
        <v>680</v>
      </c>
      <c r="W14" s="290" t="s">
        <v>919</v>
      </c>
      <c r="X14" s="503">
        <f>+AE14+30</f>
        <v>43722</v>
      </c>
      <c r="Y14" s="326">
        <v>522600</v>
      </c>
      <c r="Z14" s="292"/>
      <c r="AA14" s="293">
        <f>+Y14-Z14</f>
        <v>522600</v>
      </c>
      <c r="AB14" s="294"/>
      <c r="AC14" s="294"/>
      <c r="AD14" s="295"/>
      <c r="AE14" s="296">
        <v>43692</v>
      </c>
      <c r="AF14" s="287" t="s">
        <v>672</v>
      </c>
      <c r="AG14" s="294" t="s">
        <v>82</v>
      </c>
      <c r="AH14" s="478"/>
      <c r="AI14" s="378"/>
      <c r="AJ14" s="297">
        <f>VLOOKUP(D14,[9]Hoja1!$G$6:$I$237,3,0)</f>
        <v>496518.43</v>
      </c>
      <c r="AK14" s="298">
        <f>+AJ14-F14</f>
        <v>0</v>
      </c>
      <c r="AL14" s="588">
        <f>+$A$1-A14</f>
        <v>-43645</v>
      </c>
    </row>
    <row r="15" spans="1:39" s="300" customFormat="1" ht="12" customHeight="1">
      <c r="A15" s="595" t="s">
        <v>1114</v>
      </c>
      <c r="B15" s="278" t="s">
        <v>71</v>
      </c>
      <c r="C15" s="278" t="s">
        <v>1115</v>
      </c>
      <c r="D15" s="260" t="str">
        <f>+RIGHT(C15,8)</f>
        <v>KH007792</v>
      </c>
      <c r="E15" s="321">
        <v>195996.94</v>
      </c>
      <c r="F15" s="321">
        <v>195996.94</v>
      </c>
      <c r="G15" s="280" t="s">
        <v>158</v>
      </c>
      <c r="H15" s="278" t="s">
        <v>33</v>
      </c>
      <c r="I15" s="281" t="s">
        <v>39</v>
      </c>
      <c r="J15" s="278" t="s">
        <v>160</v>
      </c>
      <c r="K15" s="282" t="str">
        <f>A15</f>
        <v>21/09/2019</v>
      </c>
      <c r="L15" s="283">
        <f>K15+23</f>
        <v>43752</v>
      </c>
      <c r="M15" s="284">
        <f>$A$1-L15</f>
        <v>-43752</v>
      </c>
      <c r="N15" s="468">
        <f>+$A$1-A15</f>
        <v>-43729</v>
      </c>
      <c r="O15" s="282"/>
      <c r="P15" s="286">
        <f>+F15</f>
        <v>195996.94</v>
      </c>
      <c r="Q15" s="287"/>
      <c r="R15" s="332">
        <v>43732</v>
      </c>
      <c r="S15" s="287" t="s">
        <v>1116</v>
      </c>
      <c r="T15" s="287" t="s">
        <v>1117</v>
      </c>
      <c r="U15" s="287" t="s">
        <v>37</v>
      </c>
      <c r="V15" s="502">
        <v>43731</v>
      </c>
      <c r="W15" s="290"/>
      <c r="X15" s="290"/>
      <c r="Y15" s="326">
        <v>214900</v>
      </c>
      <c r="Z15" s="292">
        <v>22994.34</v>
      </c>
      <c r="AA15" s="293">
        <f>+Y15-Z15</f>
        <v>191905.66</v>
      </c>
      <c r="AB15" s="294" t="s">
        <v>203</v>
      </c>
      <c r="AC15" s="294" t="s">
        <v>1127</v>
      </c>
      <c r="AD15" s="295">
        <v>43731</v>
      </c>
      <c r="AE15" s="296">
        <v>43739</v>
      </c>
      <c r="AF15" s="287" t="s">
        <v>193</v>
      </c>
      <c r="AG15" s="294" t="s">
        <v>996</v>
      </c>
      <c r="AH15" s="478"/>
      <c r="AI15" s="286" t="s">
        <v>918</v>
      </c>
      <c r="AJ15" s="297">
        <f>VLOOKUP(D15,[10]Hoja1!$G$6:$I$237,3,0)</f>
        <v>195996.94</v>
      </c>
      <c r="AK15" s="298">
        <f>+AJ15-F15</f>
        <v>0</v>
      </c>
      <c r="AL15" s="588">
        <f>+$A$1-A15</f>
        <v>-43729</v>
      </c>
    </row>
    <row r="17" spans="1:38" ht="18.75">
      <c r="B17" s="467" t="s">
        <v>1402</v>
      </c>
    </row>
    <row r="18" spans="1:38" s="300" customFormat="1" ht="12" customHeight="1">
      <c r="A18" s="595" t="s">
        <v>1196</v>
      </c>
      <c r="B18" s="278" t="s">
        <v>127</v>
      </c>
      <c r="C18" s="278" t="s">
        <v>1207</v>
      </c>
      <c r="D18" s="260" t="str">
        <f t="shared" ref="D18:D76" si="0">+RIGHT(C18,8)</f>
        <v>LY633097</v>
      </c>
      <c r="E18" s="321">
        <v>185513.56</v>
      </c>
      <c r="F18" s="321">
        <v>185513.56</v>
      </c>
      <c r="G18" s="280" t="s">
        <v>158</v>
      </c>
      <c r="H18" s="278" t="s">
        <v>33</v>
      </c>
      <c r="I18" s="281"/>
      <c r="J18" s="311" t="s">
        <v>159</v>
      </c>
      <c r="K18" s="282" t="str">
        <f>A18</f>
        <v>27/09/2019</v>
      </c>
      <c r="L18" s="283">
        <f t="shared" ref="L18:L76" si="1">K18+23</f>
        <v>43758</v>
      </c>
      <c r="M18" s="284">
        <f t="shared" ref="M18:M76" si="2">$A$1-L18</f>
        <v>-43758</v>
      </c>
      <c r="N18" s="468">
        <f>+$A$1-A18</f>
        <v>-43735</v>
      </c>
      <c r="O18" s="282"/>
      <c r="P18" s="286">
        <f>+F18</f>
        <v>185513.56</v>
      </c>
      <c r="Q18" s="287"/>
      <c r="R18" s="332">
        <v>43739</v>
      </c>
      <c r="S18" s="287" t="s">
        <v>1315</v>
      </c>
      <c r="T18" s="287" t="s">
        <v>1316</v>
      </c>
      <c r="U18" s="287" t="s">
        <v>260</v>
      </c>
      <c r="V18" s="502">
        <v>43738</v>
      </c>
      <c r="W18" s="290"/>
      <c r="X18" s="290"/>
      <c r="Y18" s="326">
        <v>195900</v>
      </c>
      <c r="Z18" s="292">
        <f>53198.41+2776.96</f>
        <v>55975.37</v>
      </c>
      <c r="AA18" s="293">
        <f t="shared" ref="AA18:AA76" si="3">+Y18-Z18</f>
        <v>139924.63</v>
      </c>
      <c r="AB18" s="294" t="s">
        <v>203</v>
      </c>
      <c r="AC18" s="294" t="s">
        <v>1355</v>
      </c>
      <c r="AD18" s="295">
        <v>43738</v>
      </c>
      <c r="AE18" s="296"/>
      <c r="AF18" s="287" t="s">
        <v>188</v>
      </c>
      <c r="AG18" s="294" t="s">
        <v>82</v>
      </c>
      <c r="AH18" s="478"/>
      <c r="AI18" s="286" t="s">
        <v>918</v>
      </c>
      <c r="AJ18" s="297">
        <f>VLOOKUP(D18,[11]Hoja1!$G$6:$I$222,3,0)</f>
        <v>185513.56</v>
      </c>
      <c r="AK18" s="298">
        <f t="shared" ref="AK18:AK76" si="4">+AJ18-F18</f>
        <v>0</v>
      </c>
      <c r="AL18" s="588">
        <f>+$A$1-A18</f>
        <v>-43735</v>
      </c>
    </row>
    <row r="19" spans="1:38" s="300" customFormat="1" ht="12" customHeight="1">
      <c r="A19" s="595" t="s">
        <v>1169</v>
      </c>
      <c r="B19" s="278" t="s">
        <v>71</v>
      </c>
      <c r="C19" s="278" t="s">
        <v>1177</v>
      </c>
      <c r="D19" s="260" t="str">
        <f t="shared" si="0"/>
        <v>KH008546</v>
      </c>
      <c r="E19" s="321">
        <v>195996.94</v>
      </c>
      <c r="F19" s="321">
        <v>195996.94</v>
      </c>
      <c r="G19" s="280" t="s">
        <v>158</v>
      </c>
      <c r="H19" s="278" t="s">
        <v>33</v>
      </c>
      <c r="I19" s="281"/>
      <c r="J19" s="278" t="s">
        <v>160</v>
      </c>
      <c r="K19" s="282" t="str">
        <f>A19</f>
        <v>26/09/2019</v>
      </c>
      <c r="L19" s="283">
        <f t="shared" si="1"/>
        <v>43757</v>
      </c>
      <c r="M19" s="284">
        <f t="shared" si="2"/>
        <v>-43757</v>
      </c>
      <c r="N19" s="468">
        <f>+$A$1-A19</f>
        <v>-43734</v>
      </c>
      <c r="O19" s="282"/>
      <c r="P19" s="286">
        <f>+F19</f>
        <v>195996.94</v>
      </c>
      <c r="Q19" s="287"/>
      <c r="R19" s="332">
        <v>43739</v>
      </c>
      <c r="S19" s="287" t="s">
        <v>1193</v>
      </c>
      <c r="T19" s="287" t="s">
        <v>1194</v>
      </c>
      <c r="U19" s="287" t="s">
        <v>40</v>
      </c>
      <c r="V19" s="502">
        <v>43735</v>
      </c>
      <c r="W19" s="290"/>
      <c r="X19" s="290"/>
      <c r="Y19" s="326">
        <v>202900</v>
      </c>
      <c r="Z19" s="326">
        <v>202900</v>
      </c>
      <c r="AA19" s="293">
        <f t="shared" si="3"/>
        <v>0</v>
      </c>
      <c r="AB19" s="294" t="s">
        <v>197</v>
      </c>
      <c r="AC19" s="294" t="s">
        <v>1354</v>
      </c>
      <c r="AD19" s="295">
        <v>43739</v>
      </c>
      <c r="AE19" s="296"/>
      <c r="AF19" s="287" t="s">
        <v>899</v>
      </c>
      <c r="AG19" s="294" t="s">
        <v>82</v>
      </c>
      <c r="AH19" s="478"/>
      <c r="AI19" s="286" t="s">
        <v>918</v>
      </c>
      <c r="AJ19" s="297">
        <f>VLOOKUP(D19,[11]Hoja1!$G$6:$I$222,3,0)</f>
        <v>195996.94</v>
      </c>
      <c r="AK19" s="298">
        <f t="shared" si="4"/>
        <v>0</v>
      </c>
      <c r="AL19" s="588">
        <f>+$A$1-A19</f>
        <v>-43734</v>
      </c>
    </row>
    <row r="20" spans="1:38" s="300" customFormat="1" ht="12" customHeight="1">
      <c r="A20" s="287" t="s">
        <v>1089</v>
      </c>
      <c r="B20" s="278" t="s">
        <v>211</v>
      </c>
      <c r="C20" s="278" t="s">
        <v>1090</v>
      </c>
      <c r="D20" s="260" t="str">
        <f t="shared" si="0"/>
        <v>KR758133</v>
      </c>
      <c r="E20" s="321">
        <v>491760.21</v>
      </c>
      <c r="F20" s="321">
        <v>491760.21</v>
      </c>
      <c r="G20" s="280" t="s">
        <v>158</v>
      </c>
      <c r="H20" s="278" t="s">
        <v>33</v>
      </c>
      <c r="I20" s="281" t="s">
        <v>39</v>
      </c>
      <c r="J20" s="278" t="s">
        <v>160</v>
      </c>
      <c r="K20" s="282" t="str">
        <f>A20</f>
        <v>18/09/2019</v>
      </c>
      <c r="L20" s="283">
        <f t="shared" si="1"/>
        <v>43749</v>
      </c>
      <c r="M20" s="284">
        <f t="shared" si="2"/>
        <v>-43749</v>
      </c>
      <c r="N20" s="468">
        <f>+$A$1-A20</f>
        <v>-43726</v>
      </c>
      <c r="O20" s="282"/>
      <c r="P20" s="286">
        <f>+F20</f>
        <v>491760.21</v>
      </c>
      <c r="Q20" s="287"/>
      <c r="R20" s="332">
        <v>43740</v>
      </c>
      <c r="S20" s="287" t="s">
        <v>1118</v>
      </c>
      <c r="T20" s="287" t="s">
        <v>1119</v>
      </c>
      <c r="U20" s="287" t="s">
        <v>31</v>
      </c>
      <c r="V20" s="502">
        <v>43731</v>
      </c>
      <c r="W20" s="290"/>
      <c r="X20" s="290"/>
      <c r="Y20" s="326">
        <v>516900</v>
      </c>
      <c r="Z20" s="292">
        <f>40000+196900+270000+10000</f>
        <v>516900</v>
      </c>
      <c r="AA20" s="293">
        <f t="shared" si="3"/>
        <v>0</v>
      </c>
      <c r="AB20" s="294" t="s">
        <v>197</v>
      </c>
      <c r="AC20" s="294" t="s">
        <v>1227</v>
      </c>
      <c r="AD20" s="295" t="s">
        <v>1228</v>
      </c>
      <c r="AE20" s="296"/>
      <c r="AF20" s="287" t="s">
        <v>174</v>
      </c>
      <c r="AG20" s="294" t="s">
        <v>996</v>
      </c>
      <c r="AH20" s="478"/>
      <c r="AI20" s="286" t="s">
        <v>918</v>
      </c>
      <c r="AJ20" s="297">
        <f>VLOOKUP(D20,[12]Hoja1!$G$6:$I$225,3,0)</f>
        <v>491760.21</v>
      </c>
      <c r="AK20" s="298">
        <f t="shared" si="4"/>
        <v>0</v>
      </c>
      <c r="AL20" s="588">
        <f>+$A$1-A20</f>
        <v>-43726</v>
      </c>
    </row>
    <row r="21" spans="1:38" s="300" customFormat="1" ht="12" customHeight="1">
      <c r="A21" s="595" t="s">
        <v>1196</v>
      </c>
      <c r="B21" s="278" t="s">
        <v>1205</v>
      </c>
      <c r="C21" s="278" t="s">
        <v>1209</v>
      </c>
      <c r="D21" s="260" t="str">
        <f t="shared" si="0"/>
        <v>L5107918</v>
      </c>
      <c r="E21" s="321">
        <v>271219</v>
      </c>
      <c r="F21" s="321">
        <v>271219</v>
      </c>
      <c r="G21" s="280" t="s">
        <v>158</v>
      </c>
      <c r="H21" s="278" t="s">
        <v>33</v>
      </c>
      <c r="I21" s="281"/>
      <c r="J21" s="311" t="s">
        <v>159</v>
      </c>
      <c r="K21" s="282" t="str">
        <f>A21</f>
        <v>27/09/2019</v>
      </c>
      <c r="L21" s="283">
        <f t="shared" si="1"/>
        <v>43758</v>
      </c>
      <c r="M21" s="284">
        <f t="shared" si="2"/>
        <v>-43758</v>
      </c>
      <c r="N21" s="468">
        <f>+$A$1-A21</f>
        <v>-43735</v>
      </c>
      <c r="O21" s="282"/>
      <c r="P21" s="286">
        <f>+F21</f>
        <v>271219</v>
      </c>
      <c r="Q21" s="287"/>
      <c r="R21" s="332">
        <v>43740</v>
      </c>
      <c r="S21" s="287" t="s">
        <v>1406</v>
      </c>
      <c r="T21" s="287" t="s">
        <v>1407</v>
      </c>
      <c r="U21" s="287" t="s">
        <v>37</v>
      </c>
      <c r="V21" s="502">
        <v>43739</v>
      </c>
      <c r="W21" s="290"/>
      <c r="X21" s="290"/>
      <c r="Y21" s="326">
        <v>284400</v>
      </c>
      <c r="Z21" s="292">
        <v>77520</v>
      </c>
      <c r="AA21" s="293">
        <f t="shared" si="3"/>
        <v>206880</v>
      </c>
      <c r="AB21" s="294" t="s">
        <v>203</v>
      </c>
      <c r="AC21" s="294" t="s">
        <v>1413</v>
      </c>
      <c r="AD21" s="295">
        <v>43739</v>
      </c>
      <c r="AE21" s="296"/>
      <c r="AF21" s="287" t="s">
        <v>188</v>
      </c>
      <c r="AG21" s="294" t="s">
        <v>996</v>
      </c>
      <c r="AH21" s="478"/>
      <c r="AI21" s="286" t="s">
        <v>918</v>
      </c>
      <c r="AJ21" s="297">
        <f>VLOOKUP(D21,[12]Hoja1!$G$6:$I$225,3,0)</f>
        <v>271219</v>
      </c>
      <c r="AK21" s="298">
        <f t="shared" si="4"/>
        <v>0</v>
      </c>
      <c r="AL21" s="588">
        <f>+$A$1-A21</f>
        <v>-43735</v>
      </c>
    </row>
    <row r="22" spans="1:38" s="528" customFormat="1" ht="12">
      <c r="A22" s="536" t="s">
        <v>997</v>
      </c>
      <c r="B22" s="536" t="s">
        <v>655</v>
      </c>
      <c r="C22" s="536" t="s">
        <v>1067</v>
      </c>
      <c r="D22" s="350" t="str">
        <f t="shared" si="0"/>
        <v>GD622915</v>
      </c>
      <c r="E22" s="534">
        <v>176720</v>
      </c>
      <c r="F22" s="534">
        <v>176720</v>
      </c>
      <c r="G22" s="315" t="s">
        <v>158</v>
      </c>
      <c r="H22" s="278" t="s">
        <v>33</v>
      </c>
      <c r="I22" s="281" t="s">
        <v>80</v>
      </c>
      <c r="J22" s="316" t="s">
        <v>170</v>
      </c>
      <c r="K22" s="542">
        <v>43732</v>
      </c>
      <c r="L22" s="283">
        <f t="shared" si="1"/>
        <v>43755</v>
      </c>
      <c r="M22" s="284">
        <f t="shared" si="2"/>
        <v>-43755</v>
      </c>
      <c r="N22" s="468">
        <f>+$A$1-K22</f>
        <v>-43732</v>
      </c>
      <c r="O22" s="286"/>
      <c r="P22" s="286">
        <f>F22+O22</f>
        <v>176720</v>
      </c>
      <c r="Q22" s="287"/>
      <c r="R22" s="332">
        <v>43740</v>
      </c>
      <c r="S22" s="287" t="s">
        <v>1137</v>
      </c>
      <c r="T22" s="287" t="s">
        <v>1138</v>
      </c>
      <c r="U22" s="294" t="s">
        <v>40</v>
      </c>
      <c r="V22" s="282">
        <v>43732</v>
      </c>
      <c r="W22" s="355"/>
      <c r="X22" s="356"/>
      <c r="Y22" s="326">
        <v>238500</v>
      </c>
      <c r="Z22" s="309">
        <f>64127+174373</f>
        <v>238500</v>
      </c>
      <c r="AA22" s="293">
        <f t="shared" si="3"/>
        <v>0</v>
      </c>
      <c r="AB22" s="294" t="s">
        <v>197</v>
      </c>
      <c r="AC22" s="357" t="s">
        <v>1162</v>
      </c>
      <c r="AD22" s="282" t="s">
        <v>1163</v>
      </c>
      <c r="AE22" s="296"/>
      <c r="AF22" s="287" t="s">
        <v>1111</v>
      </c>
      <c r="AG22" s="294" t="s">
        <v>82</v>
      </c>
      <c r="AH22" s="478"/>
      <c r="AI22" s="294" t="s">
        <v>1133</v>
      </c>
      <c r="AJ22" s="297">
        <f>VLOOKUP(D22,[12]Hoja1!$G$6:$I$225,3,0)</f>
        <v>176720</v>
      </c>
      <c r="AK22" s="298">
        <f t="shared" si="4"/>
        <v>0</v>
      </c>
      <c r="AL22" s="590"/>
    </row>
    <row r="23" spans="1:38" s="528" customFormat="1" ht="12">
      <c r="A23" s="528" t="s">
        <v>690</v>
      </c>
      <c r="B23" s="528" t="s">
        <v>695</v>
      </c>
      <c r="C23" s="528" t="s">
        <v>696</v>
      </c>
      <c r="D23" s="350" t="str">
        <f t="shared" si="0"/>
        <v>HH543387</v>
      </c>
      <c r="E23" s="351">
        <v>340800</v>
      </c>
      <c r="F23" s="351">
        <v>340800</v>
      </c>
      <c r="G23" s="315" t="s">
        <v>158</v>
      </c>
      <c r="H23" s="278" t="s">
        <v>33</v>
      </c>
      <c r="I23" s="281" t="s">
        <v>39</v>
      </c>
      <c r="J23" s="316" t="s">
        <v>170</v>
      </c>
      <c r="K23" s="542">
        <v>43706</v>
      </c>
      <c r="L23" s="283">
        <f t="shared" si="1"/>
        <v>43729</v>
      </c>
      <c r="M23" s="284">
        <f t="shared" si="2"/>
        <v>-43729</v>
      </c>
      <c r="N23" s="468">
        <f>+$A$1-K23</f>
        <v>-43706</v>
      </c>
      <c r="O23" s="286"/>
      <c r="P23" s="286">
        <f>+F23</f>
        <v>340800</v>
      </c>
      <c r="Q23" s="287"/>
      <c r="R23" s="332">
        <v>43740</v>
      </c>
      <c r="S23" s="287" t="s">
        <v>1134</v>
      </c>
      <c r="T23" s="287" t="s">
        <v>1135</v>
      </c>
      <c r="U23" s="287" t="s">
        <v>40</v>
      </c>
      <c r="V23" s="282">
        <v>43732</v>
      </c>
      <c r="W23" s="355"/>
      <c r="X23" s="356"/>
      <c r="Y23" s="326">
        <v>480000</v>
      </c>
      <c r="Z23" s="309">
        <f>1000+271304+207696</f>
        <v>480000</v>
      </c>
      <c r="AA23" s="293">
        <f t="shared" si="3"/>
        <v>0</v>
      </c>
      <c r="AB23" s="294" t="s">
        <v>197</v>
      </c>
      <c r="AC23" s="357" t="s">
        <v>1356</v>
      </c>
      <c r="AD23" s="282" t="s">
        <v>1357</v>
      </c>
      <c r="AE23" s="296">
        <v>43739</v>
      </c>
      <c r="AF23" s="287" t="s">
        <v>1136</v>
      </c>
      <c r="AG23" s="294" t="s">
        <v>996</v>
      </c>
      <c r="AH23" s="478"/>
      <c r="AI23" s="286" t="s">
        <v>918</v>
      </c>
      <c r="AJ23" s="297">
        <f>VLOOKUP(D23,[12]Hoja1!$G$6:$I$225,3,0)</f>
        <v>340800</v>
      </c>
      <c r="AK23" s="298">
        <f t="shared" si="4"/>
        <v>0</v>
      </c>
      <c r="AL23" s="588"/>
    </row>
    <row r="24" spans="1:38" s="300" customFormat="1" ht="12" customHeight="1">
      <c r="A24" s="278" t="s">
        <v>369</v>
      </c>
      <c r="B24" s="278" t="s">
        <v>280</v>
      </c>
      <c r="C24" s="278" t="s">
        <v>370</v>
      </c>
      <c r="D24" s="260" t="str">
        <f t="shared" si="0"/>
        <v>KG528730</v>
      </c>
      <c r="E24" s="279">
        <v>508395.1</v>
      </c>
      <c r="F24" s="583">
        <f t="shared" ref="F24:F29" si="5">508395.1-51000</f>
        <v>457395.1</v>
      </c>
      <c r="G24" s="280" t="s">
        <v>158</v>
      </c>
      <c r="H24" s="322" t="s">
        <v>1007</v>
      </c>
      <c r="I24" s="281" t="s">
        <v>79</v>
      </c>
      <c r="J24" s="278" t="s">
        <v>160</v>
      </c>
      <c r="K24" s="282" t="str">
        <f t="shared" ref="K24:K76" si="6">A24</f>
        <v>19/03/2019</v>
      </c>
      <c r="L24" s="283">
        <f t="shared" si="1"/>
        <v>43566</v>
      </c>
      <c r="M24" s="284">
        <f t="shared" si="2"/>
        <v>-43566</v>
      </c>
      <c r="N24" s="468">
        <f t="shared" ref="N24:N76" si="7">+$A$1-A24</f>
        <v>-43543</v>
      </c>
      <c r="O24" s="468">
        <v>210</v>
      </c>
      <c r="P24" s="378">
        <f t="shared" ref="P24:P76" si="8">+F24</f>
        <v>457395.1</v>
      </c>
      <c r="Q24" s="287"/>
      <c r="R24" s="332">
        <v>43741</v>
      </c>
      <c r="S24" s="287" t="s">
        <v>783</v>
      </c>
      <c r="T24" s="287" t="s">
        <v>214</v>
      </c>
      <c r="U24" s="538" t="s">
        <v>202</v>
      </c>
      <c r="V24" s="502" t="s">
        <v>764</v>
      </c>
      <c r="W24" s="290" t="s">
        <v>914</v>
      </c>
      <c r="X24" s="503">
        <f t="shared" ref="X24:X72" si="9">+AE24+60</f>
        <v>43766</v>
      </c>
      <c r="Y24" s="326">
        <v>562600</v>
      </c>
      <c r="Z24" s="292"/>
      <c r="AA24" s="293">
        <f t="shared" si="3"/>
        <v>562600</v>
      </c>
      <c r="AB24" s="294"/>
      <c r="AC24" s="294"/>
      <c r="AD24" s="295"/>
      <c r="AE24" s="296">
        <v>43706</v>
      </c>
      <c r="AF24" s="287" t="s">
        <v>38</v>
      </c>
      <c r="AG24" s="294" t="s">
        <v>1460</v>
      </c>
      <c r="AH24" s="478"/>
      <c r="AI24" s="286" t="s">
        <v>918</v>
      </c>
      <c r="AJ24" s="297">
        <f>VLOOKUP(D24,[13]Hoja1!$G$6:$I$225,3,0)</f>
        <v>457395.1</v>
      </c>
      <c r="AK24" s="298">
        <f t="shared" si="4"/>
        <v>0</v>
      </c>
      <c r="AL24" s="588">
        <f>+$A$1-A24</f>
        <v>-43543</v>
      </c>
    </row>
    <row r="25" spans="1:38" s="300" customFormat="1" ht="12" customHeight="1">
      <c r="A25" s="278" t="s">
        <v>369</v>
      </c>
      <c r="B25" s="278" t="s">
        <v>280</v>
      </c>
      <c r="C25" s="278" t="s">
        <v>371</v>
      </c>
      <c r="D25" s="260" t="str">
        <f t="shared" si="0"/>
        <v>KG528735</v>
      </c>
      <c r="E25" s="279">
        <v>508395.1</v>
      </c>
      <c r="F25" s="583">
        <f t="shared" si="5"/>
        <v>457395.1</v>
      </c>
      <c r="G25" s="280" t="s">
        <v>158</v>
      </c>
      <c r="H25" s="322" t="s">
        <v>1007</v>
      </c>
      <c r="I25" s="281" t="s">
        <v>79</v>
      </c>
      <c r="J25" s="278" t="s">
        <v>160</v>
      </c>
      <c r="K25" s="282" t="str">
        <f t="shared" si="6"/>
        <v>19/03/2019</v>
      </c>
      <c r="L25" s="283">
        <f t="shared" si="1"/>
        <v>43566</v>
      </c>
      <c r="M25" s="284">
        <f t="shared" si="2"/>
        <v>-43566</v>
      </c>
      <c r="N25" s="468">
        <f t="shared" si="7"/>
        <v>-43543</v>
      </c>
      <c r="O25" s="468">
        <v>210</v>
      </c>
      <c r="P25" s="378">
        <f t="shared" si="8"/>
        <v>457395.1</v>
      </c>
      <c r="Q25" s="287"/>
      <c r="R25" s="332">
        <v>43741</v>
      </c>
      <c r="S25" s="287" t="s">
        <v>784</v>
      </c>
      <c r="T25" s="287" t="s">
        <v>214</v>
      </c>
      <c r="U25" s="538" t="s">
        <v>202</v>
      </c>
      <c r="V25" s="502" t="s">
        <v>764</v>
      </c>
      <c r="W25" s="290" t="s">
        <v>914</v>
      </c>
      <c r="X25" s="503">
        <f t="shared" si="9"/>
        <v>43766</v>
      </c>
      <c r="Y25" s="326">
        <v>562600</v>
      </c>
      <c r="Z25" s="292"/>
      <c r="AA25" s="293">
        <f t="shared" si="3"/>
        <v>562600</v>
      </c>
      <c r="AB25" s="294"/>
      <c r="AC25" s="294"/>
      <c r="AD25" s="295"/>
      <c r="AE25" s="296">
        <v>43706</v>
      </c>
      <c r="AF25" s="287" t="s">
        <v>38</v>
      </c>
      <c r="AG25" s="294" t="s">
        <v>1460</v>
      </c>
      <c r="AH25" s="478"/>
      <c r="AI25" s="286" t="s">
        <v>918</v>
      </c>
      <c r="AJ25" s="297">
        <f>VLOOKUP(D25,[13]Hoja1!$G$6:$I$225,3,0)</f>
        <v>457395.1</v>
      </c>
      <c r="AK25" s="298">
        <f t="shared" si="4"/>
        <v>0</v>
      </c>
      <c r="AL25" s="588">
        <f t="shared" ref="AL25:AL76" si="10">+$A$1-A25</f>
        <v>-43543</v>
      </c>
    </row>
    <row r="26" spans="1:38" s="300" customFormat="1" ht="12" customHeight="1">
      <c r="A26" s="278" t="s">
        <v>369</v>
      </c>
      <c r="B26" s="278" t="s">
        <v>280</v>
      </c>
      <c r="C26" s="278" t="s">
        <v>372</v>
      </c>
      <c r="D26" s="260" t="str">
        <f t="shared" si="0"/>
        <v>KG528855</v>
      </c>
      <c r="E26" s="279">
        <v>508395.1</v>
      </c>
      <c r="F26" s="583">
        <f t="shared" si="5"/>
        <v>457395.1</v>
      </c>
      <c r="G26" s="280" t="s">
        <v>158</v>
      </c>
      <c r="H26" s="322" t="s">
        <v>1007</v>
      </c>
      <c r="I26" s="281" t="s">
        <v>79</v>
      </c>
      <c r="J26" s="278" t="s">
        <v>160</v>
      </c>
      <c r="K26" s="282" t="str">
        <f t="shared" si="6"/>
        <v>19/03/2019</v>
      </c>
      <c r="L26" s="283">
        <f t="shared" si="1"/>
        <v>43566</v>
      </c>
      <c r="M26" s="284">
        <f t="shared" si="2"/>
        <v>-43566</v>
      </c>
      <c r="N26" s="468">
        <f t="shared" si="7"/>
        <v>-43543</v>
      </c>
      <c r="O26" s="468">
        <v>210</v>
      </c>
      <c r="P26" s="378">
        <f t="shared" si="8"/>
        <v>457395.1</v>
      </c>
      <c r="Q26" s="287"/>
      <c r="R26" s="332">
        <v>43741</v>
      </c>
      <c r="S26" s="287" t="s">
        <v>785</v>
      </c>
      <c r="T26" s="287" t="s">
        <v>214</v>
      </c>
      <c r="U26" s="538" t="s">
        <v>202</v>
      </c>
      <c r="V26" s="502" t="s">
        <v>764</v>
      </c>
      <c r="W26" s="290" t="s">
        <v>914</v>
      </c>
      <c r="X26" s="503">
        <f t="shared" si="9"/>
        <v>43766</v>
      </c>
      <c r="Y26" s="326">
        <v>562600</v>
      </c>
      <c r="Z26" s="292"/>
      <c r="AA26" s="293">
        <f t="shared" si="3"/>
        <v>562600</v>
      </c>
      <c r="AB26" s="294"/>
      <c r="AC26" s="294"/>
      <c r="AD26" s="295"/>
      <c r="AE26" s="296">
        <v>43706</v>
      </c>
      <c r="AF26" s="287" t="s">
        <v>38</v>
      </c>
      <c r="AG26" s="294" t="s">
        <v>1460</v>
      </c>
      <c r="AH26" s="478"/>
      <c r="AI26" s="286" t="s">
        <v>918</v>
      </c>
      <c r="AJ26" s="297">
        <f>VLOOKUP(D26,[13]Hoja1!$G$6:$I$225,3,0)</f>
        <v>457395.1</v>
      </c>
      <c r="AK26" s="298">
        <f t="shared" si="4"/>
        <v>0</v>
      </c>
      <c r="AL26" s="588">
        <f t="shared" si="10"/>
        <v>-43543</v>
      </c>
    </row>
    <row r="27" spans="1:38" s="300" customFormat="1" ht="12" customHeight="1">
      <c r="A27" s="278" t="s">
        <v>369</v>
      </c>
      <c r="B27" s="278" t="s">
        <v>280</v>
      </c>
      <c r="C27" s="278" t="s">
        <v>373</v>
      </c>
      <c r="D27" s="260" t="str">
        <f t="shared" si="0"/>
        <v>KG528905</v>
      </c>
      <c r="E27" s="279">
        <v>508395.1</v>
      </c>
      <c r="F27" s="583">
        <f t="shared" si="5"/>
        <v>457395.1</v>
      </c>
      <c r="G27" s="280" t="s">
        <v>158</v>
      </c>
      <c r="H27" s="322" t="s">
        <v>1007</v>
      </c>
      <c r="I27" s="281" t="s">
        <v>79</v>
      </c>
      <c r="J27" s="278" t="s">
        <v>160</v>
      </c>
      <c r="K27" s="282" t="str">
        <f t="shared" si="6"/>
        <v>19/03/2019</v>
      </c>
      <c r="L27" s="283">
        <f t="shared" si="1"/>
        <v>43566</v>
      </c>
      <c r="M27" s="284">
        <f t="shared" si="2"/>
        <v>-43566</v>
      </c>
      <c r="N27" s="468">
        <f t="shared" si="7"/>
        <v>-43543</v>
      </c>
      <c r="O27" s="468">
        <v>210</v>
      </c>
      <c r="P27" s="378">
        <f t="shared" si="8"/>
        <v>457395.1</v>
      </c>
      <c r="Q27" s="287"/>
      <c r="R27" s="332">
        <v>43741</v>
      </c>
      <c r="S27" s="287" t="s">
        <v>786</v>
      </c>
      <c r="T27" s="287" t="s">
        <v>214</v>
      </c>
      <c r="U27" s="538" t="s">
        <v>202</v>
      </c>
      <c r="V27" s="502" t="s">
        <v>764</v>
      </c>
      <c r="W27" s="290" t="s">
        <v>914</v>
      </c>
      <c r="X27" s="503">
        <f t="shared" si="9"/>
        <v>43766</v>
      </c>
      <c r="Y27" s="326">
        <v>562600</v>
      </c>
      <c r="Z27" s="292"/>
      <c r="AA27" s="293">
        <f t="shared" si="3"/>
        <v>562600</v>
      </c>
      <c r="AB27" s="294"/>
      <c r="AC27" s="294"/>
      <c r="AD27" s="295"/>
      <c r="AE27" s="296">
        <v>43706</v>
      </c>
      <c r="AF27" s="287" t="s">
        <v>38</v>
      </c>
      <c r="AG27" s="294" t="s">
        <v>1460</v>
      </c>
      <c r="AH27" s="478"/>
      <c r="AI27" s="286" t="s">
        <v>918</v>
      </c>
      <c r="AJ27" s="297">
        <f>VLOOKUP(D27,[13]Hoja1!$G$6:$I$225,3,0)</f>
        <v>457395.1</v>
      </c>
      <c r="AK27" s="298">
        <f t="shared" si="4"/>
        <v>0</v>
      </c>
      <c r="AL27" s="588">
        <f t="shared" si="10"/>
        <v>-43543</v>
      </c>
    </row>
    <row r="28" spans="1:38" s="300" customFormat="1" ht="12" customHeight="1">
      <c r="A28" s="278" t="s">
        <v>369</v>
      </c>
      <c r="B28" s="278" t="s">
        <v>280</v>
      </c>
      <c r="C28" s="278" t="s">
        <v>374</v>
      </c>
      <c r="D28" s="260" t="str">
        <f t="shared" si="0"/>
        <v>KG528936</v>
      </c>
      <c r="E28" s="279">
        <v>508395.1</v>
      </c>
      <c r="F28" s="583">
        <f t="shared" si="5"/>
        <v>457395.1</v>
      </c>
      <c r="G28" s="280" t="s">
        <v>158</v>
      </c>
      <c r="H28" s="322" t="s">
        <v>1007</v>
      </c>
      <c r="I28" s="281" t="s">
        <v>79</v>
      </c>
      <c r="J28" s="278" t="s">
        <v>160</v>
      </c>
      <c r="K28" s="282" t="str">
        <f t="shared" si="6"/>
        <v>19/03/2019</v>
      </c>
      <c r="L28" s="283">
        <f t="shared" si="1"/>
        <v>43566</v>
      </c>
      <c r="M28" s="284">
        <f t="shared" si="2"/>
        <v>-43566</v>
      </c>
      <c r="N28" s="468">
        <f t="shared" si="7"/>
        <v>-43543</v>
      </c>
      <c r="O28" s="468">
        <v>210</v>
      </c>
      <c r="P28" s="378">
        <f t="shared" si="8"/>
        <v>457395.1</v>
      </c>
      <c r="Q28" s="287"/>
      <c r="R28" s="332">
        <v>43741</v>
      </c>
      <c r="S28" s="287" t="s">
        <v>787</v>
      </c>
      <c r="T28" s="287" t="s">
        <v>214</v>
      </c>
      <c r="U28" s="538" t="s">
        <v>202</v>
      </c>
      <c r="V28" s="502" t="s">
        <v>764</v>
      </c>
      <c r="W28" s="290" t="s">
        <v>914</v>
      </c>
      <c r="X28" s="503">
        <f t="shared" si="9"/>
        <v>43766</v>
      </c>
      <c r="Y28" s="326">
        <v>562600</v>
      </c>
      <c r="Z28" s="292"/>
      <c r="AA28" s="293">
        <f t="shared" si="3"/>
        <v>562600</v>
      </c>
      <c r="AB28" s="294"/>
      <c r="AC28" s="294"/>
      <c r="AD28" s="295"/>
      <c r="AE28" s="296">
        <v>43706</v>
      </c>
      <c r="AF28" s="287" t="s">
        <v>38</v>
      </c>
      <c r="AG28" s="294" t="s">
        <v>1460</v>
      </c>
      <c r="AH28" s="478"/>
      <c r="AI28" s="286" t="s">
        <v>918</v>
      </c>
      <c r="AJ28" s="297">
        <f>VLOOKUP(D28,[13]Hoja1!$G$6:$I$225,3,0)</f>
        <v>457395.1</v>
      </c>
      <c r="AK28" s="298">
        <f t="shared" si="4"/>
        <v>0</v>
      </c>
      <c r="AL28" s="588">
        <f t="shared" si="10"/>
        <v>-43543</v>
      </c>
    </row>
    <row r="29" spans="1:38" s="300" customFormat="1" ht="12" customHeight="1">
      <c r="A29" s="278" t="s">
        <v>369</v>
      </c>
      <c r="B29" s="278" t="s">
        <v>280</v>
      </c>
      <c r="C29" s="278" t="s">
        <v>375</v>
      </c>
      <c r="D29" s="260" t="str">
        <f t="shared" si="0"/>
        <v>KG528970</v>
      </c>
      <c r="E29" s="279">
        <v>508395.1</v>
      </c>
      <c r="F29" s="583">
        <f t="shared" si="5"/>
        <v>457395.1</v>
      </c>
      <c r="G29" s="280" t="s">
        <v>158</v>
      </c>
      <c r="H29" s="322" t="s">
        <v>1007</v>
      </c>
      <c r="I29" s="281" t="s">
        <v>32</v>
      </c>
      <c r="J29" s="278" t="s">
        <v>160</v>
      </c>
      <c r="K29" s="282" t="str">
        <f t="shared" si="6"/>
        <v>19/03/2019</v>
      </c>
      <c r="L29" s="283">
        <f t="shared" si="1"/>
        <v>43566</v>
      </c>
      <c r="M29" s="284">
        <f t="shared" si="2"/>
        <v>-43566</v>
      </c>
      <c r="N29" s="468">
        <f t="shared" si="7"/>
        <v>-43543</v>
      </c>
      <c r="O29" s="468">
        <v>210</v>
      </c>
      <c r="P29" s="378">
        <f t="shared" si="8"/>
        <v>457395.1</v>
      </c>
      <c r="Q29" s="287"/>
      <c r="R29" s="332">
        <v>43741</v>
      </c>
      <c r="S29" s="287" t="s">
        <v>788</v>
      </c>
      <c r="T29" s="287" t="s">
        <v>214</v>
      </c>
      <c r="U29" s="538" t="s">
        <v>202</v>
      </c>
      <c r="V29" s="502" t="s">
        <v>764</v>
      </c>
      <c r="W29" s="290" t="s">
        <v>914</v>
      </c>
      <c r="X29" s="503">
        <f t="shared" si="9"/>
        <v>43766</v>
      </c>
      <c r="Y29" s="326">
        <v>562600</v>
      </c>
      <c r="Z29" s="292"/>
      <c r="AA29" s="293">
        <f t="shared" si="3"/>
        <v>562600</v>
      </c>
      <c r="AB29" s="294"/>
      <c r="AC29" s="294"/>
      <c r="AD29" s="295"/>
      <c r="AE29" s="296">
        <v>43706</v>
      </c>
      <c r="AF29" s="287" t="s">
        <v>38</v>
      </c>
      <c r="AG29" s="294" t="s">
        <v>1460</v>
      </c>
      <c r="AH29" s="478"/>
      <c r="AI29" s="286" t="s">
        <v>918</v>
      </c>
      <c r="AJ29" s="297">
        <f>VLOOKUP(D29,[13]Hoja1!$G$6:$I$225,3,0)</f>
        <v>457395.1</v>
      </c>
      <c r="AK29" s="298">
        <f t="shared" si="4"/>
        <v>0</v>
      </c>
      <c r="AL29" s="588">
        <f t="shared" si="10"/>
        <v>-43543</v>
      </c>
    </row>
    <row r="30" spans="1:38" s="300" customFormat="1" ht="12" customHeight="1">
      <c r="A30" s="301" t="s">
        <v>510</v>
      </c>
      <c r="B30" s="278" t="s">
        <v>280</v>
      </c>
      <c r="C30" s="278" t="s">
        <v>512</v>
      </c>
      <c r="D30" s="260" t="str">
        <f t="shared" si="0"/>
        <v>KG572486</v>
      </c>
      <c r="E30" s="279">
        <v>515180.59</v>
      </c>
      <c r="F30" s="279">
        <v>515180.59</v>
      </c>
      <c r="G30" s="280" t="s">
        <v>158</v>
      </c>
      <c r="H30" s="278" t="s">
        <v>33</v>
      </c>
      <c r="I30" s="281" t="s">
        <v>79</v>
      </c>
      <c r="J30" s="278" t="s">
        <v>160</v>
      </c>
      <c r="K30" s="282" t="str">
        <f t="shared" si="6"/>
        <v>12/06/2019</v>
      </c>
      <c r="L30" s="283">
        <f t="shared" si="1"/>
        <v>43651</v>
      </c>
      <c r="M30" s="284">
        <f t="shared" si="2"/>
        <v>-43651</v>
      </c>
      <c r="N30" s="468">
        <f t="shared" si="7"/>
        <v>-43628</v>
      </c>
      <c r="O30" s="282"/>
      <c r="P30" s="286">
        <f t="shared" si="8"/>
        <v>515180.59</v>
      </c>
      <c r="Q30" s="287"/>
      <c r="R30" s="332">
        <v>43741</v>
      </c>
      <c r="S30" s="287" t="s">
        <v>703</v>
      </c>
      <c r="T30" s="287" t="s">
        <v>214</v>
      </c>
      <c r="U30" s="538" t="s">
        <v>202</v>
      </c>
      <c r="V30" s="502" t="s">
        <v>701</v>
      </c>
      <c r="W30" s="290" t="s">
        <v>914</v>
      </c>
      <c r="X30" s="503">
        <f t="shared" si="9"/>
        <v>43766</v>
      </c>
      <c r="Y30" s="326">
        <v>562600</v>
      </c>
      <c r="Z30" s="292"/>
      <c r="AA30" s="293">
        <f t="shared" si="3"/>
        <v>562600</v>
      </c>
      <c r="AB30" s="294"/>
      <c r="AC30" s="294"/>
      <c r="AD30" s="295"/>
      <c r="AE30" s="296">
        <v>43706</v>
      </c>
      <c r="AF30" s="287" t="s">
        <v>38</v>
      </c>
      <c r="AG30" s="294" t="s">
        <v>1460</v>
      </c>
      <c r="AH30" s="478"/>
      <c r="AI30" s="286" t="s">
        <v>918</v>
      </c>
      <c r="AJ30" s="297">
        <f>VLOOKUP(D30,[13]Hoja1!$G$6:$I$225,3,0)</f>
        <v>515180.59</v>
      </c>
      <c r="AK30" s="298">
        <f t="shared" si="4"/>
        <v>0</v>
      </c>
      <c r="AL30" s="588">
        <f t="shared" si="10"/>
        <v>-43628</v>
      </c>
    </row>
    <row r="31" spans="1:38" s="300" customFormat="1" ht="12" customHeight="1">
      <c r="A31" s="301" t="s">
        <v>510</v>
      </c>
      <c r="B31" s="278" t="s">
        <v>280</v>
      </c>
      <c r="C31" s="278" t="s">
        <v>513</v>
      </c>
      <c r="D31" s="260" t="str">
        <f t="shared" si="0"/>
        <v>KG572493</v>
      </c>
      <c r="E31" s="279">
        <v>515180.59</v>
      </c>
      <c r="F31" s="279">
        <v>515180.59</v>
      </c>
      <c r="G31" s="280" t="s">
        <v>158</v>
      </c>
      <c r="H31" s="278" t="s">
        <v>33</v>
      </c>
      <c r="I31" s="281" t="s">
        <v>79</v>
      </c>
      <c r="J31" s="278" t="s">
        <v>160</v>
      </c>
      <c r="K31" s="282" t="str">
        <f t="shared" si="6"/>
        <v>12/06/2019</v>
      </c>
      <c r="L31" s="283">
        <f t="shared" si="1"/>
        <v>43651</v>
      </c>
      <c r="M31" s="284">
        <f t="shared" si="2"/>
        <v>-43651</v>
      </c>
      <c r="N31" s="468">
        <f t="shared" si="7"/>
        <v>-43628</v>
      </c>
      <c r="O31" s="282"/>
      <c r="P31" s="286">
        <f t="shared" si="8"/>
        <v>515180.59</v>
      </c>
      <c r="Q31" s="287"/>
      <c r="R31" s="332">
        <v>43741</v>
      </c>
      <c r="S31" s="287" t="s">
        <v>704</v>
      </c>
      <c r="T31" s="287" t="s">
        <v>214</v>
      </c>
      <c r="U31" s="538" t="s">
        <v>202</v>
      </c>
      <c r="V31" s="502" t="s">
        <v>701</v>
      </c>
      <c r="W31" s="290" t="s">
        <v>914</v>
      </c>
      <c r="X31" s="503">
        <f t="shared" si="9"/>
        <v>43766</v>
      </c>
      <c r="Y31" s="326">
        <v>562600</v>
      </c>
      <c r="Z31" s="292"/>
      <c r="AA31" s="293">
        <f t="shared" si="3"/>
        <v>562600</v>
      </c>
      <c r="AB31" s="294"/>
      <c r="AC31" s="294"/>
      <c r="AD31" s="295"/>
      <c r="AE31" s="296">
        <v>43706</v>
      </c>
      <c r="AF31" s="287" t="s">
        <v>38</v>
      </c>
      <c r="AG31" s="294" t="s">
        <v>1460</v>
      </c>
      <c r="AH31" s="478"/>
      <c r="AI31" s="286" t="s">
        <v>918</v>
      </c>
      <c r="AJ31" s="297">
        <f>VLOOKUP(D31,[13]Hoja1!$G$6:$I$225,3,0)</f>
        <v>515180.59</v>
      </c>
      <c r="AK31" s="298">
        <f t="shared" si="4"/>
        <v>0</v>
      </c>
      <c r="AL31" s="588">
        <f t="shared" si="10"/>
        <v>-43628</v>
      </c>
    </row>
    <row r="32" spans="1:38" s="300" customFormat="1" ht="12" customHeight="1">
      <c r="A32" s="301" t="s">
        <v>510</v>
      </c>
      <c r="B32" s="278" t="s">
        <v>280</v>
      </c>
      <c r="C32" s="278" t="s">
        <v>514</v>
      </c>
      <c r="D32" s="260" t="str">
        <f t="shared" si="0"/>
        <v>KG572511</v>
      </c>
      <c r="E32" s="279">
        <v>515180.59</v>
      </c>
      <c r="F32" s="279">
        <v>515180.59</v>
      </c>
      <c r="G32" s="280" t="s">
        <v>158</v>
      </c>
      <c r="H32" s="278" t="s">
        <v>33</v>
      </c>
      <c r="I32" s="281" t="s">
        <v>79</v>
      </c>
      <c r="J32" s="278" t="s">
        <v>160</v>
      </c>
      <c r="K32" s="282" t="str">
        <f t="shared" si="6"/>
        <v>12/06/2019</v>
      </c>
      <c r="L32" s="283">
        <f t="shared" si="1"/>
        <v>43651</v>
      </c>
      <c r="M32" s="284">
        <f t="shared" si="2"/>
        <v>-43651</v>
      </c>
      <c r="N32" s="468">
        <f t="shared" si="7"/>
        <v>-43628</v>
      </c>
      <c r="O32" s="282"/>
      <c r="P32" s="286">
        <f t="shared" si="8"/>
        <v>515180.59</v>
      </c>
      <c r="Q32" s="287"/>
      <c r="R32" s="332">
        <v>43741</v>
      </c>
      <c r="S32" s="287" t="s">
        <v>705</v>
      </c>
      <c r="T32" s="287" t="s">
        <v>214</v>
      </c>
      <c r="U32" s="538" t="s">
        <v>202</v>
      </c>
      <c r="V32" s="502" t="s">
        <v>701</v>
      </c>
      <c r="W32" s="290" t="s">
        <v>914</v>
      </c>
      <c r="X32" s="503">
        <f t="shared" si="9"/>
        <v>43766</v>
      </c>
      <c r="Y32" s="326">
        <v>562600</v>
      </c>
      <c r="Z32" s="292"/>
      <c r="AA32" s="293">
        <f t="shared" si="3"/>
        <v>562600</v>
      </c>
      <c r="AB32" s="294"/>
      <c r="AC32" s="294"/>
      <c r="AD32" s="295"/>
      <c r="AE32" s="296">
        <v>43706</v>
      </c>
      <c r="AF32" s="287" t="s">
        <v>38</v>
      </c>
      <c r="AG32" s="294" t="s">
        <v>1460</v>
      </c>
      <c r="AH32" s="478"/>
      <c r="AI32" s="286" t="s">
        <v>918</v>
      </c>
      <c r="AJ32" s="297">
        <f>VLOOKUP(D32,[13]Hoja1!$G$6:$I$225,3,0)</f>
        <v>515180.59</v>
      </c>
      <c r="AK32" s="298">
        <f t="shared" si="4"/>
        <v>0</v>
      </c>
      <c r="AL32" s="588">
        <f t="shared" si="10"/>
        <v>-43628</v>
      </c>
    </row>
    <row r="33" spans="1:38" s="300" customFormat="1" ht="12" customHeight="1">
      <c r="A33" s="301" t="s">
        <v>510</v>
      </c>
      <c r="B33" s="278" t="s">
        <v>280</v>
      </c>
      <c r="C33" s="278" t="s">
        <v>515</v>
      </c>
      <c r="D33" s="260" t="str">
        <f t="shared" si="0"/>
        <v>KG572513</v>
      </c>
      <c r="E33" s="279">
        <v>515180.59</v>
      </c>
      <c r="F33" s="279">
        <v>515180.59</v>
      </c>
      <c r="G33" s="280" t="s">
        <v>158</v>
      </c>
      <c r="H33" s="278" t="s">
        <v>33</v>
      </c>
      <c r="I33" s="281" t="s">
        <v>79</v>
      </c>
      <c r="J33" s="278" t="s">
        <v>160</v>
      </c>
      <c r="K33" s="282" t="str">
        <f t="shared" si="6"/>
        <v>12/06/2019</v>
      </c>
      <c r="L33" s="283">
        <f t="shared" si="1"/>
        <v>43651</v>
      </c>
      <c r="M33" s="284">
        <f t="shared" si="2"/>
        <v>-43651</v>
      </c>
      <c r="N33" s="468">
        <f t="shared" si="7"/>
        <v>-43628</v>
      </c>
      <c r="O33" s="282"/>
      <c r="P33" s="286">
        <f t="shared" si="8"/>
        <v>515180.59</v>
      </c>
      <c r="Q33" s="287"/>
      <c r="R33" s="332">
        <v>43741</v>
      </c>
      <c r="S33" s="287" t="s">
        <v>706</v>
      </c>
      <c r="T33" s="287" t="s">
        <v>214</v>
      </c>
      <c r="U33" s="538" t="s">
        <v>202</v>
      </c>
      <c r="V33" s="502" t="s">
        <v>701</v>
      </c>
      <c r="W33" s="290" t="s">
        <v>914</v>
      </c>
      <c r="X33" s="503">
        <f t="shared" si="9"/>
        <v>43766</v>
      </c>
      <c r="Y33" s="326">
        <v>562600</v>
      </c>
      <c r="Z33" s="292"/>
      <c r="AA33" s="293">
        <f t="shared" si="3"/>
        <v>562600</v>
      </c>
      <c r="AB33" s="294"/>
      <c r="AC33" s="294"/>
      <c r="AD33" s="295"/>
      <c r="AE33" s="296">
        <v>43706</v>
      </c>
      <c r="AF33" s="287" t="s">
        <v>38</v>
      </c>
      <c r="AG33" s="294" t="s">
        <v>1460</v>
      </c>
      <c r="AH33" s="478"/>
      <c r="AI33" s="286" t="s">
        <v>918</v>
      </c>
      <c r="AJ33" s="297">
        <f>VLOOKUP(D33,[13]Hoja1!$G$6:$I$225,3,0)</f>
        <v>515180.59</v>
      </c>
      <c r="AK33" s="298">
        <f t="shared" si="4"/>
        <v>0</v>
      </c>
      <c r="AL33" s="588">
        <f t="shared" si="10"/>
        <v>-43628</v>
      </c>
    </row>
    <row r="34" spans="1:38" s="300" customFormat="1" ht="12" customHeight="1">
      <c r="A34" s="301" t="s">
        <v>510</v>
      </c>
      <c r="B34" s="278" t="s">
        <v>280</v>
      </c>
      <c r="C34" s="278" t="s">
        <v>516</v>
      </c>
      <c r="D34" s="260" t="str">
        <f t="shared" si="0"/>
        <v>KG575428</v>
      </c>
      <c r="E34" s="279">
        <v>515180.59</v>
      </c>
      <c r="F34" s="279">
        <v>515180.59</v>
      </c>
      <c r="G34" s="280" t="s">
        <v>158</v>
      </c>
      <c r="H34" s="278" t="s">
        <v>33</v>
      </c>
      <c r="I34" s="281" t="s">
        <v>79</v>
      </c>
      <c r="J34" s="278" t="s">
        <v>160</v>
      </c>
      <c r="K34" s="282" t="str">
        <f t="shared" si="6"/>
        <v>12/06/2019</v>
      </c>
      <c r="L34" s="283">
        <f t="shared" si="1"/>
        <v>43651</v>
      </c>
      <c r="M34" s="284">
        <f t="shared" si="2"/>
        <v>-43651</v>
      </c>
      <c r="N34" s="468">
        <f t="shared" si="7"/>
        <v>-43628</v>
      </c>
      <c r="O34" s="282"/>
      <c r="P34" s="286">
        <f t="shared" si="8"/>
        <v>515180.59</v>
      </c>
      <c r="Q34" s="287"/>
      <c r="R34" s="332">
        <v>43741</v>
      </c>
      <c r="S34" s="287" t="s">
        <v>707</v>
      </c>
      <c r="T34" s="287" t="s">
        <v>214</v>
      </c>
      <c r="U34" s="538" t="s">
        <v>202</v>
      </c>
      <c r="V34" s="502" t="s">
        <v>701</v>
      </c>
      <c r="W34" s="290" t="s">
        <v>914</v>
      </c>
      <c r="X34" s="503">
        <f t="shared" si="9"/>
        <v>43766</v>
      </c>
      <c r="Y34" s="326">
        <v>562600</v>
      </c>
      <c r="Z34" s="292"/>
      <c r="AA34" s="293">
        <f t="shared" si="3"/>
        <v>562600</v>
      </c>
      <c r="AB34" s="294"/>
      <c r="AC34" s="294"/>
      <c r="AD34" s="295"/>
      <c r="AE34" s="296">
        <v>43706</v>
      </c>
      <c r="AF34" s="287" t="s">
        <v>38</v>
      </c>
      <c r="AG34" s="294" t="s">
        <v>1460</v>
      </c>
      <c r="AH34" s="478"/>
      <c r="AI34" s="286" t="s">
        <v>918</v>
      </c>
      <c r="AJ34" s="297">
        <f>VLOOKUP(D34,[13]Hoja1!$G$6:$I$225,3,0)</f>
        <v>515180.59</v>
      </c>
      <c r="AK34" s="298">
        <f t="shared" si="4"/>
        <v>0</v>
      </c>
      <c r="AL34" s="588">
        <f t="shared" si="10"/>
        <v>-43628</v>
      </c>
    </row>
    <row r="35" spans="1:38" s="300" customFormat="1" ht="12" customHeight="1">
      <c r="A35" s="301" t="s">
        <v>510</v>
      </c>
      <c r="B35" s="278" t="s">
        <v>280</v>
      </c>
      <c r="C35" s="278" t="s">
        <v>517</v>
      </c>
      <c r="D35" s="260" t="str">
        <f t="shared" si="0"/>
        <v>KG575458</v>
      </c>
      <c r="E35" s="279">
        <v>515180.59</v>
      </c>
      <c r="F35" s="279">
        <v>515180.59</v>
      </c>
      <c r="G35" s="280" t="s">
        <v>158</v>
      </c>
      <c r="H35" s="278" t="s">
        <v>33</v>
      </c>
      <c r="I35" s="281" t="s">
        <v>79</v>
      </c>
      <c r="J35" s="278" t="s">
        <v>160</v>
      </c>
      <c r="K35" s="282" t="str">
        <f t="shared" si="6"/>
        <v>12/06/2019</v>
      </c>
      <c r="L35" s="283">
        <f t="shared" si="1"/>
        <v>43651</v>
      </c>
      <c r="M35" s="284">
        <f t="shared" si="2"/>
        <v>-43651</v>
      </c>
      <c r="N35" s="468">
        <f t="shared" si="7"/>
        <v>-43628</v>
      </c>
      <c r="O35" s="282"/>
      <c r="P35" s="286">
        <f t="shared" si="8"/>
        <v>515180.59</v>
      </c>
      <c r="Q35" s="287"/>
      <c r="R35" s="332">
        <v>43741</v>
      </c>
      <c r="S35" s="287" t="s">
        <v>708</v>
      </c>
      <c r="T35" s="287" t="s">
        <v>214</v>
      </c>
      <c r="U35" s="538" t="s">
        <v>202</v>
      </c>
      <c r="V35" s="502" t="s">
        <v>701</v>
      </c>
      <c r="W35" s="290" t="s">
        <v>914</v>
      </c>
      <c r="X35" s="503">
        <f t="shared" si="9"/>
        <v>43766</v>
      </c>
      <c r="Y35" s="326">
        <v>562600</v>
      </c>
      <c r="Z35" s="292"/>
      <c r="AA35" s="293">
        <f t="shared" si="3"/>
        <v>562600</v>
      </c>
      <c r="AB35" s="294"/>
      <c r="AC35" s="294"/>
      <c r="AD35" s="295"/>
      <c r="AE35" s="296">
        <v>43706</v>
      </c>
      <c r="AF35" s="287" t="s">
        <v>38</v>
      </c>
      <c r="AG35" s="294" t="s">
        <v>1460</v>
      </c>
      <c r="AH35" s="478"/>
      <c r="AI35" s="286" t="s">
        <v>918</v>
      </c>
      <c r="AJ35" s="297">
        <f>VLOOKUP(D35,[13]Hoja1!$G$6:$I$225,3,0)</f>
        <v>515180.59</v>
      </c>
      <c r="AK35" s="298">
        <f t="shared" si="4"/>
        <v>0</v>
      </c>
      <c r="AL35" s="588">
        <f t="shared" si="10"/>
        <v>-43628</v>
      </c>
    </row>
    <row r="36" spans="1:38" s="300" customFormat="1" ht="12" customHeight="1">
      <c r="A36" s="301" t="s">
        <v>510</v>
      </c>
      <c r="B36" s="278" t="s">
        <v>280</v>
      </c>
      <c r="C36" s="278" t="s">
        <v>518</v>
      </c>
      <c r="D36" s="260" t="str">
        <f t="shared" si="0"/>
        <v>KG575487</v>
      </c>
      <c r="E36" s="279">
        <v>515180.59</v>
      </c>
      <c r="F36" s="279">
        <v>515180.59</v>
      </c>
      <c r="G36" s="280" t="s">
        <v>158</v>
      </c>
      <c r="H36" s="278" t="s">
        <v>33</v>
      </c>
      <c r="I36" s="281" t="s">
        <v>79</v>
      </c>
      <c r="J36" s="278" t="s">
        <v>160</v>
      </c>
      <c r="K36" s="282" t="str">
        <f t="shared" si="6"/>
        <v>12/06/2019</v>
      </c>
      <c r="L36" s="283">
        <f t="shared" si="1"/>
        <v>43651</v>
      </c>
      <c r="M36" s="284">
        <f t="shared" si="2"/>
        <v>-43651</v>
      </c>
      <c r="N36" s="468">
        <f t="shared" si="7"/>
        <v>-43628</v>
      </c>
      <c r="O36" s="282"/>
      <c r="P36" s="286">
        <f t="shared" si="8"/>
        <v>515180.59</v>
      </c>
      <c r="Q36" s="287"/>
      <c r="R36" s="332">
        <v>43741</v>
      </c>
      <c r="S36" s="287" t="s">
        <v>709</v>
      </c>
      <c r="T36" s="287" t="s">
        <v>214</v>
      </c>
      <c r="U36" s="538" t="s">
        <v>202</v>
      </c>
      <c r="V36" s="502" t="s">
        <v>701</v>
      </c>
      <c r="W36" s="290" t="s">
        <v>914</v>
      </c>
      <c r="X36" s="503">
        <f t="shared" si="9"/>
        <v>43766</v>
      </c>
      <c r="Y36" s="326">
        <v>562600</v>
      </c>
      <c r="Z36" s="292"/>
      <c r="AA36" s="293">
        <f t="shared" si="3"/>
        <v>562600</v>
      </c>
      <c r="AB36" s="294"/>
      <c r="AC36" s="294"/>
      <c r="AD36" s="295"/>
      <c r="AE36" s="296">
        <v>43706</v>
      </c>
      <c r="AF36" s="287" t="s">
        <v>38</v>
      </c>
      <c r="AG36" s="294" t="s">
        <v>1460</v>
      </c>
      <c r="AH36" s="478"/>
      <c r="AI36" s="286" t="s">
        <v>918</v>
      </c>
      <c r="AJ36" s="297">
        <f>VLOOKUP(D36,[13]Hoja1!$G$6:$I$225,3,0)</f>
        <v>515180.59</v>
      </c>
      <c r="AK36" s="298">
        <f t="shared" si="4"/>
        <v>0</v>
      </c>
      <c r="AL36" s="588">
        <f t="shared" si="10"/>
        <v>-43628</v>
      </c>
    </row>
    <row r="37" spans="1:38" s="300" customFormat="1" ht="12" customHeight="1">
      <c r="A37" s="301" t="s">
        <v>510</v>
      </c>
      <c r="B37" s="278" t="s">
        <v>280</v>
      </c>
      <c r="C37" s="278" t="s">
        <v>519</v>
      </c>
      <c r="D37" s="260" t="str">
        <f t="shared" si="0"/>
        <v>KG575511</v>
      </c>
      <c r="E37" s="279">
        <v>515180.59</v>
      </c>
      <c r="F37" s="279">
        <v>515180.59</v>
      </c>
      <c r="G37" s="280" t="s">
        <v>158</v>
      </c>
      <c r="H37" s="278" t="s">
        <v>33</v>
      </c>
      <c r="I37" s="281" t="s">
        <v>79</v>
      </c>
      <c r="J37" s="278" t="s">
        <v>160</v>
      </c>
      <c r="K37" s="282" t="str">
        <f t="shared" si="6"/>
        <v>12/06/2019</v>
      </c>
      <c r="L37" s="283">
        <f t="shared" si="1"/>
        <v>43651</v>
      </c>
      <c r="M37" s="284">
        <f t="shared" si="2"/>
        <v>-43651</v>
      </c>
      <c r="N37" s="468">
        <f t="shared" si="7"/>
        <v>-43628</v>
      </c>
      <c r="O37" s="282"/>
      <c r="P37" s="286">
        <f t="shared" si="8"/>
        <v>515180.59</v>
      </c>
      <c r="Q37" s="287"/>
      <c r="R37" s="332">
        <v>43741</v>
      </c>
      <c r="S37" s="287" t="s">
        <v>710</v>
      </c>
      <c r="T37" s="287" t="s">
        <v>214</v>
      </c>
      <c r="U37" s="538" t="s">
        <v>202</v>
      </c>
      <c r="V37" s="502" t="s">
        <v>701</v>
      </c>
      <c r="W37" s="290" t="s">
        <v>914</v>
      </c>
      <c r="X37" s="503">
        <f t="shared" si="9"/>
        <v>43766</v>
      </c>
      <c r="Y37" s="326">
        <v>562600</v>
      </c>
      <c r="Z37" s="292"/>
      <c r="AA37" s="293">
        <f t="shared" si="3"/>
        <v>562600</v>
      </c>
      <c r="AB37" s="294"/>
      <c r="AC37" s="294"/>
      <c r="AD37" s="295"/>
      <c r="AE37" s="296">
        <v>43706</v>
      </c>
      <c r="AF37" s="287" t="s">
        <v>38</v>
      </c>
      <c r="AG37" s="294" t="s">
        <v>1460</v>
      </c>
      <c r="AH37" s="478"/>
      <c r="AI37" s="286" t="s">
        <v>918</v>
      </c>
      <c r="AJ37" s="297">
        <f>VLOOKUP(D37,[13]Hoja1!$G$6:$I$225,3,0)</f>
        <v>515180.59</v>
      </c>
      <c r="AK37" s="298">
        <f t="shared" si="4"/>
        <v>0</v>
      </c>
      <c r="AL37" s="588">
        <f t="shared" si="10"/>
        <v>-43628</v>
      </c>
    </row>
    <row r="38" spans="1:38" s="300" customFormat="1" ht="12" customHeight="1">
      <c r="A38" s="301" t="s">
        <v>510</v>
      </c>
      <c r="B38" s="278" t="s">
        <v>280</v>
      </c>
      <c r="C38" s="278" t="s">
        <v>520</v>
      </c>
      <c r="D38" s="260" t="str">
        <f t="shared" si="0"/>
        <v>KG575514</v>
      </c>
      <c r="E38" s="279">
        <v>515180.59</v>
      </c>
      <c r="F38" s="279">
        <v>515180.59</v>
      </c>
      <c r="G38" s="280" t="s">
        <v>158</v>
      </c>
      <c r="H38" s="278" t="s">
        <v>33</v>
      </c>
      <c r="I38" s="281" t="s">
        <v>79</v>
      </c>
      <c r="J38" s="278" t="s">
        <v>160</v>
      </c>
      <c r="K38" s="282" t="str">
        <f t="shared" si="6"/>
        <v>12/06/2019</v>
      </c>
      <c r="L38" s="283">
        <f t="shared" si="1"/>
        <v>43651</v>
      </c>
      <c r="M38" s="284">
        <f t="shared" si="2"/>
        <v>-43651</v>
      </c>
      <c r="N38" s="468">
        <f t="shared" si="7"/>
        <v>-43628</v>
      </c>
      <c r="O38" s="282"/>
      <c r="P38" s="286">
        <f t="shared" si="8"/>
        <v>515180.59</v>
      </c>
      <c r="Q38" s="287"/>
      <c r="R38" s="332">
        <v>43741</v>
      </c>
      <c r="S38" s="287" t="s">
        <v>711</v>
      </c>
      <c r="T38" s="287" t="s">
        <v>214</v>
      </c>
      <c r="U38" s="538" t="s">
        <v>202</v>
      </c>
      <c r="V38" s="502" t="s">
        <v>701</v>
      </c>
      <c r="W38" s="290" t="s">
        <v>914</v>
      </c>
      <c r="X38" s="503">
        <f t="shared" si="9"/>
        <v>43766</v>
      </c>
      <c r="Y38" s="326">
        <v>562600</v>
      </c>
      <c r="Z38" s="292"/>
      <c r="AA38" s="293">
        <f t="shared" si="3"/>
        <v>562600</v>
      </c>
      <c r="AB38" s="294"/>
      <c r="AC38" s="294"/>
      <c r="AD38" s="295"/>
      <c r="AE38" s="296">
        <v>43706</v>
      </c>
      <c r="AF38" s="287" t="s">
        <v>38</v>
      </c>
      <c r="AG38" s="294" t="s">
        <v>1460</v>
      </c>
      <c r="AH38" s="478"/>
      <c r="AI38" s="286" t="s">
        <v>918</v>
      </c>
      <c r="AJ38" s="297">
        <f>VLOOKUP(D38,[13]Hoja1!$G$6:$I$225,3,0)</f>
        <v>515180.59</v>
      </c>
      <c r="AK38" s="298">
        <f t="shared" si="4"/>
        <v>0</v>
      </c>
      <c r="AL38" s="588">
        <f t="shared" si="10"/>
        <v>-43628</v>
      </c>
    </row>
    <row r="39" spans="1:38" s="300" customFormat="1" ht="12" customHeight="1">
      <c r="A39" s="301" t="s">
        <v>510</v>
      </c>
      <c r="B39" s="278" t="s">
        <v>280</v>
      </c>
      <c r="C39" s="278" t="s">
        <v>521</v>
      </c>
      <c r="D39" s="260" t="str">
        <f t="shared" si="0"/>
        <v>KG575515</v>
      </c>
      <c r="E39" s="279">
        <v>515180.59</v>
      </c>
      <c r="F39" s="279">
        <v>515180.59</v>
      </c>
      <c r="G39" s="280" t="s">
        <v>158</v>
      </c>
      <c r="H39" s="278" t="s">
        <v>33</v>
      </c>
      <c r="I39" s="281" t="s">
        <v>79</v>
      </c>
      <c r="J39" s="278" t="s">
        <v>160</v>
      </c>
      <c r="K39" s="282" t="str">
        <f t="shared" si="6"/>
        <v>12/06/2019</v>
      </c>
      <c r="L39" s="283">
        <f t="shared" si="1"/>
        <v>43651</v>
      </c>
      <c r="M39" s="284">
        <f t="shared" si="2"/>
        <v>-43651</v>
      </c>
      <c r="N39" s="468">
        <f t="shared" si="7"/>
        <v>-43628</v>
      </c>
      <c r="O39" s="282"/>
      <c r="P39" s="286">
        <f t="shared" si="8"/>
        <v>515180.59</v>
      </c>
      <c r="Q39" s="287"/>
      <c r="R39" s="332">
        <v>43741</v>
      </c>
      <c r="S39" s="287" t="s">
        <v>712</v>
      </c>
      <c r="T39" s="287" t="s">
        <v>214</v>
      </c>
      <c r="U39" s="538" t="s">
        <v>202</v>
      </c>
      <c r="V39" s="502" t="s">
        <v>701</v>
      </c>
      <c r="W39" s="290" t="s">
        <v>914</v>
      </c>
      <c r="X39" s="503">
        <f t="shared" si="9"/>
        <v>43766</v>
      </c>
      <c r="Y39" s="326">
        <v>562600</v>
      </c>
      <c r="Z39" s="292"/>
      <c r="AA39" s="293">
        <f t="shared" si="3"/>
        <v>562600</v>
      </c>
      <c r="AB39" s="294"/>
      <c r="AC39" s="294"/>
      <c r="AD39" s="295"/>
      <c r="AE39" s="296">
        <v>43706</v>
      </c>
      <c r="AF39" s="287" t="s">
        <v>38</v>
      </c>
      <c r="AG39" s="294" t="s">
        <v>1460</v>
      </c>
      <c r="AH39" s="478"/>
      <c r="AI39" s="286" t="s">
        <v>918</v>
      </c>
      <c r="AJ39" s="297">
        <f>VLOOKUP(D39,[13]Hoja1!$G$6:$I$225,3,0)</f>
        <v>515180.59</v>
      </c>
      <c r="AK39" s="298">
        <f t="shared" si="4"/>
        <v>0</v>
      </c>
      <c r="AL39" s="588">
        <f t="shared" si="10"/>
        <v>-43628</v>
      </c>
    </row>
    <row r="40" spans="1:38" s="300" customFormat="1" ht="12" customHeight="1">
      <c r="A40" s="301" t="s">
        <v>510</v>
      </c>
      <c r="B40" s="278" t="s">
        <v>280</v>
      </c>
      <c r="C40" s="278" t="s">
        <v>522</v>
      </c>
      <c r="D40" s="260" t="str">
        <f t="shared" si="0"/>
        <v>KG575533</v>
      </c>
      <c r="E40" s="279">
        <v>515180.59</v>
      </c>
      <c r="F40" s="279">
        <v>515180.59</v>
      </c>
      <c r="G40" s="280" t="s">
        <v>158</v>
      </c>
      <c r="H40" s="278" t="s">
        <v>33</v>
      </c>
      <c r="I40" s="281" t="s">
        <v>79</v>
      </c>
      <c r="J40" s="278" t="s">
        <v>160</v>
      </c>
      <c r="K40" s="282" t="str">
        <f t="shared" si="6"/>
        <v>12/06/2019</v>
      </c>
      <c r="L40" s="283">
        <f t="shared" si="1"/>
        <v>43651</v>
      </c>
      <c r="M40" s="284">
        <f t="shared" si="2"/>
        <v>-43651</v>
      </c>
      <c r="N40" s="468">
        <f t="shared" si="7"/>
        <v>-43628</v>
      </c>
      <c r="O40" s="282"/>
      <c r="P40" s="286">
        <f t="shared" si="8"/>
        <v>515180.59</v>
      </c>
      <c r="Q40" s="287"/>
      <c r="R40" s="332">
        <v>43741</v>
      </c>
      <c r="S40" s="287" t="s">
        <v>713</v>
      </c>
      <c r="T40" s="287" t="s">
        <v>214</v>
      </c>
      <c r="U40" s="538" t="s">
        <v>202</v>
      </c>
      <c r="V40" s="502" t="s">
        <v>701</v>
      </c>
      <c r="W40" s="290" t="s">
        <v>914</v>
      </c>
      <c r="X40" s="503">
        <f t="shared" si="9"/>
        <v>43766</v>
      </c>
      <c r="Y40" s="326">
        <v>562600</v>
      </c>
      <c r="Z40" s="292"/>
      <c r="AA40" s="293">
        <f t="shared" si="3"/>
        <v>562600</v>
      </c>
      <c r="AB40" s="294"/>
      <c r="AC40" s="294"/>
      <c r="AD40" s="295"/>
      <c r="AE40" s="296">
        <v>43706</v>
      </c>
      <c r="AF40" s="287" t="s">
        <v>38</v>
      </c>
      <c r="AG40" s="294" t="s">
        <v>1460</v>
      </c>
      <c r="AH40" s="478"/>
      <c r="AI40" s="286" t="s">
        <v>918</v>
      </c>
      <c r="AJ40" s="297">
        <f>VLOOKUP(D40,[13]Hoja1!$G$6:$I$225,3,0)</f>
        <v>515180.59</v>
      </c>
      <c r="AK40" s="298">
        <f t="shared" si="4"/>
        <v>0</v>
      </c>
      <c r="AL40" s="588">
        <f t="shared" si="10"/>
        <v>-43628</v>
      </c>
    </row>
    <row r="41" spans="1:38" s="300" customFormat="1" ht="12" customHeight="1">
      <c r="A41" s="301" t="s">
        <v>510</v>
      </c>
      <c r="B41" s="278" t="s">
        <v>280</v>
      </c>
      <c r="C41" s="278" t="s">
        <v>523</v>
      </c>
      <c r="D41" s="260" t="str">
        <f t="shared" si="0"/>
        <v>KG575556</v>
      </c>
      <c r="E41" s="279">
        <v>515180.59</v>
      </c>
      <c r="F41" s="279">
        <v>515180.59</v>
      </c>
      <c r="G41" s="280" t="s">
        <v>158</v>
      </c>
      <c r="H41" s="278" t="s">
        <v>33</v>
      </c>
      <c r="I41" s="281" t="s">
        <v>79</v>
      </c>
      <c r="J41" s="278" t="s">
        <v>160</v>
      </c>
      <c r="K41" s="282" t="str">
        <f t="shared" si="6"/>
        <v>12/06/2019</v>
      </c>
      <c r="L41" s="283">
        <f t="shared" si="1"/>
        <v>43651</v>
      </c>
      <c r="M41" s="284">
        <f t="shared" si="2"/>
        <v>-43651</v>
      </c>
      <c r="N41" s="468">
        <f t="shared" si="7"/>
        <v>-43628</v>
      </c>
      <c r="O41" s="282"/>
      <c r="P41" s="286">
        <f t="shared" si="8"/>
        <v>515180.59</v>
      </c>
      <c r="Q41" s="287"/>
      <c r="R41" s="332">
        <v>43741</v>
      </c>
      <c r="S41" s="287" t="s">
        <v>714</v>
      </c>
      <c r="T41" s="287" t="s">
        <v>214</v>
      </c>
      <c r="U41" s="538" t="s">
        <v>202</v>
      </c>
      <c r="V41" s="502" t="s">
        <v>701</v>
      </c>
      <c r="W41" s="290" t="s">
        <v>914</v>
      </c>
      <c r="X41" s="503">
        <f t="shared" si="9"/>
        <v>43766</v>
      </c>
      <c r="Y41" s="326">
        <v>562600</v>
      </c>
      <c r="Z41" s="292"/>
      <c r="AA41" s="293">
        <f t="shared" si="3"/>
        <v>562600</v>
      </c>
      <c r="AB41" s="294"/>
      <c r="AC41" s="294"/>
      <c r="AD41" s="295"/>
      <c r="AE41" s="296">
        <v>43706</v>
      </c>
      <c r="AF41" s="287" t="s">
        <v>38</v>
      </c>
      <c r="AG41" s="294" t="s">
        <v>1460</v>
      </c>
      <c r="AH41" s="478"/>
      <c r="AI41" s="286" t="s">
        <v>918</v>
      </c>
      <c r="AJ41" s="297">
        <f>VLOOKUP(D41,[13]Hoja1!$G$6:$I$225,3,0)</f>
        <v>515180.59</v>
      </c>
      <c r="AK41" s="298">
        <f t="shared" si="4"/>
        <v>0</v>
      </c>
      <c r="AL41" s="588">
        <f t="shared" si="10"/>
        <v>-43628</v>
      </c>
    </row>
    <row r="42" spans="1:38" s="300" customFormat="1" ht="12" customHeight="1">
      <c r="A42" s="301" t="s">
        <v>510</v>
      </c>
      <c r="B42" s="278" t="s">
        <v>280</v>
      </c>
      <c r="C42" s="278" t="s">
        <v>524</v>
      </c>
      <c r="D42" s="260" t="str">
        <f t="shared" si="0"/>
        <v>KG575632</v>
      </c>
      <c r="E42" s="279">
        <v>515180.59</v>
      </c>
      <c r="F42" s="279">
        <v>515180.59</v>
      </c>
      <c r="G42" s="280" t="s">
        <v>158</v>
      </c>
      <c r="H42" s="278" t="s">
        <v>33</v>
      </c>
      <c r="I42" s="281" t="s">
        <v>79</v>
      </c>
      <c r="J42" s="278" t="s">
        <v>160</v>
      </c>
      <c r="K42" s="282" t="str">
        <f t="shared" si="6"/>
        <v>12/06/2019</v>
      </c>
      <c r="L42" s="283">
        <f t="shared" si="1"/>
        <v>43651</v>
      </c>
      <c r="M42" s="284">
        <f t="shared" si="2"/>
        <v>-43651</v>
      </c>
      <c r="N42" s="468">
        <f t="shared" si="7"/>
        <v>-43628</v>
      </c>
      <c r="O42" s="282"/>
      <c r="P42" s="286">
        <f t="shared" si="8"/>
        <v>515180.59</v>
      </c>
      <c r="Q42" s="287"/>
      <c r="R42" s="332">
        <v>43741</v>
      </c>
      <c r="S42" s="287" t="s">
        <v>715</v>
      </c>
      <c r="T42" s="287" t="s">
        <v>214</v>
      </c>
      <c r="U42" s="538" t="s">
        <v>202</v>
      </c>
      <c r="V42" s="502" t="s">
        <v>701</v>
      </c>
      <c r="W42" s="290" t="s">
        <v>914</v>
      </c>
      <c r="X42" s="503">
        <f t="shared" si="9"/>
        <v>43766</v>
      </c>
      <c r="Y42" s="326">
        <v>562600</v>
      </c>
      <c r="Z42" s="292"/>
      <c r="AA42" s="293">
        <f t="shared" si="3"/>
        <v>562600</v>
      </c>
      <c r="AB42" s="294"/>
      <c r="AC42" s="294"/>
      <c r="AD42" s="295"/>
      <c r="AE42" s="296">
        <v>43706</v>
      </c>
      <c r="AF42" s="287" t="s">
        <v>38</v>
      </c>
      <c r="AG42" s="294" t="s">
        <v>1460</v>
      </c>
      <c r="AH42" s="478"/>
      <c r="AI42" s="286" t="s">
        <v>918</v>
      </c>
      <c r="AJ42" s="297">
        <f>VLOOKUP(D42,[13]Hoja1!$G$6:$I$225,3,0)</f>
        <v>515180.59</v>
      </c>
      <c r="AK42" s="298">
        <f t="shared" si="4"/>
        <v>0</v>
      </c>
      <c r="AL42" s="588">
        <f t="shared" si="10"/>
        <v>-43628</v>
      </c>
    </row>
    <row r="43" spans="1:38" s="300" customFormat="1" ht="12" customHeight="1">
      <c r="A43" s="301" t="s">
        <v>510</v>
      </c>
      <c r="B43" s="278" t="s">
        <v>280</v>
      </c>
      <c r="C43" s="278" t="s">
        <v>525</v>
      </c>
      <c r="D43" s="260" t="str">
        <f t="shared" si="0"/>
        <v>KG575637</v>
      </c>
      <c r="E43" s="279">
        <v>515180.59</v>
      </c>
      <c r="F43" s="279">
        <v>515180.59</v>
      </c>
      <c r="G43" s="280" t="s">
        <v>158</v>
      </c>
      <c r="H43" s="278" t="s">
        <v>33</v>
      </c>
      <c r="I43" s="281" t="s">
        <v>79</v>
      </c>
      <c r="J43" s="278" t="s">
        <v>160</v>
      </c>
      <c r="K43" s="282" t="str">
        <f t="shared" si="6"/>
        <v>12/06/2019</v>
      </c>
      <c r="L43" s="283">
        <f t="shared" si="1"/>
        <v>43651</v>
      </c>
      <c r="M43" s="284">
        <f t="shared" si="2"/>
        <v>-43651</v>
      </c>
      <c r="N43" s="468">
        <f t="shared" si="7"/>
        <v>-43628</v>
      </c>
      <c r="O43" s="282"/>
      <c r="P43" s="286">
        <f t="shared" si="8"/>
        <v>515180.59</v>
      </c>
      <c r="Q43" s="287"/>
      <c r="R43" s="332">
        <v>43741</v>
      </c>
      <c r="S43" s="287" t="s">
        <v>716</v>
      </c>
      <c r="T43" s="287" t="s">
        <v>214</v>
      </c>
      <c r="U43" s="538" t="s">
        <v>202</v>
      </c>
      <c r="V43" s="502" t="s">
        <v>701</v>
      </c>
      <c r="W43" s="290" t="s">
        <v>914</v>
      </c>
      <c r="X43" s="503">
        <f t="shared" si="9"/>
        <v>43766</v>
      </c>
      <c r="Y43" s="326">
        <v>562600</v>
      </c>
      <c r="Z43" s="292"/>
      <c r="AA43" s="293">
        <f t="shared" si="3"/>
        <v>562600</v>
      </c>
      <c r="AB43" s="294"/>
      <c r="AC43" s="294"/>
      <c r="AD43" s="295"/>
      <c r="AE43" s="296">
        <v>43706</v>
      </c>
      <c r="AF43" s="287" t="s">
        <v>38</v>
      </c>
      <c r="AG43" s="294" t="s">
        <v>1460</v>
      </c>
      <c r="AH43" s="478"/>
      <c r="AI43" s="286" t="s">
        <v>918</v>
      </c>
      <c r="AJ43" s="297">
        <f>VLOOKUP(D43,[13]Hoja1!$G$6:$I$225,3,0)</f>
        <v>515180.59</v>
      </c>
      <c r="AK43" s="298">
        <f t="shared" si="4"/>
        <v>0</v>
      </c>
      <c r="AL43" s="588">
        <f t="shared" si="10"/>
        <v>-43628</v>
      </c>
    </row>
    <row r="44" spans="1:38" s="300" customFormat="1" ht="12" customHeight="1">
      <c r="A44" s="301" t="s">
        <v>510</v>
      </c>
      <c r="B44" s="278" t="s">
        <v>280</v>
      </c>
      <c r="C44" s="278" t="s">
        <v>526</v>
      </c>
      <c r="D44" s="260" t="str">
        <f t="shared" si="0"/>
        <v>KG575639</v>
      </c>
      <c r="E44" s="279">
        <v>515180.59</v>
      </c>
      <c r="F44" s="279">
        <v>515180.59</v>
      </c>
      <c r="G44" s="280" t="s">
        <v>158</v>
      </c>
      <c r="H44" s="278" t="s">
        <v>33</v>
      </c>
      <c r="I44" s="281" t="s">
        <v>79</v>
      </c>
      <c r="J44" s="278" t="s">
        <v>160</v>
      </c>
      <c r="K44" s="282" t="str">
        <f t="shared" si="6"/>
        <v>12/06/2019</v>
      </c>
      <c r="L44" s="283">
        <f t="shared" si="1"/>
        <v>43651</v>
      </c>
      <c r="M44" s="284">
        <f t="shared" si="2"/>
        <v>-43651</v>
      </c>
      <c r="N44" s="468">
        <f t="shared" si="7"/>
        <v>-43628</v>
      </c>
      <c r="O44" s="282"/>
      <c r="P44" s="286">
        <f t="shared" si="8"/>
        <v>515180.59</v>
      </c>
      <c r="Q44" s="287"/>
      <c r="R44" s="332">
        <v>43741</v>
      </c>
      <c r="S44" s="287" t="s">
        <v>717</v>
      </c>
      <c r="T44" s="287" t="s">
        <v>214</v>
      </c>
      <c r="U44" s="538" t="s">
        <v>202</v>
      </c>
      <c r="V44" s="502" t="s">
        <v>701</v>
      </c>
      <c r="W44" s="290" t="s">
        <v>914</v>
      </c>
      <c r="X44" s="503">
        <f t="shared" si="9"/>
        <v>43766</v>
      </c>
      <c r="Y44" s="326">
        <v>562600</v>
      </c>
      <c r="Z44" s="292"/>
      <c r="AA44" s="293">
        <f t="shared" si="3"/>
        <v>562600</v>
      </c>
      <c r="AB44" s="294"/>
      <c r="AC44" s="294"/>
      <c r="AD44" s="295"/>
      <c r="AE44" s="296">
        <v>43706</v>
      </c>
      <c r="AF44" s="287" t="s">
        <v>38</v>
      </c>
      <c r="AG44" s="294" t="s">
        <v>1460</v>
      </c>
      <c r="AH44" s="478"/>
      <c r="AI44" s="286" t="s">
        <v>918</v>
      </c>
      <c r="AJ44" s="297">
        <f>VLOOKUP(D44,[13]Hoja1!$G$6:$I$225,3,0)</f>
        <v>515180.59</v>
      </c>
      <c r="AK44" s="298">
        <f t="shared" si="4"/>
        <v>0</v>
      </c>
      <c r="AL44" s="588">
        <f t="shared" si="10"/>
        <v>-43628</v>
      </c>
    </row>
    <row r="45" spans="1:38" s="300" customFormat="1" ht="12" customHeight="1">
      <c r="A45" s="301" t="s">
        <v>510</v>
      </c>
      <c r="B45" s="278" t="s">
        <v>280</v>
      </c>
      <c r="C45" s="278" t="s">
        <v>527</v>
      </c>
      <c r="D45" s="260" t="str">
        <f t="shared" si="0"/>
        <v>KG575643</v>
      </c>
      <c r="E45" s="279">
        <v>515180.59</v>
      </c>
      <c r="F45" s="279">
        <v>515180.59</v>
      </c>
      <c r="G45" s="280" t="s">
        <v>158</v>
      </c>
      <c r="H45" s="278" t="s">
        <v>33</v>
      </c>
      <c r="I45" s="281" t="s">
        <v>79</v>
      </c>
      <c r="J45" s="278" t="s">
        <v>160</v>
      </c>
      <c r="K45" s="282" t="str">
        <f t="shared" si="6"/>
        <v>12/06/2019</v>
      </c>
      <c r="L45" s="283">
        <f t="shared" si="1"/>
        <v>43651</v>
      </c>
      <c r="M45" s="284">
        <f t="shared" si="2"/>
        <v>-43651</v>
      </c>
      <c r="N45" s="468">
        <f t="shared" si="7"/>
        <v>-43628</v>
      </c>
      <c r="O45" s="282"/>
      <c r="P45" s="286">
        <f t="shared" si="8"/>
        <v>515180.59</v>
      </c>
      <c r="Q45" s="287"/>
      <c r="R45" s="332">
        <v>43741</v>
      </c>
      <c r="S45" s="287" t="s">
        <v>718</v>
      </c>
      <c r="T45" s="287" t="s">
        <v>214</v>
      </c>
      <c r="U45" s="538" t="s">
        <v>202</v>
      </c>
      <c r="V45" s="502" t="s">
        <v>701</v>
      </c>
      <c r="W45" s="290" t="s">
        <v>914</v>
      </c>
      <c r="X45" s="503">
        <f t="shared" si="9"/>
        <v>43766</v>
      </c>
      <c r="Y45" s="326">
        <v>562600</v>
      </c>
      <c r="Z45" s="292"/>
      <c r="AA45" s="293">
        <f t="shared" si="3"/>
        <v>562600</v>
      </c>
      <c r="AB45" s="294"/>
      <c r="AC45" s="294"/>
      <c r="AD45" s="295"/>
      <c r="AE45" s="296">
        <v>43706</v>
      </c>
      <c r="AF45" s="287" t="s">
        <v>38</v>
      </c>
      <c r="AG45" s="294" t="s">
        <v>1460</v>
      </c>
      <c r="AH45" s="478"/>
      <c r="AI45" s="286" t="s">
        <v>918</v>
      </c>
      <c r="AJ45" s="297">
        <f>VLOOKUP(D45,[13]Hoja1!$G$6:$I$225,3,0)</f>
        <v>515180.59</v>
      </c>
      <c r="AK45" s="298">
        <f t="shared" si="4"/>
        <v>0</v>
      </c>
      <c r="AL45" s="588">
        <f t="shared" si="10"/>
        <v>-43628</v>
      </c>
    </row>
    <row r="46" spans="1:38" s="300" customFormat="1" ht="12" customHeight="1">
      <c r="A46" s="301" t="s">
        <v>510</v>
      </c>
      <c r="B46" s="278" t="s">
        <v>280</v>
      </c>
      <c r="C46" s="278" t="s">
        <v>528</v>
      </c>
      <c r="D46" s="260" t="str">
        <f t="shared" si="0"/>
        <v>KG575649</v>
      </c>
      <c r="E46" s="279">
        <v>515180.59</v>
      </c>
      <c r="F46" s="279">
        <v>515180.59</v>
      </c>
      <c r="G46" s="280" t="s">
        <v>158</v>
      </c>
      <c r="H46" s="278" t="s">
        <v>33</v>
      </c>
      <c r="I46" s="281" t="s">
        <v>79</v>
      </c>
      <c r="J46" s="278" t="s">
        <v>160</v>
      </c>
      <c r="K46" s="282" t="str">
        <f t="shared" si="6"/>
        <v>12/06/2019</v>
      </c>
      <c r="L46" s="283">
        <f t="shared" si="1"/>
        <v>43651</v>
      </c>
      <c r="M46" s="284">
        <f t="shared" si="2"/>
        <v>-43651</v>
      </c>
      <c r="N46" s="468">
        <f t="shared" si="7"/>
        <v>-43628</v>
      </c>
      <c r="O46" s="282"/>
      <c r="P46" s="286">
        <f t="shared" si="8"/>
        <v>515180.59</v>
      </c>
      <c r="Q46" s="287"/>
      <c r="R46" s="332">
        <v>43741</v>
      </c>
      <c r="S46" s="287" t="s">
        <v>719</v>
      </c>
      <c r="T46" s="287" t="s">
        <v>214</v>
      </c>
      <c r="U46" s="538" t="s">
        <v>202</v>
      </c>
      <c r="V46" s="502" t="s">
        <v>701</v>
      </c>
      <c r="W46" s="290" t="s">
        <v>914</v>
      </c>
      <c r="X46" s="503">
        <f t="shared" si="9"/>
        <v>43766</v>
      </c>
      <c r="Y46" s="326">
        <v>562600</v>
      </c>
      <c r="Z46" s="292"/>
      <c r="AA46" s="293">
        <f t="shared" si="3"/>
        <v>562600</v>
      </c>
      <c r="AB46" s="294"/>
      <c r="AC46" s="294"/>
      <c r="AD46" s="295"/>
      <c r="AE46" s="296">
        <v>43706</v>
      </c>
      <c r="AF46" s="287" t="s">
        <v>38</v>
      </c>
      <c r="AG46" s="294" t="s">
        <v>1460</v>
      </c>
      <c r="AH46" s="478"/>
      <c r="AI46" s="286" t="s">
        <v>918</v>
      </c>
      <c r="AJ46" s="297">
        <f>VLOOKUP(D46,[13]Hoja1!$G$6:$I$225,3,0)</f>
        <v>515180.59</v>
      </c>
      <c r="AK46" s="298">
        <f t="shared" si="4"/>
        <v>0</v>
      </c>
      <c r="AL46" s="588">
        <f t="shared" si="10"/>
        <v>-43628</v>
      </c>
    </row>
    <row r="47" spans="1:38" s="300" customFormat="1" ht="12" customHeight="1">
      <c r="A47" s="301" t="s">
        <v>510</v>
      </c>
      <c r="B47" s="278" t="s">
        <v>280</v>
      </c>
      <c r="C47" s="278" t="s">
        <v>529</v>
      </c>
      <c r="D47" s="260" t="str">
        <f t="shared" si="0"/>
        <v>KG575666</v>
      </c>
      <c r="E47" s="279">
        <v>515180.59</v>
      </c>
      <c r="F47" s="279">
        <v>515180.59</v>
      </c>
      <c r="G47" s="280" t="s">
        <v>158</v>
      </c>
      <c r="H47" s="278" t="s">
        <v>33</v>
      </c>
      <c r="I47" s="281" t="s">
        <v>79</v>
      </c>
      <c r="J47" s="278" t="s">
        <v>160</v>
      </c>
      <c r="K47" s="282" t="str">
        <f t="shared" si="6"/>
        <v>12/06/2019</v>
      </c>
      <c r="L47" s="283">
        <f t="shared" si="1"/>
        <v>43651</v>
      </c>
      <c r="M47" s="284">
        <f t="shared" si="2"/>
        <v>-43651</v>
      </c>
      <c r="N47" s="468">
        <f t="shared" si="7"/>
        <v>-43628</v>
      </c>
      <c r="O47" s="282"/>
      <c r="P47" s="286">
        <f t="shared" si="8"/>
        <v>515180.59</v>
      </c>
      <c r="Q47" s="287"/>
      <c r="R47" s="332">
        <v>43741</v>
      </c>
      <c r="S47" s="287" t="s">
        <v>720</v>
      </c>
      <c r="T47" s="287" t="s">
        <v>214</v>
      </c>
      <c r="U47" s="538" t="s">
        <v>202</v>
      </c>
      <c r="V47" s="502" t="s">
        <v>701</v>
      </c>
      <c r="W47" s="290" t="s">
        <v>914</v>
      </c>
      <c r="X47" s="503">
        <f t="shared" si="9"/>
        <v>43766</v>
      </c>
      <c r="Y47" s="326">
        <v>562600</v>
      </c>
      <c r="Z47" s="292"/>
      <c r="AA47" s="293">
        <f t="shared" si="3"/>
        <v>562600</v>
      </c>
      <c r="AB47" s="294"/>
      <c r="AC47" s="294"/>
      <c r="AD47" s="295"/>
      <c r="AE47" s="296">
        <v>43706</v>
      </c>
      <c r="AF47" s="287" t="s">
        <v>38</v>
      </c>
      <c r="AG47" s="294" t="s">
        <v>1460</v>
      </c>
      <c r="AH47" s="478"/>
      <c r="AI47" s="286" t="s">
        <v>918</v>
      </c>
      <c r="AJ47" s="297">
        <f>VLOOKUP(D47,[13]Hoja1!$G$6:$I$225,3,0)</f>
        <v>515180.59</v>
      </c>
      <c r="AK47" s="298">
        <f t="shared" si="4"/>
        <v>0</v>
      </c>
      <c r="AL47" s="588">
        <f t="shared" si="10"/>
        <v>-43628</v>
      </c>
    </row>
    <row r="48" spans="1:38" s="300" customFormat="1" ht="12" customHeight="1">
      <c r="A48" s="301" t="s">
        <v>510</v>
      </c>
      <c r="B48" s="278" t="s">
        <v>280</v>
      </c>
      <c r="C48" s="278" t="s">
        <v>530</v>
      </c>
      <c r="D48" s="260" t="str">
        <f t="shared" si="0"/>
        <v>KG575667</v>
      </c>
      <c r="E48" s="279">
        <v>515180.59</v>
      </c>
      <c r="F48" s="279">
        <v>515180.59</v>
      </c>
      <c r="G48" s="280" t="s">
        <v>158</v>
      </c>
      <c r="H48" s="278" t="s">
        <v>33</v>
      </c>
      <c r="I48" s="281" t="s">
        <v>79</v>
      </c>
      <c r="J48" s="278" t="s">
        <v>160</v>
      </c>
      <c r="K48" s="282" t="str">
        <f t="shared" si="6"/>
        <v>12/06/2019</v>
      </c>
      <c r="L48" s="283">
        <f t="shared" si="1"/>
        <v>43651</v>
      </c>
      <c r="M48" s="284">
        <f t="shared" si="2"/>
        <v>-43651</v>
      </c>
      <c r="N48" s="468">
        <f t="shared" si="7"/>
        <v>-43628</v>
      </c>
      <c r="O48" s="282"/>
      <c r="P48" s="286">
        <f t="shared" si="8"/>
        <v>515180.59</v>
      </c>
      <c r="Q48" s="287"/>
      <c r="R48" s="332">
        <v>43741</v>
      </c>
      <c r="S48" s="287" t="s">
        <v>721</v>
      </c>
      <c r="T48" s="287" t="s">
        <v>214</v>
      </c>
      <c r="U48" s="538" t="s">
        <v>202</v>
      </c>
      <c r="V48" s="502" t="s">
        <v>701</v>
      </c>
      <c r="W48" s="290" t="s">
        <v>914</v>
      </c>
      <c r="X48" s="503">
        <f t="shared" si="9"/>
        <v>43766</v>
      </c>
      <c r="Y48" s="326">
        <v>562600</v>
      </c>
      <c r="Z48" s="292"/>
      <c r="AA48" s="293">
        <f t="shared" si="3"/>
        <v>562600</v>
      </c>
      <c r="AB48" s="294"/>
      <c r="AC48" s="294"/>
      <c r="AD48" s="295"/>
      <c r="AE48" s="296">
        <v>43706</v>
      </c>
      <c r="AF48" s="287" t="s">
        <v>38</v>
      </c>
      <c r="AG48" s="294" t="s">
        <v>1460</v>
      </c>
      <c r="AH48" s="478"/>
      <c r="AI48" s="286" t="s">
        <v>918</v>
      </c>
      <c r="AJ48" s="297">
        <f>VLOOKUP(D48,[13]Hoja1!$G$6:$I$225,3,0)</f>
        <v>515180.59</v>
      </c>
      <c r="AK48" s="298">
        <f t="shared" si="4"/>
        <v>0</v>
      </c>
      <c r="AL48" s="588">
        <f t="shared" si="10"/>
        <v>-43628</v>
      </c>
    </row>
    <row r="49" spans="1:38" s="300" customFormat="1" ht="12" customHeight="1">
      <c r="A49" s="301" t="s">
        <v>510</v>
      </c>
      <c r="B49" s="278" t="s">
        <v>280</v>
      </c>
      <c r="C49" s="278" t="s">
        <v>531</v>
      </c>
      <c r="D49" s="260" t="str">
        <f t="shared" si="0"/>
        <v>KG575670</v>
      </c>
      <c r="E49" s="279">
        <v>515180.59</v>
      </c>
      <c r="F49" s="279">
        <v>515180.59</v>
      </c>
      <c r="G49" s="280" t="s">
        <v>158</v>
      </c>
      <c r="H49" s="278" t="s">
        <v>33</v>
      </c>
      <c r="I49" s="281" t="s">
        <v>79</v>
      </c>
      <c r="J49" s="278" t="s">
        <v>160</v>
      </c>
      <c r="K49" s="282" t="str">
        <f t="shared" si="6"/>
        <v>12/06/2019</v>
      </c>
      <c r="L49" s="283">
        <f t="shared" si="1"/>
        <v>43651</v>
      </c>
      <c r="M49" s="284">
        <f t="shared" si="2"/>
        <v>-43651</v>
      </c>
      <c r="N49" s="468">
        <f t="shared" si="7"/>
        <v>-43628</v>
      </c>
      <c r="O49" s="282"/>
      <c r="P49" s="286">
        <f t="shared" si="8"/>
        <v>515180.59</v>
      </c>
      <c r="Q49" s="287"/>
      <c r="R49" s="332">
        <v>43741</v>
      </c>
      <c r="S49" s="287" t="s">
        <v>722</v>
      </c>
      <c r="T49" s="287" t="s">
        <v>214</v>
      </c>
      <c r="U49" s="538" t="s">
        <v>202</v>
      </c>
      <c r="V49" s="502" t="s">
        <v>701</v>
      </c>
      <c r="W49" s="290" t="s">
        <v>914</v>
      </c>
      <c r="X49" s="503">
        <f t="shared" si="9"/>
        <v>43766</v>
      </c>
      <c r="Y49" s="326">
        <v>562600</v>
      </c>
      <c r="Z49" s="292"/>
      <c r="AA49" s="293">
        <f t="shared" si="3"/>
        <v>562600</v>
      </c>
      <c r="AB49" s="294"/>
      <c r="AC49" s="294"/>
      <c r="AD49" s="295"/>
      <c r="AE49" s="296">
        <v>43706</v>
      </c>
      <c r="AF49" s="287" t="s">
        <v>38</v>
      </c>
      <c r="AG49" s="294" t="s">
        <v>1460</v>
      </c>
      <c r="AH49" s="478"/>
      <c r="AI49" s="286" t="s">
        <v>918</v>
      </c>
      <c r="AJ49" s="297">
        <f>VLOOKUP(D49,[13]Hoja1!$G$6:$I$225,3,0)</f>
        <v>515180.59</v>
      </c>
      <c r="AK49" s="298">
        <f t="shared" si="4"/>
        <v>0</v>
      </c>
      <c r="AL49" s="588">
        <f t="shared" si="10"/>
        <v>-43628</v>
      </c>
    </row>
    <row r="50" spans="1:38" s="300" customFormat="1" ht="12" customHeight="1">
      <c r="A50" s="301" t="s">
        <v>510</v>
      </c>
      <c r="B50" s="278" t="s">
        <v>280</v>
      </c>
      <c r="C50" s="278" t="s">
        <v>532</v>
      </c>
      <c r="D50" s="260" t="str">
        <f t="shared" si="0"/>
        <v>KG575671</v>
      </c>
      <c r="E50" s="279">
        <v>515180.59</v>
      </c>
      <c r="F50" s="279">
        <v>515180.59</v>
      </c>
      <c r="G50" s="280" t="s">
        <v>158</v>
      </c>
      <c r="H50" s="278" t="s">
        <v>33</v>
      </c>
      <c r="I50" s="281" t="s">
        <v>79</v>
      </c>
      <c r="J50" s="278" t="s">
        <v>160</v>
      </c>
      <c r="K50" s="282" t="str">
        <f t="shared" si="6"/>
        <v>12/06/2019</v>
      </c>
      <c r="L50" s="283">
        <f t="shared" si="1"/>
        <v>43651</v>
      </c>
      <c r="M50" s="284">
        <f t="shared" si="2"/>
        <v>-43651</v>
      </c>
      <c r="N50" s="468">
        <f t="shared" si="7"/>
        <v>-43628</v>
      </c>
      <c r="O50" s="282"/>
      <c r="P50" s="286">
        <f t="shared" si="8"/>
        <v>515180.59</v>
      </c>
      <c r="Q50" s="287"/>
      <c r="R50" s="332">
        <v>43741</v>
      </c>
      <c r="S50" s="287" t="s">
        <v>723</v>
      </c>
      <c r="T50" s="287" t="s">
        <v>214</v>
      </c>
      <c r="U50" s="538" t="s">
        <v>202</v>
      </c>
      <c r="V50" s="502" t="s">
        <v>701</v>
      </c>
      <c r="W50" s="290" t="s">
        <v>914</v>
      </c>
      <c r="X50" s="503">
        <f t="shared" si="9"/>
        <v>43766</v>
      </c>
      <c r="Y50" s="326">
        <v>562600</v>
      </c>
      <c r="Z50" s="292"/>
      <c r="AA50" s="293">
        <f t="shared" si="3"/>
        <v>562600</v>
      </c>
      <c r="AB50" s="294"/>
      <c r="AC50" s="294"/>
      <c r="AD50" s="295"/>
      <c r="AE50" s="296">
        <v>43706</v>
      </c>
      <c r="AF50" s="287" t="s">
        <v>38</v>
      </c>
      <c r="AG50" s="294" t="s">
        <v>1460</v>
      </c>
      <c r="AH50" s="478"/>
      <c r="AI50" s="286" t="s">
        <v>918</v>
      </c>
      <c r="AJ50" s="297">
        <f>VLOOKUP(D50,[13]Hoja1!$G$6:$I$225,3,0)</f>
        <v>515180.59</v>
      </c>
      <c r="AK50" s="298">
        <f t="shared" si="4"/>
        <v>0</v>
      </c>
      <c r="AL50" s="588">
        <f t="shared" si="10"/>
        <v>-43628</v>
      </c>
    </row>
    <row r="51" spans="1:38" s="300" customFormat="1" ht="12" customHeight="1">
      <c r="A51" s="301" t="s">
        <v>510</v>
      </c>
      <c r="B51" s="278" t="s">
        <v>280</v>
      </c>
      <c r="C51" s="278" t="s">
        <v>533</v>
      </c>
      <c r="D51" s="260" t="str">
        <f t="shared" si="0"/>
        <v>KG575684</v>
      </c>
      <c r="E51" s="279">
        <v>515180.59</v>
      </c>
      <c r="F51" s="279">
        <v>515180.59</v>
      </c>
      <c r="G51" s="280" t="s">
        <v>158</v>
      </c>
      <c r="H51" s="278" t="s">
        <v>33</v>
      </c>
      <c r="I51" s="281" t="s">
        <v>79</v>
      </c>
      <c r="J51" s="278" t="s">
        <v>160</v>
      </c>
      <c r="K51" s="282" t="str">
        <f t="shared" si="6"/>
        <v>12/06/2019</v>
      </c>
      <c r="L51" s="283">
        <f t="shared" si="1"/>
        <v>43651</v>
      </c>
      <c r="M51" s="284">
        <f t="shared" si="2"/>
        <v>-43651</v>
      </c>
      <c r="N51" s="468">
        <f t="shared" si="7"/>
        <v>-43628</v>
      </c>
      <c r="O51" s="282"/>
      <c r="P51" s="286">
        <f t="shared" si="8"/>
        <v>515180.59</v>
      </c>
      <c r="Q51" s="287"/>
      <c r="R51" s="332">
        <v>43741</v>
      </c>
      <c r="S51" s="287" t="s">
        <v>724</v>
      </c>
      <c r="T51" s="287" t="s">
        <v>214</v>
      </c>
      <c r="U51" s="538" t="s">
        <v>202</v>
      </c>
      <c r="V51" s="502" t="s">
        <v>701</v>
      </c>
      <c r="W51" s="290" t="s">
        <v>914</v>
      </c>
      <c r="X51" s="503">
        <f t="shared" si="9"/>
        <v>43766</v>
      </c>
      <c r="Y51" s="326">
        <v>562600</v>
      </c>
      <c r="Z51" s="292"/>
      <c r="AA51" s="293">
        <f t="shared" si="3"/>
        <v>562600</v>
      </c>
      <c r="AB51" s="294"/>
      <c r="AC51" s="294"/>
      <c r="AD51" s="295"/>
      <c r="AE51" s="296">
        <v>43706</v>
      </c>
      <c r="AF51" s="287" t="s">
        <v>38</v>
      </c>
      <c r="AG51" s="294" t="s">
        <v>1460</v>
      </c>
      <c r="AH51" s="478"/>
      <c r="AI51" s="286" t="s">
        <v>918</v>
      </c>
      <c r="AJ51" s="297">
        <f>VLOOKUP(D51,[13]Hoja1!$G$6:$I$225,3,0)</f>
        <v>515180.59</v>
      </c>
      <c r="AK51" s="298">
        <f t="shared" si="4"/>
        <v>0</v>
      </c>
      <c r="AL51" s="588">
        <f t="shared" si="10"/>
        <v>-43628</v>
      </c>
    </row>
    <row r="52" spans="1:38" s="300" customFormat="1" ht="12" customHeight="1">
      <c r="A52" s="301" t="s">
        <v>510</v>
      </c>
      <c r="B52" s="278" t="s">
        <v>280</v>
      </c>
      <c r="C52" s="278" t="s">
        <v>534</v>
      </c>
      <c r="D52" s="260" t="str">
        <f t="shared" si="0"/>
        <v>KG575690</v>
      </c>
      <c r="E52" s="279">
        <v>515180.59</v>
      </c>
      <c r="F52" s="279">
        <v>515180.59</v>
      </c>
      <c r="G52" s="280" t="s">
        <v>158</v>
      </c>
      <c r="H52" s="278" t="s">
        <v>33</v>
      </c>
      <c r="I52" s="281" t="s">
        <v>79</v>
      </c>
      <c r="J52" s="278" t="s">
        <v>160</v>
      </c>
      <c r="K52" s="282" t="str">
        <f t="shared" si="6"/>
        <v>12/06/2019</v>
      </c>
      <c r="L52" s="283">
        <f t="shared" si="1"/>
        <v>43651</v>
      </c>
      <c r="M52" s="284">
        <f t="shared" si="2"/>
        <v>-43651</v>
      </c>
      <c r="N52" s="468">
        <f t="shared" si="7"/>
        <v>-43628</v>
      </c>
      <c r="O52" s="282"/>
      <c r="P52" s="286">
        <f t="shared" si="8"/>
        <v>515180.59</v>
      </c>
      <c r="Q52" s="287"/>
      <c r="R52" s="332">
        <v>43741</v>
      </c>
      <c r="S52" s="287" t="s">
        <v>725</v>
      </c>
      <c r="T52" s="287" t="s">
        <v>214</v>
      </c>
      <c r="U52" s="538" t="s">
        <v>202</v>
      </c>
      <c r="V52" s="502" t="s">
        <v>701</v>
      </c>
      <c r="W52" s="290" t="s">
        <v>914</v>
      </c>
      <c r="X52" s="503">
        <f t="shared" si="9"/>
        <v>43766</v>
      </c>
      <c r="Y52" s="326">
        <v>562600</v>
      </c>
      <c r="Z52" s="292"/>
      <c r="AA52" s="293">
        <f t="shared" si="3"/>
        <v>562600</v>
      </c>
      <c r="AB52" s="294"/>
      <c r="AC52" s="294"/>
      <c r="AD52" s="295"/>
      <c r="AE52" s="296">
        <v>43706</v>
      </c>
      <c r="AF52" s="287" t="s">
        <v>38</v>
      </c>
      <c r="AG52" s="294" t="s">
        <v>1460</v>
      </c>
      <c r="AH52" s="478"/>
      <c r="AI52" s="286" t="s">
        <v>918</v>
      </c>
      <c r="AJ52" s="297">
        <f>VLOOKUP(D52,[13]Hoja1!$G$6:$I$225,3,0)</f>
        <v>515180.59</v>
      </c>
      <c r="AK52" s="298">
        <f t="shared" si="4"/>
        <v>0</v>
      </c>
      <c r="AL52" s="588">
        <f t="shared" si="10"/>
        <v>-43628</v>
      </c>
    </row>
    <row r="53" spans="1:38" s="300" customFormat="1" ht="12" customHeight="1">
      <c r="A53" s="301" t="s">
        <v>510</v>
      </c>
      <c r="B53" s="278" t="s">
        <v>280</v>
      </c>
      <c r="C53" s="278" t="s">
        <v>535</v>
      </c>
      <c r="D53" s="260" t="str">
        <f t="shared" si="0"/>
        <v>KG575694</v>
      </c>
      <c r="E53" s="279">
        <v>515180.59</v>
      </c>
      <c r="F53" s="279">
        <v>515180.59</v>
      </c>
      <c r="G53" s="280" t="s">
        <v>158</v>
      </c>
      <c r="H53" s="278" t="s">
        <v>33</v>
      </c>
      <c r="I53" s="281" t="s">
        <v>32</v>
      </c>
      <c r="J53" s="278" t="s">
        <v>160</v>
      </c>
      <c r="K53" s="282" t="str">
        <f t="shared" si="6"/>
        <v>12/06/2019</v>
      </c>
      <c r="L53" s="283">
        <f t="shared" si="1"/>
        <v>43651</v>
      </c>
      <c r="M53" s="284">
        <f t="shared" si="2"/>
        <v>-43651</v>
      </c>
      <c r="N53" s="468">
        <f t="shared" si="7"/>
        <v>-43628</v>
      </c>
      <c r="O53" s="282"/>
      <c r="P53" s="286">
        <f t="shared" si="8"/>
        <v>515180.59</v>
      </c>
      <c r="Q53" s="287"/>
      <c r="R53" s="332">
        <v>43741</v>
      </c>
      <c r="S53" s="287" t="s">
        <v>726</v>
      </c>
      <c r="T53" s="287" t="s">
        <v>214</v>
      </c>
      <c r="U53" s="538" t="s">
        <v>202</v>
      </c>
      <c r="V53" s="502" t="s">
        <v>701</v>
      </c>
      <c r="W53" s="290" t="s">
        <v>914</v>
      </c>
      <c r="X53" s="503">
        <f t="shared" si="9"/>
        <v>43766</v>
      </c>
      <c r="Y53" s="326">
        <v>562600</v>
      </c>
      <c r="Z53" s="292"/>
      <c r="AA53" s="293">
        <f t="shared" si="3"/>
        <v>562600</v>
      </c>
      <c r="AB53" s="294"/>
      <c r="AC53" s="294"/>
      <c r="AD53" s="295"/>
      <c r="AE53" s="296">
        <v>43706</v>
      </c>
      <c r="AF53" s="287" t="s">
        <v>38</v>
      </c>
      <c r="AG53" s="294" t="s">
        <v>1460</v>
      </c>
      <c r="AH53" s="478"/>
      <c r="AI53" s="286" t="s">
        <v>918</v>
      </c>
      <c r="AJ53" s="297">
        <f>VLOOKUP(D53,[13]Hoja1!$G$6:$I$225,3,0)</f>
        <v>515180.59</v>
      </c>
      <c r="AK53" s="298">
        <f t="shared" si="4"/>
        <v>0</v>
      </c>
      <c r="AL53" s="588">
        <f t="shared" si="10"/>
        <v>-43628</v>
      </c>
    </row>
    <row r="54" spans="1:38" s="300" customFormat="1" ht="12" customHeight="1">
      <c r="A54" s="301" t="s">
        <v>510</v>
      </c>
      <c r="B54" s="278" t="s">
        <v>280</v>
      </c>
      <c r="C54" s="278" t="s">
        <v>536</v>
      </c>
      <c r="D54" s="260" t="str">
        <f t="shared" si="0"/>
        <v>KG575696</v>
      </c>
      <c r="E54" s="279">
        <v>515180.59</v>
      </c>
      <c r="F54" s="279">
        <v>515180.59</v>
      </c>
      <c r="G54" s="280" t="s">
        <v>158</v>
      </c>
      <c r="H54" s="278" t="s">
        <v>33</v>
      </c>
      <c r="I54" s="281" t="s">
        <v>79</v>
      </c>
      <c r="J54" s="278" t="s">
        <v>160</v>
      </c>
      <c r="K54" s="282" t="str">
        <f t="shared" si="6"/>
        <v>12/06/2019</v>
      </c>
      <c r="L54" s="283">
        <f t="shared" si="1"/>
        <v>43651</v>
      </c>
      <c r="M54" s="284">
        <f t="shared" si="2"/>
        <v>-43651</v>
      </c>
      <c r="N54" s="468">
        <f t="shared" si="7"/>
        <v>-43628</v>
      </c>
      <c r="O54" s="282"/>
      <c r="P54" s="286">
        <f t="shared" si="8"/>
        <v>515180.59</v>
      </c>
      <c r="Q54" s="287"/>
      <c r="R54" s="332">
        <v>43741</v>
      </c>
      <c r="S54" s="287" t="s">
        <v>727</v>
      </c>
      <c r="T54" s="287" t="s">
        <v>214</v>
      </c>
      <c r="U54" s="538" t="s">
        <v>202</v>
      </c>
      <c r="V54" s="502" t="s">
        <v>701</v>
      </c>
      <c r="W54" s="290" t="s">
        <v>914</v>
      </c>
      <c r="X54" s="503">
        <f t="shared" si="9"/>
        <v>43766</v>
      </c>
      <c r="Y54" s="326">
        <v>562600</v>
      </c>
      <c r="Z54" s="292"/>
      <c r="AA54" s="293">
        <f t="shared" si="3"/>
        <v>562600</v>
      </c>
      <c r="AB54" s="294"/>
      <c r="AC54" s="294"/>
      <c r="AD54" s="295"/>
      <c r="AE54" s="296">
        <v>43706</v>
      </c>
      <c r="AF54" s="287" t="s">
        <v>38</v>
      </c>
      <c r="AG54" s="294" t="s">
        <v>1460</v>
      </c>
      <c r="AH54" s="478"/>
      <c r="AI54" s="286" t="s">
        <v>918</v>
      </c>
      <c r="AJ54" s="297">
        <f>VLOOKUP(D54,[13]Hoja1!$G$6:$I$225,3,0)</f>
        <v>515180.59</v>
      </c>
      <c r="AK54" s="298">
        <f t="shared" si="4"/>
        <v>0</v>
      </c>
      <c r="AL54" s="588">
        <f t="shared" si="10"/>
        <v>-43628</v>
      </c>
    </row>
    <row r="55" spans="1:38" s="300" customFormat="1" ht="12" customHeight="1">
      <c r="A55" s="301" t="s">
        <v>510</v>
      </c>
      <c r="B55" s="278" t="s">
        <v>280</v>
      </c>
      <c r="C55" s="278" t="s">
        <v>537</v>
      </c>
      <c r="D55" s="260" t="str">
        <f t="shared" si="0"/>
        <v>KG575701</v>
      </c>
      <c r="E55" s="279">
        <v>515180.59</v>
      </c>
      <c r="F55" s="279">
        <v>515180.59</v>
      </c>
      <c r="G55" s="280" t="s">
        <v>158</v>
      </c>
      <c r="H55" s="278" t="s">
        <v>33</v>
      </c>
      <c r="I55" s="281" t="s">
        <v>79</v>
      </c>
      <c r="J55" s="278" t="s">
        <v>160</v>
      </c>
      <c r="K55" s="282" t="str">
        <f t="shared" si="6"/>
        <v>12/06/2019</v>
      </c>
      <c r="L55" s="283">
        <f t="shared" si="1"/>
        <v>43651</v>
      </c>
      <c r="M55" s="284">
        <f t="shared" si="2"/>
        <v>-43651</v>
      </c>
      <c r="N55" s="468">
        <f t="shared" si="7"/>
        <v>-43628</v>
      </c>
      <c r="O55" s="282"/>
      <c r="P55" s="286">
        <f t="shared" si="8"/>
        <v>515180.59</v>
      </c>
      <c r="Q55" s="287"/>
      <c r="R55" s="332">
        <v>43741</v>
      </c>
      <c r="S55" s="287" t="s">
        <v>728</v>
      </c>
      <c r="T55" s="287" t="s">
        <v>214</v>
      </c>
      <c r="U55" s="538" t="s">
        <v>202</v>
      </c>
      <c r="V55" s="502" t="s">
        <v>701</v>
      </c>
      <c r="W55" s="290" t="s">
        <v>914</v>
      </c>
      <c r="X55" s="503">
        <f t="shared" si="9"/>
        <v>43766</v>
      </c>
      <c r="Y55" s="326">
        <v>562600</v>
      </c>
      <c r="Z55" s="292"/>
      <c r="AA55" s="293">
        <f t="shared" si="3"/>
        <v>562600</v>
      </c>
      <c r="AB55" s="294"/>
      <c r="AC55" s="294"/>
      <c r="AD55" s="295"/>
      <c r="AE55" s="296">
        <v>43706</v>
      </c>
      <c r="AF55" s="287" t="s">
        <v>38</v>
      </c>
      <c r="AG55" s="294" t="s">
        <v>1460</v>
      </c>
      <c r="AH55" s="478"/>
      <c r="AI55" s="286" t="s">
        <v>918</v>
      </c>
      <c r="AJ55" s="297">
        <f>VLOOKUP(D55,[13]Hoja1!$G$6:$I$225,3,0)</f>
        <v>515180.59</v>
      </c>
      <c r="AK55" s="298">
        <f t="shared" si="4"/>
        <v>0</v>
      </c>
      <c r="AL55" s="588">
        <f t="shared" si="10"/>
        <v>-43628</v>
      </c>
    </row>
    <row r="56" spans="1:38" s="300" customFormat="1" ht="12" customHeight="1">
      <c r="A56" s="301" t="s">
        <v>510</v>
      </c>
      <c r="B56" s="278" t="s">
        <v>280</v>
      </c>
      <c r="C56" s="278" t="s">
        <v>538</v>
      </c>
      <c r="D56" s="260" t="str">
        <f t="shared" si="0"/>
        <v>KG575702</v>
      </c>
      <c r="E56" s="279">
        <v>515180.59</v>
      </c>
      <c r="F56" s="279">
        <v>515180.59</v>
      </c>
      <c r="G56" s="280" t="s">
        <v>158</v>
      </c>
      <c r="H56" s="278" t="s">
        <v>33</v>
      </c>
      <c r="I56" s="281" t="s">
        <v>79</v>
      </c>
      <c r="J56" s="278" t="s">
        <v>160</v>
      </c>
      <c r="K56" s="282" t="str">
        <f t="shared" si="6"/>
        <v>12/06/2019</v>
      </c>
      <c r="L56" s="283">
        <f t="shared" si="1"/>
        <v>43651</v>
      </c>
      <c r="M56" s="284">
        <f t="shared" si="2"/>
        <v>-43651</v>
      </c>
      <c r="N56" s="468">
        <f t="shared" si="7"/>
        <v>-43628</v>
      </c>
      <c r="O56" s="282"/>
      <c r="P56" s="286">
        <f t="shared" si="8"/>
        <v>515180.59</v>
      </c>
      <c r="Q56" s="287"/>
      <c r="R56" s="332">
        <v>43741</v>
      </c>
      <c r="S56" s="287" t="s">
        <v>729</v>
      </c>
      <c r="T56" s="287" t="s">
        <v>214</v>
      </c>
      <c r="U56" s="538" t="s">
        <v>202</v>
      </c>
      <c r="V56" s="502" t="s">
        <v>701</v>
      </c>
      <c r="W56" s="290" t="s">
        <v>914</v>
      </c>
      <c r="X56" s="503">
        <f t="shared" si="9"/>
        <v>43766</v>
      </c>
      <c r="Y56" s="326">
        <v>562600</v>
      </c>
      <c r="Z56" s="292"/>
      <c r="AA56" s="293">
        <f t="shared" si="3"/>
        <v>562600</v>
      </c>
      <c r="AB56" s="294"/>
      <c r="AC56" s="294"/>
      <c r="AD56" s="295"/>
      <c r="AE56" s="296">
        <v>43706</v>
      </c>
      <c r="AF56" s="287" t="s">
        <v>38</v>
      </c>
      <c r="AG56" s="294" t="s">
        <v>1460</v>
      </c>
      <c r="AH56" s="478"/>
      <c r="AI56" s="286" t="s">
        <v>918</v>
      </c>
      <c r="AJ56" s="297">
        <f>VLOOKUP(D56,[13]Hoja1!$G$6:$I$225,3,0)</f>
        <v>515180.59</v>
      </c>
      <c r="AK56" s="298">
        <f t="shared" si="4"/>
        <v>0</v>
      </c>
      <c r="AL56" s="588">
        <f t="shared" si="10"/>
        <v>-43628</v>
      </c>
    </row>
    <row r="57" spans="1:38" s="300" customFormat="1" ht="12" customHeight="1">
      <c r="A57" s="301" t="s">
        <v>510</v>
      </c>
      <c r="B57" s="278" t="s">
        <v>280</v>
      </c>
      <c r="C57" s="278" t="s">
        <v>539</v>
      </c>
      <c r="D57" s="260" t="str">
        <f t="shared" si="0"/>
        <v>KG575706</v>
      </c>
      <c r="E57" s="279">
        <v>515180.59</v>
      </c>
      <c r="F57" s="279">
        <v>515180.59</v>
      </c>
      <c r="G57" s="280" t="s">
        <v>158</v>
      </c>
      <c r="H57" s="278" t="s">
        <v>33</v>
      </c>
      <c r="I57" s="281" t="s">
        <v>79</v>
      </c>
      <c r="J57" s="278" t="s">
        <v>160</v>
      </c>
      <c r="K57" s="282" t="str">
        <f t="shared" si="6"/>
        <v>12/06/2019</v>
      </c>
      <c r="L57" s="283">
        <f t="shared" si="1"/>
        <v>43651</v>
      </c>
      <c r="M57" s="284">
        <f t="shared" si="2"/>
        <v>-43651</v>
      </c>
      <c r="N57" s="468">
        <f t="shared" si="7"/>
        <v>-43628</v>
      </c>
      <c r="O57" s="282"/>
      <c r="P57" s="286">
        <f t="shared" si="8"/>
        <v>515180.59</v>
      </c>
      <c r="Q57" s="287"/>
      <c r="R57" s="332">
        <v>43741</v>
      </c>
      <c r="S57" s="287" t="s">
        <v>730</v>
      </c>
      <c r="T57" s="287" t="s">
        <v>214</v>
      </c>
      <c r="U57" s="538" t="s">
        <v>202</v>
      </c>
      <c r="V57" s="502" t="s">
        <v>701</v>
      </c>
      <c r="W57" s="290" t="s">
        <v>914</v>
      </c>
      <c r="X57" s="503">
        <f t="shared" si="9"/>
        <v>43766</v>
      </c>
      <c r="Y57" s="326">
        <v>562600</v>
      </c>
      <c r="Z57" s="292"/>
      <c r="AA57" s="293">
        <f t="shared" si="3"/>
        <v>562600</v>
      </c>
      <c r="AB57" s="294"/>
      <c r="AC57" s="294"/>
      <c r="AD57" s="295"/>
      <c r="AE57" s="296">
        <v>43706</v>
      </c>
      <c r="AF57" s="287" t="s">
        <v>38</v>
      </c>
      <c r="AG57" s="294" t="s">
        <v>1460</v>
      </c>
      <c r="AH57" s="478"/>
      <c r="AI57" s="286" t="s">
        <v>918</v>
      </c>
      <c r="AJ57" s="297">
        <f>VLOOKUP(D57,[13]Hoja1!$G$6:$I$225,3,0)</f>
        <v>515180.59</v>
      </c>
      <c r="AK57" s="298">
        <f t="shared" si="4"/>
        <v>0</v>
      </c>
      <c r="AL57" s="588">
        <f t="shared" si="10"/>
        <v>-43628</v>
      </c>
    </row>
    <row r="58" spans="1:38" s="300" customFormat="1" ht="12" customHeight="1">
      <c r="A58" s="301" t="s">
        <v>510</v>
      </c>
      <c r="B58" s="278" t="s">
        <v>280</v>
      </c>
      <c r="C58" s="278" t="s">
        <v>540</v>
      </c>
      <c r="D58" s="260" t="str">
        <f t="shared" si="0"/>
        <v>KG575707</v>
      </c>
      <c r="E58" s="279">
        <v>515180.59</v>
      </c>
      <c r="F58" s="279">
        <v>515180.59</v>
      </c>
      <c r="G58" s="280" t="s">
        <v>158</v>
      </c>
      <c r="H58" s="278" t="s">
        <v>33</v>
      </c>
      <c r="I58" s="281" t="s">
        <v>79</v>
      </c>
      <c r="J58" s="278" t="s">
        <v>160</v>
      </c>
      <c r="K58" s="282" t="str">
        <f t="shared" si="6"/>
        <v>12/06/2019</v>
      </c>
      <c r="L58" s="283">
        <f t="shared" si="1"/>
        <v>43651</v>
      </c>
      <c r="M58" s="284">
        <f t="shared" si="2"/>
        <v>-43651</v>
      </c>
      <c r="N58" s="468">
        <f t="shared" si="7"/>
        <v>-43628</v>
      </c>
      <c r="O58" s="282"/>
      <c r="P58" s="286">
        <f t="shared" si="8"/>
        <v>515180.59</v>
      </c>
      <c r="Q58" s="287"/>
      <c r="R58" s="332">
        <v>43741</v>
      </c>
      <c r="S58" s="287" t="s">
        <v>731</v>
      </c>
      <c r="T58" s="287" t="s">
        <v>214</v>
      </c>
      <c r="U58" s="538" t="s">
        <v>202</v>
      </c>
      <c r="V58" s="502" t="s">
        <v>701</v>
      </c>
      <c r="W58" s="290" t="s">
        <v>914</v>
      </c>
      <c r="X58" s="503">
        <f t="shared" si="9"/>
        <v>43766</v>
      </c>
      <c r="Y58" s="326">
        <v>562600</v>
      </c>
      <c r="Z58" s="292"/>
      <c r="AA58" s="293">
        <f t="shared" si="3"/>
        <v>562600</v>
      </c>
      <c r="AB58" s="294"/>
      <c r="AC58" s="294"/>
      <c r="AD58" s="295"/>
      <c r="AE58" s="296">
        <v>43706</v>
      </c>
      <c r="AF58" s="287" t="s">
        <v>38</v>
      </c>
      <c r="AG58" s="294" t="s">
        <v>1460</v>
      </c>
      <c r="AH58" s="478"/>
      <c r="AI58" s="286" t="s">
        <v>918</v>
      </c>
      <c r="AJ58" s="297">
        <f>VLOOKUP(D58,[13]Hoja1!$G$6:$I$225,3,0)</f>
        <v>515180.59</v>
      </c>
      <c r="AK58" s="298">
        <f t="shared" si="4"/>
        <v>0</v>
      </c>
      <c r="AL58" s="588">
        <f t="shared" si="10"/>
        <v>-43628</v>
      </c>
    </row>
    <row r="59" spans="1:38" s="300" customFormat="1" ht="12" customHeight="1">
      <c r="A59" s="301" t="s">
        <v>510</v>
      </c>
      <c r="B59" s="278" t="s">
        <v>280</v>
      </c>
      <c r="C59" s="278" t="s">
        <v>541</v>
      </c>
      <c r="D59" s="260" t="str">
        <f t="shared" si="0"/>
        <v>KG575708</v>
      </c>
      <c r="E59" s="279">
        <v>515180.59</v>
      </c>
      <c r="F59" s="279">
        <v>515180.59</v>
      </c>
      <c r="G59" s="280" t="s">
        <v>158</v>
      </c>
      <c r="H59" s="278" t="s">
        <v>33</v>
      </c>
      <c r="I59" s="281" t="s">
        <v>79</v>
      </c>
      <c r="J59" s="278" t="s">
        <v>160</v>
      </c>
      <c r="K59" s="282" t="str">
        <f t="shared" si="6"/>
        <v>12/06/2019</v>
      </c>
      <c r="L59" s="283">
        <f t="shared" si="1"/>
        <v>43651</v>
      </c>
      <c r="M59" s="284">
        <f t="shared" si="2"/>
        <v>-43651</v>
      </c>
      <c r="N59" s="468">
        <f t="shared" si="7"/>
        <v>-43628</v>
      </c>
      <c r="O59" s="282"/>
      <c r="P59" s="286">
        <f t="shared" si="8"/>
        <v>515180.59</v>
      </c>
      <c r="Q59" s="287"/>
      <c r="R59" s="332">
        <v>43741</v>
      </c>
      <c r="S59" s="287" t="s">
        <v>732</v>
      </c>
      <c r="T59" s="287" t="s">
        <v>214</v>
      </c>
      <c r="U59" s="538" t="s">
        <v>202</v>
      </c>
      <c r="V59" s="502" t="s">
        <v>701</v>
      </c>
      <c r="W59" s="290" t="s">
        <v>914</v>
      </c>
      <c r="X59" s="503">
        <f t="shared" si="9"/>
        <v>43766</v>
      </c>
      <c r="Y59" s="326">
        <v>562600</v>
      </c>
      <c r="Z59" s="292"/>
      <c r="AA59" s="293">
        <f t="shared" si="3"/>
        <v>562600</v>
      </c>
      <c r="AB59" s="294"/>
      <c r="AC59" s="294"/>
      <c r="AD59" s="295"/>
      <c r="AE59" s="296">
        <v>43706</v>
      </c>
      <c r="AF59" s="287" t="s">
        <v>38</v>
      </c>
      <c r="AG59" s="294" t="s">
        <v>1460</v>
      </c>
      <c r="AH59" s="478"/>
      <c r="AI59" s="286" t="s">
        <v>918</v>
      </c>
      <c r="AJ59" s="297">
        <f>VLOOKUP(D59,[13]Hoja1!$G$6:$I$225,3,0)</f>
        <v>515180.59</v>
      </c>
      <c r="AK59" s="298">
        <f t="shared" si="4"/>
        <v>0</v>
      </c>
      <c r="AL59" s="588">
        <f t="shared" si="10"/>
        <v>-43628</v>
      </c>
    </row>
    <row r="60" spans="1:38" s="300" customFormat="1" ht="12" customHeight="1">
      <c r="A60" s="301" t="s">
        <v>510</v>
      </c>
      <c r="B60" s="278" t="s">
        <v>280</v>
      </c>
      <c r="C60" s="278" t="s">
        <v>542</v>
      </c>
      <c r="D60" s="260" t="str">
        <f t="shared" si="0"/>
        <v>KG575711</v>
      </c>
      <c r="E60" s="279">
        <v>515180.59</v>
      </c>
      <c r="F60" s="279">
        <v>515180.59</v>
      </c>
      <c r="G60" s="280" t="s">
        <v>158</v>
      </c>
      <c r="H60" s="278" t="s">
        <v>33</v>
      </c>
      <c r="I60" s="281" t="s">
        <v>79</v>
      </c>
      <c r="J60" s="278" t="s">
        <v>160</v>
      </c>
      <c r="K60" s="282" t="str">
        <f t="shared" si="6"/>
        <v>12/06/2019</v>
      </c>
      <c r="L60" s="283">
        <f t="shared" si="1"/>
        <v>43651</v>
      </c>
      <c r="M60" s="284">
        <f t="shared" si="2"/>
        <v>-43651</v>
      </c>
      <c r="N60" s="468">
        <f t="shared" si="7"/>
        <v>-43628</v>
      </c>
      <c r="O60" s="282"/>
      <c r="P60" s="286">
        <f t="shared" si="8"/>
        <v>515180.59</v>
      </c>
      <c r="Q60" s="287"/>
      <c r="R60" s="332">
        <v>43741</v>
      </c>
      <c r="S60" s="287" t="s">
        <v>733</v>
      </c>
      <c r="T60" s="287" t="s">
        <v>214</v>
      </c>
      <c r="U60" s="538" t="s">
        <v>202</v>
      </c>
      <c r="V60" s="502" t="s">
        <v>701</v>
      </c>
      <c r="W60" s="290" t="s">
        <v>914</v>
      </c>
      <c r="X60" s="503">
        <f t="shared" si="9"/>
        <v>43766</v>
      </c>
      <c r="Y60" s="326">
        <v>562600</v>
      </c>
      <c r="Z60" s="292"/>
      <c r="AA60" s="293">
        <f t="shared" si="3"/>
        <v>562600</v>
      </c>
      <c r="AB60" s="294"/>
      <c r="AC60" s="294"/>
      <c r="AD60" s="295"/>
      <c r="AE60" s="296">
        <v>43706</v>
      </c>
      <c r="AF60" s="287" t="s">
        <v>38</v>
      </c>
      <c r="AG60" s="294" t="s">
        <v>1460</v>
      </c>
      <c r="AH60" s="478"/>
      <c r="AI60" s="286" t="s">
        <v>918</v>
      </c>
      <c r="AJ60" s="297">
        <f>VLOOKUP(D60,[13]Hoja1!$G$6:$I$225,3,0)</f>
        <v>515180.59</v>
      </c>
      <c r="AK60" s="298">
        <f t="shared" si="4"/>
        <v>0</v>
      </c>
      <c r="AL60" s="588">
        <f t="shared" si="10"/>
        <v>-43628</v>
      </c>
    </row>
    <row r="61" spans="1:38" s="300" customFormat="1" ht="12" customHeight="1">
      <c r="A61" s="301" t="s">
        <v>510</v>
      </c>
      <c r="B61" s="278" t="s">
        <v>280</v>
      </c>
      <c r="C61" s="278" t="s">
        <v>543</v>
      </c>
      <c r="D61" s="260" t="str">
        <f t="shared" si="0"/>
        <v>KG575713</v>
      </c>
      <c r="E61" s="279">
        <v>515180.59</v>
      </c>
      <c r="F61" s="279">
        <v>515180.59</v>
      </c>
      <c r="G61" s="280" t="s">
        <v>158</v>
      </c>
      <c r="H61" s="278" t="s">
        <v>33</v>
      </c>
      <c r="I61" s="281" t="s">
        <v>79</v>
      </c>
      <c r="J61" s="278" t="s">
        <v>160</v>
      </c>
      <c r="K61" s="282" t="str">
        <f t="shared" si="6"/>
        <v>12/06/2019</v>
      </c>
      <c r="L61" s="283">
        <f t="shared" si="1"/>
        <v>43651</v>
      </c>
      <c r="M61" s="284">
        <f t="shared" si="2"/>
        <v>-43651</v>
      </c>
      <c r="N61" s="468">
        <f t="shared" si="7"/>
        <v>-43628</v>
      </c>
      <c r="O61" s="282"/>
      <c r="P61" s="286">
        <f t="shared" si="8"/>
        <v>515180.59</v>
      </c>
      <c r="Q61" s="287"/>
      <c r="R61" s="332">
        <v>43741</v>
      </c>
      <c r="S61" s="287" t="s">
        <v>734</v>
      </c>
      <c r="T61" s="287" t="s">
        <v>214</v>
      </c>
      <c r="U61" s="538" t="s">
        <v>202</v>
      </c>
      <c r="V61" s="502" t="s">
        <v>701</v>
      </c>
      <c r="W61" s="290" t="s">
        <v>914</v>
      </c>
      <c r="X61" s="503">
        <f t="shared" si="9"/>
        <v>43766</v>
      </c>
      <c r="Y61" s="326">
        <v>562600</v>
      </c>
      <c r="Z61" s="292"/>
      <c r="AA61" s="293">
        <f t="shared" si="3"/>
        <v>562600</v>
      </c>
      <c r="AB61" s="294"/>
      <c r="AC61" s="294"/>
      <c r="AD61" s="295"/>
      <c r="AE61" s="296">
        <v>43706</v>
      </c>
      <c r="AF61" s="287" t="s">
        <v>38</v>
      </c>
      <c r="AG61" s="294" t="s">
        <v>1460</v>
      </c>
      <c r="AH61" s="478"/>
      <c r="AI61" s="286" t="s">
        <v>918</v>
      </c>
      <c r="AJ61" s="297">
        <f>VLOOKUP(D61,[13]Hoja1!$G$6:$I$225,3,0)</f>
        <v>515180.59</v>
      </c>
      <c r="AK61" s="298">
        <f t="shared" si="4"/>
        <v>0</v>
      </c>
      <c r="AL61" s="588">
        <f t="shared" si="10"/>
        <v>-43628</v>
      </c>
    </row>
    <row r="62" spans="1:38" s="300" customFormat="1" ht="12" customHeight="1">
      <c r="A62" s="301" t="s">
        <v>510</v>
      </c>
      <c r="B62" s="278" t="s">
        <v>280</v>
      </c>
      <c r="C62" s="278" t="s">
        <v>544</v>
      </c>
      <c r="D62" s="260" t="str">
        <f t="shared" si="0"/>
        <v>KG575718</v>
      </c>
      <c r="E62" s="279">
        <v>515180.59</v>
      </c>
      <c r="F62" s="279">
        <v>515180.59</v>
      </c>
      <c r="G62" s="280" t="s">
        <v>158</v>
      </c>
      <c r="H62" s="278" t="s">
        <v>33</v>
      </c>
      <c r="I62" s="281" t="s">
        <v>79</v>
      </c>
      <c r="J62" s="278" t="s">
        <v>160</v>
      </c>
      <c r="K62" s="282" t="str">
        <f t="shared" si="6"/>
        <v>12/06/2019</v>
      </c>
      <c r="L62" s="283">
        <f t="shared" si="1"/>
        <v>43651</v>
      </c>
      <c r="M62" s="284">
        <f t="shared" si="2"/>
        <v>-43651</v>
      </c>
      <c r="N62" s="468">
        <f t="shared" si="7"/>
        <v>-43628</v>
      </c>
      <c r="O62" s="282"/>
      <c r="P62" s="286">
        <f t="shared" si="8"/>
        <v>515180.59</v>
      </c>
      <c r="Q62" s="287"/>
      <c r="R62" s="332">
        <v>43741</v>
      </c>
      <c r="S62" s="287" t="s">
        <v>735</v>
      </c>
      <c r="T62" s="287" t="s">
        <v>214</v>
      </c>
      <c r="U62" s="538" t="s">
        <v>202</v>
      </c>
      <c r="V62" s="502" t="s">
        <v>701</v>
      </c>
      <c r="W62" s="290" t="s">
        <v>914</v>
      </c>
      <c r="X62" s="503">
        <f t="shared" si="9"/>
        <v>43766</v>
      </c>
      <c r="Y62" s="326">
        <v>562600</v>
      </c>
      <c r="Z62" s="292"/>
      <c r="AA62" s="293">
        <f t="shared" si="3"/>
        <v>562600</v>
      </c>
      <c r="AB62" s="294"/>
      <c r="AC62" s="294"/>
      <c r="AD62" s="295"/>
      <c r="AE62" s="296">
        <v>43706</v>
      </c>
      <c r="AF62" s="287" t="s">
        <v>38</v>
      </c>
      <c r="AG62" s="294" t="s">
        <v>1460</v>
      </c>
      <c r="AH62" s="478"/>
      <c r="AI62" s="286" t="s">
        <v>918</v>
      </c>
      <c r="AJ62" s="297">
        <f>VLOOKUP(D62,[13]Hoja1!$G$6:$I$225,3,0)</f>
        <v>515180.59</v>
      </c>
      <c r="AK62" s="298">
        <f t="shared" si="4"/>
        <v>0</v>
      </c>
      <c r="AL62" s="588">
        <f t="shared" si="10"/>
        <v>-43628</v>
      </c>
    </row>
    <row r="63" spans="1:38" s="300" customFormat="1" ht="12" customHeight="1">
      <c r="A63" s="301" t="s">
        <v>510</v>
      </c>
      <c r="B63" s="278" t="s">
        <v>280</v>
      </c>
      <c r="C63" s="278" t="s">
        <v>545</v>
      </c>
      <c r="D63" s="260" t="str">
        <f t="shared" si="0"/>
        <v>KG575720</v>
      </c>
      <c r="E63" s="279">
        <v>515180.59</v>
      </c>
      <c r="F63" s="279">
        <v>515180.59</v>
      </c>
      <c r="G63" s="280" t="s">
        <v>158</v>
      </c>
      <c r="H63" s="278" t="s">
        <v>33</v>
      </c>
      <c r="I63" s="281" t="s">
        <v>79</v>
      </c>
      <c r="J63" s="278" t="s">
        <v>160</v>
      </c>
      <c r="K63" s="282" t="str">
        <f t="shared" si="6"/>
        <v>12/06/2019</v>
      </c>
      <c r="L63" s="283">
        <f t="shared" si="1"/>
        <v>43651</v>
      </c>
      <c r="M63" s="284">
        <f t="shared" si="2"/>
        <v>-43651</v>
      </c>
      <c r="N63" s="468">
        <f t="shared" si="7"/>
        <v>-43628</v>
      </c>
      <c r="O63" s="282"/>
      <c r="P63" s="286">
        <f t="shared" si="8"/>
        <v>515180.59</v>
      </c>
      <c r="Q63" s="287"/>
      <c r="R63" s="332">
        <v>43741</v>
      </c>
      <c r="S63" s="287" t="s">
        <v>736</v>
      </c>
      <c r="T63" s="287" t="s">
        <v>214</v>
      </c>
      <c r="U63" s="538" t="s">
        <v>202</v>
      </c>
      <c r="V63" s="502" t="s">
        <v>701</v>
      </c>
      <c r="W63" s="290" t="s">
        <v>914</v>
      </c>
      <c r="X63" s="503">
        <f t="shared" si="9"/>
        <v>43766</v>
      </c>
      <c r="Y63" s="326">
        <v>562600</v>
      </c>
      <c r="Z63" s="292"/>
      <c r="AA63" s="293">
        <f t="shared" si="3"/>
        <v>562600</v>
      </c>
      <c r="AB63" s="294"/>
      <c r="AC63" s="294"/>
      <c r="AD63" s="295"/>
      <c r="AE63" s="296">
        <v>43706</v>
      </c>
      <c r="AF63" s="287" t="s">
        <v>38</v>
      </c>
      <c r="AG63" s="294" t="s">
        <v>1460</v>
      </c>
      <c r="AH63" s="478"/>
      <c r="AI63" s="286" t="s">
        <v>918</v>
      </c>
      <c r="AJ63" s="297">
        <f>VLOOKUP(D63,[13]Hoja1!$G$6:$I$225,3,0)</f>
        <v>515180.59</v>
      </c>
      <c r="AK63" s="298">
        <f t="shared" si="4"/>
        <v>0</v>
      </c>
      <c r="AL63" s="588">
        <f t="shared" si="10"/>
        <v>-43628</v>
      </c>
    </row>
    <row r="64" spans="1:38" s="300" customFormat="1" ht="12" customHeight="1">
      <c r="A64" s="301" t="s">
        <v>510</v>
      </c>
      <c r="B64" s="278" t="s">
        <v>280</v>
      </c>
      <c r="C64" s="278" t="s">
        <v>546</v>
      </c>
      <c r="D64" s="260" t="str">
        <f t="shared" si="0"/>
        <v>KG575721</v>
      </c>
      <c r="E64" s="279">
        <v>515180.59</v>
      </c>
      <c r="F64" s="279">
        <v>515180.59</v>
      </c>
      <c r="G64" s="280" t="s">
        <v>158</v>
      </c>
      <c r="H64" s="278" t="s">
        <v>33</v>
      </c>
      <c r="I64" s="281" t="s">
        <v>79</v>
      </c>
      <c r="J64" s="278" t="s">
        <v>160</v>
      </c>
      <c r="K64" s="282" t="str">
        <f t="shared" si="6"/>
        <v>12/06/2019</v>
      </c>
      <c r="L64" s="283">
        <f t="shared" si="1"/>
        <v>43651</v>
      </c>
      <c r="M64" s="284">
        <f t="shared" si="2"/>
        <v>-43651</v>
      </c>
      <c r="N64" s="468">
        <f t="shared" si="7"/>
        <v>-43628</v>
      </c>
      <c r="O64" s="282"/>
      <c r="P64" s="286">
        <f t="shared" si="8"/>
        <v>515180.59</v>
      </c>
      <c r="Q64" s="287"/>
      <c r="R64" s="332">
        <v>43741</v>
      </c>
      <c r="S64" s="287" t="s">
        <v>737</v>
      </c>
      <c r="T64" s="287" t="s">
        <v>214</v>
      </c>
      <c r="U64" s="538" t="s">
        <v>202</v>
      </c>
      <c r="V64" s="502" t="s">
        <v>701</v>
      </c>
      <c r="W64" s="290" t="s">
        <v>914</v>
      </c>
      <c r="X64" s="503">
        <f t="shared" si="9"/>
        <v>43766</v>
      </c>
      <c r="Y64" s="326">
        <v>562600</v>
      </c>
      <c r="Z64" s="292"/>
      <c r="AA64" s="293">
        <f t="shared" si="3"/>
        <v>562600</v>
      </c>
      <c r="AB64" s="294"/>
      <c r="AC64" s="294"/>
      <c r="AD64" s="295"/>
      <c r="AE64" s="296">
        <v>43706</v>
      </c>
      <c r="AF64" s="287" t="s">
        <v>38</v>
      </c>
      <c r="AG64" s="294" t="s">
        <v>1460</v>
      </c>
      <c r="AH64" s="478"/>
      <c r="AI64" s="286" t="s">
        <v>918</v>
      </c>
      <c r="AJ64" s="297">
        <f>VLOOKUP(D64,[13]Hoja1!$G$6:$I$225,3,0)</f>
        <v>515180.59</v>
      </c>
      <c r="AK64" s="298">
        <f t="shared" si="4"/>
        <v>0</v>
      </c>
      <c r="AL64" s="588">
        <f t="shared" si="10"/>
        <v>-43628</v>
      </c>
    </row>
    <row r="65" spans="1:38" s="300" customFormat="1" ht="12" customHeight="1">
      <c r="A65" s="301" t="s">
        <v>510</v>
      </c>
      <c r="B65" s="278" t="s">
        <v>280</v>
      </c>
      <c r="C65" s="278" t="s">
        <v>547</v>
      </c>
      <c r="D65" s="260" t="str">
        <f t="shared" si="0"/>
        <v>KG575722</v>
      </c>
      <c r="E65" s="279">
        <v>515180.59</v>
      </c>
      <c r="F65" s="279">
        <v>515180.59</v>
      </c>
      <c r="G65" s="280" t="s">
        <v>158</v>
      </c>
      <c r="H65" s="278" t="s">
        <v>33</v>
      </c>
      <c r="I65" s="281" t="s">
        <v>79</v>
      </c>
      <c r="J65" s="278" t="s">
        <v>160</v>
      </c>
      <c r="K65" s="282" t="str">
        <f t="shared" si="6"/>
        <v>12/06/2019</v>
      </c>
      <c r="L65" s="283">
        <f t="shared" si="1"/>
        <v>43651</v>
      </c>
      <c r="M65" s="284">
        <f t="shared" si="2"/>
        <v>-43651</v>
      </c>
      <c r="N65" s="468">
        <f t="shared" si="7"/>
        <v>-43628</v>
      </c>
      <c r="O65" s="282"/>
      <c r="P65" s="286">
        <f t="shared" si="8"/>
        <v>515180.59</v>
      </c>
      <c r="Q65" s="287"/>
      <c r="R65" s="332">
        <v>43741</v>
      </c>
      <c r="S65" s="287" t="s">
        <v>738</v>
      </c>
      <c r="T65" s="287" t="s">
        <v>214</v>
      </c>
      <c r="U65" s="538" t="s">
        <v>202</v>
      </c>
      <c r="V65" s="502" t="s">
        <v>701</v>
      </c>
      <c r="W65" s="290" t="s">
        <v>914</v>
      </c>
      <c r="X65" s="503">
        <f t="shared" si="9"/>
        <v>43766</v>
      </c>
      <c r="Y65" s="326">
        <v>562600</v>
      </c>
      <c r="Z65" s="292"/>
      <c r="AA65" s="293">
        <f t="shared" si="3"/>
        <v>562600</v>
      </c>
      <c r="AB65" s="294"/>
      <c r="AC65" s="294"/>
      <c r="AD65" s="295"/>
      <c r="AE65" s="296">
        <v>43706</v>
      </c>
      <c r="AF65" s="287" t="s">
        <v>38</v>
      </c>
      <c r="AG65" s="294" t="s">
        <v>1460</v>
      </c>
      <c r="AH65" s="478"/>
      <c r="AI65" s="286" t="s">
        <v>918</v>
      </c>
      <c r="AJ65" s="297">
        <f>VLOOKUP(D65,[13]Hoja1!$G$6:$I$225,3,0)</f>
        <v>515180.59</v>
      </c>
      <c r="AK65" s="298">
        <f t="shared" si="4"/>
        <v>0</v>
      </c>
      <c r="AL65" s="588">
        <f t="shared" si="10"/>
        <v>-43628</v>
      </c>
    </row>
    <row r="66" spans="1:38" s="300" customFormat="1" ht="12" customHeight="1">
      <c r="A66" s="301" t="s">
        <v>510</v>
      </c>
      <c r="B66" s="278" t="s">
        <v>280</v>
      </c>
      <c r="C66" s="278" t="s">
        <v>548</v>
      </c>
      <c r="D66" s="260" t="str">
        <f t="shared" si="0"/>
        <v>KG575723</v>
      </c>
      <c r="E66" s="279">
        <v>515180.59</v>
      </c>
      <c r="F66" s="279">
        <v>515180.59</v>
      </c>
      <c r="G66" s="280" t="s">
        <v>158</v>
      </c>
      <c r="H66" s="278" t="s">
        <v>33</v>
      </c>
      <c r="I66" s="281" t="s">
        <v>79</v>
      </c>
      <c r="J66" s="278" t="s">
        <v>160</v>
      </c>
      <c r="K66" s="282" t="str">
        <f t="shared" si="6"/>
        <v>12/06/2019</v>
      </c>
      <c r="L66" s="283">
        <f t="shared" si="1"/>
        <v>43651</v>
      </c>
      <c r="M66" s="284">
        <f t="shared" si="2"/>
        <v>-43651</v>
      </c>
      <c r="N66" s="468">
        <f t="shared" si="7"/>
        <v>-43628</v>
      </c>
      <c r="O66" s="282"/>
      <c r="P66" s="286">
        <f t="shared" si="8"/>
        <v>515180.59</v>
      </c>
      <c r="Q66" s="287"/>
      <c r="R66" s="332">
        <v>43741</v>
      </c>
      <c r="S66" s="287" t="s">
        <v>739</v>
      </c>
      <c r="T66" s="287" t="s">
        <v>214</v>
      </c>
      <c r="U66" s="538" t="s">
        <v>202</v>
      </c>
      <c r="V66" s="502" t="s">
        <v>701</v>
      </c>
      <c r="W66" s="290" t="s">
        <v>914</v>
      </c>
      <c r="X66" s="503">
        <f t="shared" si="9"/>
        <v>43766</v>
      </c>
      <c r="Y66" s="326">
        <v>562600</v>
      </c>
      <c r="Z66" s="292"/>
      <c r="AA66" s="293">
        <f t="shared" si="3"/>
        <v>562600</v>
      </c>
      <c r="AB66" s="294"/>
      <c r="AC66" s="294"/>
      <c r="AD66" s="295"/>
      <c r="AE66" s="296">
        <v>43706</v>
      </c>
      <c r="AF66" s="287" t="s">
        <v>38</v>
      </c>
      <c r="AG66" s="294" t="s">
        <v>1460</v>
      </c>
      <c r="AH66" s="478"/>
      <c r="AI66" s="286" t="s">
        <v>918</v>
      </c>
      <c r="AJ66" s="297">
        <f>VLOOKUP(D66,[13]Hoja1!$G$6:$I$225,3,0)</f>
        <v>515180.59</v>
      </c>
      <c r="AK66" s="298">
        <f t="shared" si="4"/>
        <v>0</v>
      </c>
      <c r="AL66" s="588">
        <f t="shared" si="10"/>
        <v>-43628</v>
      </c>
    </row>
    <row r="67" spans="1:38" s="300" customFormat="1" ht="12" customHeight="1">
      <c r="A67" s="301" t="s">
        <v>510</v>
      </c>
      <c r="B67" s="278" t="s">
        <v>280</v>
      </c>
      <c r="C67" s="278" t="s">
        <v>549</v>
      </c>
      <c r="D67" s="260" t="str">
        <f t="shared" si="0"/>
        <v>KG575724</v>
      </c>
      <c r="E67" s="279">
        <v>515180.59</v>
      </c>
      <c r="F67" s="279">
        <v>515180.59</v>
      </c>
      <c r="G67" s="280" t="s">
        <v>158</v>
      </c>
      <c r="H67" s="278" t="s">
        <v>33</v>
      </c>
      <c r="I67" s="281" t="s">
        <v>79</v>
      </c>
      <c r="J67" s="278" t="s">
        <v>160</v>
      </c>
      <c r="K67" s="282" t="str">
        <f t="shared" si="6"/>
        <v>12/06/2019</v>
      </c>
      <c r="L67" s="283">
        <f t="shared" si="1"/>
        <v>43651</v>
      </c>
      <c r="M67" s="284">
        <f t="shared" si="2"/>
        <v>-43651</v>
      </c>
      <c r="N67" s="468">
        <f t="shared" si="7"/>
        <v>-43628</v>
      </c>
      <c r="O67" s="282"/>
      <c r="P67" s="286">
        <f t="shared" si="8"/>
        <v>515180.59</v>
      </c>
      <c r="Q67" s="287"/>
      <c r="R67" s="332">
        <v>43741</v>
      </c>
      <c r="S67" s="287" t="s">
        <v>740</v>
      </c>
      <c r="T67" s="287" t="s">
        <v>214</v>
      </c>
      <c r="U67" s="538" t="s">
        <v>202</v>
      </c>
      <c r="V67" s="502" t="s">
        <v>701</v>
      </c>
      <c r="W67" s="290" t="s">
        <v>914</v>
      </c>
      <c r="X67" s="503">
        <f t="shared" si="9"/>
        <v>43766</v>
      </c>
      <c r="Y67" s="326">
        <v>562600</v>
      </c>
      <c r="Z67" s="292"/>
      <c r="AA67" s="293">
        <f t="shared" si="3"/>
        <v>562600</v>
      </c>
      <c r="AB67" s="294"/>
      <c r="AC67" s="294"/>
      <c r="AD67" s="295"/>
      <c r="AE67" s="296">
        <v>43706</v>
      </c>
      <c r="AF67" s="287" t="s">
        <v>38</v>
      </c>
      <c r="AG67" s="294" t="s">
        <v>1460</v>
      </c>
      <c r="AH67" s="478"/>
      <c r="AI67" s="286" t="s">
        <v>918</v>
      </c>
      <c r="AJ67" s="297">
        <f>VLOOKUP(D67,[13]Hoja1!$G$6:$I$225,3,0)</f>
        <v>515180.59</v>
      </c>
      <c r="AK67" s="298">
        <f t="shared" si="4"/>
        <v>0</v>
      </c>
      <c r="AL67" s="588">
        <f t="shared" si="10"/>
        <v>-43628</v>
      </c>
    </row>
    <row r="68" spans="1:38" s="300" customFormat="1" ht="12" customHeight="1">
      <c r="A68" s="301" t="s">
        <v>510</v>
      </c>
      <c r="B68" s="278" t="s">
        <v>280</v>
      </c>
      <c r="C68" s="278" t="s">
        <v>550</v>
      </c>
      <c r="D68" s="260" t="str">
        <f t="shared" si="0"/>
        <v>KG575725</v>
      </c>
      <c r="E68" s="279">
        <v>515180.59</v>
      </c>
      <c r="F68" s="279">
        <v>515180.59</v>
      </c>
      <c r="G68" s="280" t="s">
        <v>158</v>
      </c>
      <c r="H68" s="278" t="s">
        <v>33</v>
      </c>
      <c r="I68" s="281" t="s">
        <v>79</v>
      </c>
      <c r="J68" s="278" t="s">
        <v>160</v>
      </c>
      <c r="K68" s="282" t="str">
        <f t="shared" si="6"/>
        <v>12/06/2019</v>
      </c>
      <c r="L68" s="283">
        <f t="shared" si="1"/>
        <v>43651</v>
      </c>
      <c r="M68" s="284">
        <f t="shared" si="2"/>
        <v>-43651</v>
      </c>
      <c r="N68" s="468">
        <f t="shared" si="7"/>
        <v>-43628</v>
      </c>
      <c r="O68" s="282"/>
      <c r="P68" s="286">
        <f t="shared" si="8"/>
        <v>515180.59</v>
      </c>
      <c r="Q68" s="287"/>
      <c r="R68" s="332">
        <v>43741</v>
      </c>
      <c r="S68" s="287" t="s">
        <v>741</v>
      </c>
      <c r="T68" s="287" t="s">
        <v>214</v>
      </c>
      <c r="U68" s="538" t="s">
        <v>202</v>
      </c>
      <c r="V68" s="502" t="s">
        <v>701</v>
      </c>
      <c r="W68" s="290" t="s">
        <v>914</v>
      </c>
      <c r="X68" s="503">
        <f t="shared" si="9"/>
        <v>43766</v>
      </c>
      <c r="Y68" s="326">
        <v>562600</v>
      </c>
      <c r="Z68" s="292"/>
      <c r="AA68" s="293">
        <f t="shared" si="3"/>
        <v>562600</v>
      </c>
      <c r="AB68" s="294"/>
      <c r="AC68" s="294"/>
      <c r="AD68" s="295"/>
      <c r="AE68" s="296">
        <v>43706</v>
      </c>
      <c r="AF68" s="287" t="s">
        <v>38</v>
      </c>
      <c r="AG68" s="294" t="s">
        <v>1460</v>
      </c>
      <c r="AH68" s="478"/>
      <c r="AI68" s="286" t="s">
        <v>918</v>
      </c>
      <c r="AJ68" s="297">
        <f>VLOOKUP(D68,[13]Hoja1!$G$6:$I$225,3,0)</f>
        <v>515180.59</v>
      </c>
      <c r="AK68" s="298">
        <f t="shared" si="4"/>
        <v>0</v>
      </c>
      <c r="AL68" s="588">
        <f t="shared" si="10"/>
        <v>-43628</v>
      </c>
    </row>
    <row r="69" spans="1:38" s="300" customFormat="1" ht="12" customHeight="1">
      <c r="A69" s="301" t="s">
        <v>510</v>
      </c>
      <c r="B69" s="278" t="s">
        <v>280</v>
      </c>
      <c r="C69" s="278" t="s">
        <v>551</v>
      </c>
      <c r="D69" s="260" t="str">
        <f t="shared" si="0"/>
        <v>KG575726</v>
      </c>
      <c r="E69" s="279">
        <v>515180.59</v>
      </c>
      <c r="F69" s="279">
        <v>515180.59</v>
      </c>
      <c r="G69" s="280" t="s">
        <v>158</v>
      </c>
      <c r="H69" s="278" t="s">
        <v>33</v>
      </c>
      <c r="I69" s="281" t="s">
        <v>79</v>
      </c>
      <c r="J69" s="278" t="s">
        <v>160</v>
      </c>
      <c r="K69" s="282" t="str">
        <f t="shared" si="6"/>
        <v>12/06/2019</v>
      </c>
      <c r="L69" s="283">
        <f t="shared" si="1"/>
        <v>43651</v>
      </c>
      <c r="M69" s="284">
        <f t="shared" si="2"/>
        <v>-43651</v>
      </c>
      <c r="N69" s="468">
        <f t="shared" si="7"/>
        <v>-43628</v>
      </c>
      <c r="O69" s="282"/>
      <c r="P69" s="286">
        <f t="shared" si="8"/>
        <v>515180.59</v>
      </c>
      <c r="Q69" s="287"/>
      <c r="R69" s="332">
        <v>43741</v>
      </c>
      <c r="S69" s="287" t="s">
        <v>702</v>
      </c>
      <c r="T69" s="287" t="s">
        <v>214</v>
      </c>
      <c r="U69" s="538" t="s">
        <v>202</v>
      </c>
      <c r="V69" s="502" t="s">
        <v>701</v>
      </c>
      <c r="W69" s="290" t="s">
        <v>914</v>
      </c>
      <c r="X69" s="503">
        <f t="shared" si="9"/>
        <v>43766</v>
      </c>
      <c r="Y69" s="326">
        <v>562600</v>
      </c>
      <c r="Z69" s="292"/>
      <c r="AA69" s="293">
        <f t="shared" si="3"/>
        <v>562600</v>
      </c>
      <c r="AB69" s="294"/>
      <c r="AC69" s="294"/>
      <c r="AD69" s="295"/>
      <c r="AE69" s="296">
        <v>43706</v>
      </c>
      <c r="AF69" s="287" t="s">
        <v>38</v>
      </c>
      <c r="AG69" s="294" t="s">
        <v>1460</v>
      </c>
      <c r="AH69" s="478"/>
      <c r="AI69" s="286" t="s">
        <v>918</v>
      </c>
      <c r="AJ69" s="297">
        <f>VLOOKUP(D69,[13]Hoja1!$G$6:$I$225,3,0)</f>
        <v>515180.59</v>
      </c>
      <c r="AK69" s="298">
        <f t="shared" si="4"/>
        <v>0</v>
      </c>
      <c r="AL69" s="588">
        <f t="shared" si="10"/>
        <v>-43628</v>
      </c>
    </row>
    <row r="70" spans="1:38" s="300" customFormat="1" ht="12" customHeight="1">
      <c r="A70" s="301" t="s">
        <v>510</v>
      </c>
      <c r="B70" s="278" t="s">
        <v>280</v>
      </c>
      <c r="C70" s="278" t="s">
        <v>552</v>
      </c>
      <c r="D70" s="260" t="str">
        <f t="shared" si="0"/>
        <v>KG575727</v>
      </c>
      <c r="E70" s="279">
        <v>515180.59</v>
      </c>
      <c r="F70" s="279">
        <v>515180.59</v>
      </c>
      <c r="G70" s="280" t="s">
        <v>158</v>
      </c>
      <c r="H70" s="278" t="s">
        <v>33</v>
      </c>
      <c r="I70" s="281" t="s">
        <v>79</v>
      </c>
      <c r="J70" s="278" t="s">
        <v>160</v>
      </c>
      <c r="K70" s="282" t="str">
        <f t="shared" si="6"/>
        <v>12/06/2019</v>
      </c>
      <c r="L70" s="283">
        <f t="shared" si="1"/>
        <v>43651</v>
      </c>
      <c r="M70" s="284">
        <f t="shared" si="2"/>
        <v>-43651</v>
      </c>
      <c r="N70" s="468">
        <f t="shared" si="7"/>
        <v>-43628</v>
      </c>
      <c r="O70" s="282"/>
      <c r="P70" s="286">
        <f t="shared" si="8"/>
        <v>515180.59</v>
      </c>
      <c r="Q70" s="287"/>
      <c r="R70" s="332">
        <v>43741</v>
      </c>
      <c r="S70" s="287" t="s">
        <v>742</v>
      </c>
      <c r="T70" s="287" t="s">
        <v>214</v>
      </c>
      <c r="U70" s="538" t="s">
        <v>202</v>
      </c>
      <c r="V70" s="502" t="s">
        <v>701</v>
      </c>
      <c r="W70" s="290" t="s">
        <v>914</v>
      </c>
      <c r="X70" s="503">
        <f t="shared" si="9"/>
        <v>43766</v>
      </c>
      <c r="Y70" s="326">
        <v>562600</v>
      </c>
      <c r="Z70" s="292"/>
      <c r="AA70" s="293">
        <f t="shared" si="3"/>
        <v>562600</v>
      </c>
      <c r="AB70" s="294"/>
      <c r="AC70" s="294"/>
      <c r="AD70" s="295"/>
      <c r="AE70" s="296">
        <v>43706</v>
      </c>
      <c r="AF70" s="287" t="s">
        <v>38</v>
      </c>
      <c r="AG70" s="294" t="s">
        <v>1460</v>
      </c>
      <c r="AH70" s="478"/>
      <c r="AI70" s="286" t="s">
        <v>918</v>
      </c>
      <c r="AJ70" s="297">
        <f>VLOOKUP(D70,[13]Hoja1!$G$6:$I$225,3,0)</f>
        <v>515180.59</v>
      </c>
      <c r="AK70" s="298">
        <f t="shared" si="4"/>
        <v>0</v>
      </c>
      <c r="AL70" s="588">
        <f t="shared" si="10"/>
        <v>-43628</v>
      </c>
    </row>
    <row r="71" spans="1:38" s="300" customFormat="1" ht="12" customHeight="1">
      <c r="A71" s="301" t="s">
        <v>510</v>
      </c>
      <c r="B71" s="278" t="s">
        <v>280</v>
      </c>
      <c r="C71" s="278" t="s">
        <v>553</v>
      </c>
      <c r="D71" s="260" t="str">
        <f t="shared" si="0"/>
        <v>KG575731</v>
      </c>
      <c r="E71" s="279">
        <v>515180.59</v>
      </c>
      <c r="F71" s="279">
        <v>515180.59</v>
      </c>
      <c r="G71" s="280" t="s">
        <v>158</v>
      </c>
      <c r="H71" s="278" t="s">
        <v>33</v>
      </c>
      <c r="I71" s="281" t="s">
        <v>79</v>
      </c>
      <c r="J71" s="278" t="s">
        <v>160</v>
      </c>
      <c r="K71" s="282" t="str">
        <f t="shared" si="6"/>
        <v>12/06/2019</v>
      </c>
      <c r="L71" s="283">
        <f t="shared" si="1"/>
        <v>43651</v>
      </c>
      <c r="M71" s="284">
        <f t="shared" si="2"/>
        <v>-43651</v>
      </c>
      <c r="N71" s="468">
        <f t="shared" si="7"/>
        <v>-43628</v>
      </c>
      <c r="O71" s="282"/>
      <c r="P71" s="286">
        <f t="shared" si="8"/>
        <v>515180.59</v>
      </c>
      <c r="Q71" s="287"/>
      <c r="R71" s="332">
        <v>43741</v>
      </c>
      <c r="S71" s="287" t="s">
        <v>743</v>
      </c>
      <c r="T71" s="287" t="s">
        <v>214</v>
      </c>
      <c r="U71" s="538" t="s">
        <v>202</v>
      </c>
      <c r="V71" s="502" t="s">
        <v>701</v>
      </c>
      <c r="W71" s="290" t="s">
        <v>914</v>
      </c>
      <c r="X71" s="503">
        <f t="shared" si="9"/>
        <v>43766</v>
      </c>
      <c r="Y71" s="326">
        <v>562600</v>
      </c>
      <c r="Z71" s="292"/>
      <c r="AA71" s="293">
        <f t="shared" si="3"/>
        <v>562600</v>
      </c>
      <c r="AB71" s="294"/>
      <c r="AC71" s="294"/>
      <c r="AD71" s="295"/>
      <c r="AE71" s="296">
        <v>43706</v>
      </c>
      <c r="AF71" s="287" t="s">
        <v>38</v>
      </c>
      <c r="AG71" s="294" t="s">
        <v>1460</v>
      </c>
      <c r="AH71" s="478"/>
      <c r="AI71" s="286" t="s">
        <v>918</v>
      </c>
      <c r="AJ71" s="297">
        <f>VLOOKUP(D71,[13]Hoja1!$G$6:$I$225,3,0)</f>
        <v>515180.59</v>
      </c>
      <c r="AK71" s="298">
        <f t="shared" si="4"/>
        <v>0</v>
      </c>
      <c r="AL71" s="588">
        <f t="shared" si="10"/>
        <v>-43628</v>
      </c>
    </row>
    <row r="72" spans="1:38" s="300" customFormat="1" ht="12" customHeight="1">
      <c r="A72" s="301" t="s">
        <v>510</v>
      </c>
      <c r="B72" s="278" t="s">
        <v>280</v>
      </c>
      <c r="C72" s="278" t="s">
        <v>554</v>
      </c>
      <c r="D72" s="260" t="str">
        <f t="shared" si="0"/>
        <v>KG575736</v>
      </c>
      <c r="E72" s="279">
        <v>515180.59</v>
      </c>
      <c r="F72" s="279">
        <v>515180.59</v>
      </c>
      <c r="G72" s="280" t="s">
        <v>158</v>
      </c>
      <c r="H72" s="278" t="s">
        <v>33</v>
      </c>
      <c r="I72" s="281" t="s">
        <v>79</v>
      </c>
      <c r="J72" s="278" t="s">
        <v>160</v>
      </c>
      <c r="K72" s="282" t="str">
        <f t="shared" si="6"/>
        <v>12/06/2019</v>
      </c>
      <c r="L72" s="283">
        <f t="shared" si="1"/>
        <v>43651</v>
      </c>
      <c r="M72" s="284">
        <f t="shared" si="2"/>
        <v>-43651</v>
      </c>
      <c r="N72" s="468">
        <f t="shared" si="7"/>
        <v>-43628</v>
      </c>
      <c r="O72" s="282"/>
      <c r="P72" s="286">
        <f t="shared" si="8"/>
        <v>515180.59</v>
      </c>
      <c r="Q72" s="287"/>
      <c r="R72" s="332">
        <v>43741</v>
      </c>
      <c r="S72" s="287" t="s">
        <v>744</v>
      </c>
      <c r="T72" s="287" t="s">
        <v>214</v>
      </c>
      <c r="U72" s="538" t="s">
        <v>202</v>
      </c>
      <c r="V72" s="502" t="s">
        <v>701</v>
      </c>
      <c r="W72" s="290" t="s">
        <v>914</v>
      </c>
      <c r="X72" s="503">
        <f t="shared" si="9"/>
        <v>43766</v>
      </c>
      <c r="Y72" s="326">
        <v>562600</v>
      </c>
      <c r="Z72" s="292"/>
      <c r="AA72" s="293">
        <f t="shared" si="3"/>
        <v>562600</v>
      </c>
      <c r="AB72" s="294"/>
      <c r="AC72" s="294"/>
      <c r="AD72" s="295"/>
      <c r="AE72" s="296">
        <v>43706</v>
      </c>
      <c r="AF72" s="287" t="s">
        <v>38</v>
      </c>
      <c r="AG72" s="294" t="s">
        <v>1460</v>
      </c>
      <c r="AH72" s="478"/>
      <c r="AI72" s="286" t="s">
        <v>918</v>
      </c>
      <c r="AJ72" s="297">
        <f>VLOOKUP(D72,[13]Hoja1!$G$6:$I$225,3,0)</f>
        <v>515180.59</v>
      </c>
      <c r="AK72" s="298">
        <f t="shared" si="4"/>
        <v>0</v>
      </c>
      <c r="AL72" s="588">
        <f t="shared" si="10"/>
        <v>-43628</v>
      </c>
    </row>
    <row r="73" spans="1:38" s="300" customFormat="1" ht="12" customHeight="1">
      <c r="A73" s="278" t="s">
        <v>817</v>
      </c>
      <c r="B73" s="278" t="s">
        <v>280</v>
      </c>
      <c r="C73" s="278" t="s">
        <v>818</v>
      </c>
      <c r="D73" s="260" t="str">
        <f t="shared" si="0"/>
        <v>KG575697</v>
      </c>
      <c r="E73" s="279">
        <v>519421.09</v>
      </c>
      <c r="F73" s="279">
        <v>519421.09</v>
      </c>
      <c r="G73" s="280" t="s">
        <v>158</v>
      </c>
      <c r="H73" s="278" t="s">
        <v>33</v>
      </c>
      <c r="I73" s="281" t="s">
        <v>79</v>
      </c>
      <c r="J73" s="278" t="s">
        <v>160</v>
      </c>
      <c r="K73" s="282" t="str">
        <f t="shared" si="6"/>
        <v>08/08/2019</v>
      </c>
      <c r="L73" s="283">
        <f t="shared" si="1"/>
        <v>43708</v>
      </c>
      <c r="M73" s="284">
        <f t="shared" si="2"/>
        <v>-43708</v>
      </c>
      <c r="N73" s="468">
        <f t="shared" si="7"/>
        <v>-43685</v>
      </c>
      <c r="O73" s="282"/>
      <c r="P73" s="286">
        <f t="shared" si="8"/>
        <v>519421.09</v>
      </c>
      <c r="Q73" s="287"/>
      <c r="R73" s="332">
        <v>43741</v>
      </c>
      <c r="S73" s="287" t="s">
        <v>853</v>
      </c>
      <c r="T73" s="287" t="s">
        <v>214</v>
      </c>
      <c r="U73" s="538" t="s">
        <v>202</v>
      </c>
      <c r="V73" s="287" t="s">
        <v>849</v>
      </c>
      <c r="W73" s="290" t="s">
        <v>914</v>
      </c>
      <c r="X73" s="503">
        <f>+AE73+60</f>
        <v>43766</v>
      </c>
      <c r="Y73" s="326">
        <v>562600</v>
      </c>
      <c r="Z73" s="292"/>
      <c r="AA73" s="293">
        <f t="shared" si="3"/>
        <v>562600</v>
      </c>
      <c r="AB73" s="294"/>
      <c r="AC73" s="294"/>
      <c r="AD73" s="295"/>
      <c r="AE73" s="296">
        <v>43706</v>
      </c>
      <c r="AF73" s="287" t="s">
        <v>38</v>
      </c>
      <c r="AG73" s="294" t="s">
        <v>1460</v>
      </c>
      <c r="AH73" s="478"/>
      <c r="AI73" s="286" t="s">
        <v>918</v>
      </c>
      <c r="AJ73" s="297">
        <f>VLOOKUP(D73,[13]Hoja1!$G$6:$I$225,3,0)</f>
        <v>519421.09</v>
      </c>
      <c r="AK73" s="298">
        <f t="shared" si="4"/>
        <v>0</v>
      </c>
      <c r="AL73" s="588">
        <f t="shared" si="10"/>
        <v>-43685</v>
      </c>
    </row>
    <row r="74" spans="1:38" s="300" customFormat="1" ht="12" customHeight="1">
      <c r="A74" s="278" t="s">
        <v>817</v>
      </c>
      <c r="B74" s="278" t="s">
        <v>280</v>
      </c>
      <c r="C74" s="278" t="s">
        <v>819</v>
      </c>
      <c r="D74" s="260" t="str">
        <f t="shared" si="0"/>
        <v>KG575698</v>
      </c>
      <c r="E74" s="279">
        <v>519421.09</v>
      </c>
      <c r="F74" s="279">
        <v>519421.09</v>
      </c>
      <c r="G74" s="280" t="s">
        <v>158</v>
      </c>
      <c r="H74" s="278" t="s">
        <v>33</v>
      </c>
      <c r="I74" s="281" t="s">
        <v>79</v>
      </c>
      <c r="J74" s="278" t="s">
        <v>160</v>
      </c>
      <c r="K74" s="282" t="str">
        <f t="shared" si="6"/>
        <v>08/08/2019</v>
      </c>
      <c r="L74" s="283">
        <f t="shared" si="1"/>
        <v>43708</v>
      </c>
      <c r="M74" s="284">
        <f t="shared" si="2"/>
        <v>-43708</v>
      </c>
      <c r="N74" s="468">
        <f t="shared" si="7"/>
        <v>-43685</v>
      </c>
      <c r="O74" s="282"/>
      <c r="P74" s="286">
        <f t="shared" si="8"/>
        <v>519421.09</v>
      </c>
      <c r="Q74" s="287"/>
      <c r="R74" s="332">
        <v>43741</v>
      </c>
      <c r="S74" s="287" t="s">
        <v>850</v>
      </c>
      <c r="T74" s="287" t="s">
        <v>214</v>
      </c>
      <c r="U74" s="538" t="s">
        <v>202</v>
      </c>
      <c r="V74" s="287" t="s">
        <v>849</v>
      </c>
      <c r="W74" s="290" t="s">
        <v>914</v>
      </c>
      <c r="X74" s="503">
        <f>+AE74+60</f>
        <v>43766</v>
      </c>
      <c r="Y74" s="326">
        <v>562600</v>
      </c>
      <c r="Z74" s="292"/>
      <c r="AA74" s="293">
        <f t="shared" si="3"/>
        <v>562600</v>
      </c>
      <c r="AB74" s="294"/>
      <c r="AC74" s="294"/>
      <c r="AD74" s="295"/>
      <c r="AE74" s="296">
        <v>43706</v>
      </c>
      <c r="AF74" s="287" t="s">
        <v>38</v>
      </c>
      <c r="AG74" s="294" t="s">
        <v>1460</v>
      </c>
      <c r="AH74" s="478"/>
      <c r="AI74" s="286" t="s">
        <v>918</v>
      </c>
      <c r="AJ74" s="297">
        <f>VLOOKUP(D74,[13]Hoja1!$G$6:$I$225,3,0)</f>
        <v>519421.09</v>
      </c>
      <c r="AK74" s="298">
        <f t="shared" si="4"/>
        <v>0</v>
      </c>
      <c r="AL74" s="588">
        <f t="shared" si="10"/>
        <v>-43685</v>
      </c>
    </row>
    <row r="75" spans="1:38" s="300" customFormat="1" ht="12" customHeight="1">
      <c r="A75" s="278" t="s">
        <v>817</v>
      </c>
      <c r="B75" s="278" t="s">
        <v>280</v>
      </c>
      <c r="C75" s="278" t="s">
        <v>820</v>
      </c>
      <c r="D75" s="260" t="str">
        <f t="shared" si="0"/>
        <v>KG575704</v>
      </c>
      <c r="E75" s="279">
        <v>519421.09</v>
      </c>
      <c r="F75" s="279">
        <v>519421.09</v>
      </c>
      <c r="G75" s="280" t="s">
        <v>158</v>
      </c>
      <c r="H75" s="278" t="s">
        <v>33</v>
      </c>
      <c r="I75" s="281" t="s">
        <v>79</v>
      </c>
      <c r="J75" s="278" t="s">
        <v>160</v>
      </c>
      <c r="K75" s="282" t="str">
        <f t="shared" si="6"/>
        <v>08/08/2019</v>
      </c>
      <c r="L75" s="283">
        <f t="shared" si="1"/>
        <v>43708</v>
      </c>
      <c r="M75" s="284">
        <f t="shared" si="2"/>
        <v>-43708</v>
      </c>
      <c r="N75" s="468">
        <f t="shared" si="7"/>
        <v>-43685</v>
      </c>
      <c r="O75" s="282"/>
      <c r="P75" s="286">
        <f t="shared" si="8"/>
        <v>519421.09</v>
      </c>
      <c r="Q75" s="287"/>
      <c r="R75" s="332">
        <v>43741</v>
      </c>
      <c r="S75" s="287" t="s">
        <v>848</v>
      </c>
      <c r="T75" s="287" t="s">
        <v>214</v>
      </c>
      <c r="U75" s="538" t="s">
        <v>202</v>
      </c>
      <c r="V75" s="287" t="s">
        <v>849</v>
      </c>
      <c r="W75" s="290" t="s">
        <v>914</v>
      </c>
      <c r="X75" s="503">
        <f>+AE75+60</f>
        <v>43766</v>
      </c>
      <c r="Y75" s="326">
        <v>562600</v>
      </c>
      <c r="Z75" s="292"/>
      <c r="AA75" s="293">
        <f t="shared" si="3"/>
        <v>562600</v>
      </c>
      <c r="AB75" s="294"/>
      <c r="AC75" s="294"/>
      <c r="AD75" s="295"/>
      <c r="AE75" s="296">
        <v>43706</v>
      </c>
      <c r="AF75" s="287" t="s">
        <v>38</v>
      </c>
      <c r="AG75" s="294" t="s">
        <v>1460</v>
      </c>
      <c r="AH75" s="478"/>
      <c r="AI75" s="286" t="s">
        <v>918</v>
      </c>
      <c r="AJ75" s="297">
        <f>VLOOKUP(D75,[13]Hoja1!$G$6:$I$225,3,0)</f>
        <v>519421.09</v>
      </c>
      <c r="AK75" s="298">
        <f t="shared" si="4"/>
        <v>0</v>
      </c>
      <c r="AL75" s="588">
        <f t="shared" si="10"/>
        <v>-43685</v>
      </c>
    </row>
    <row r="76" spans="1:38" s="300" customFormat="1" ht="12" customHeight="1">
      <c r="A76" s="287" t="s">
        <v>1010</v>
      </c>
      <c r="B76" s="278" t="s">
        <v>73</v>
      </c>
      <c r="C76" s="278" t="s">
        <v>1012</v>
      </c>
      <c r="D76" s="260" t="str">
        <f t="shared" si="0"/>
        <v>LH002057</v>
      </c>
      <c r="E76" s="321">
        <v>241526.48</v>
      </c>
      <c r="F76" s="321">
        <v>241526.48</v>
      </c>
      <c r="G76" s="280" t="s">
        <v>158</v>
      </c>
      <c r="H76" s="278" t="s">
        <v>33</v>
      </c>
      <c r="I76" s="281" t="s">
        <v>80</v>
      </c>
      <c r="J76" s="278" t="s">
        <v>160</v>
      </c>
      <c r="K76" s="282" t="str">
        <f t="shared" si="6"/>
        <v>09/09/2019</v>
      </c>
      <c r="L76" s="283">
        <f t="shared" si="1"/>
        <v>43740</v>
      </c>
      <c r="M76" s="284">
        <f t="shared" si="2"/>
        <v>-43740</v>
      </c>
      <c r="N76" s="468">
        <f t="shared" si="7"/>
        <v>-43717</v>
      </c>
      <c r="O76" s="282"/>
      <c r="P76" s="286">
        <f t="shared" si="8"/>
        <v>241526.48</v>
      </c>
      <c r="Q76" s="287"/>
      <c r="R76" s="332">
        <v>43741</v>
      </c>
      <c r="S76" s="287" t="s">
        <v>1425</v>
      </c>
      <c r="T76" s="287" t="s">
        <v>53</v>
      </c>
      <c r="U76" s="287" t="s">
        <v>34</v>
      </c>
      <c r="V76" s="609" t="s">
        <v>1426</v>
      </c>
      <c r="W76" s="290"/>
      <c r="X76" s="290"/>
      <c r="Y76" s="326">
        <v>242717.08</v>
      </c>
      <c r="Z76" s="326">
        <v>242717.08</v>
      </c>
      <c r="AA76" s="293">
        <f t="shared" si="3"/>
        <v>0</v>
      </c>
      <c r="AB76" s="294" t="s">
        <v>197</v>
      </c>
      <c r="AC76" s="294" t="s">
        <v>1434</v>
      </c>
      <c r="AD76" s="295">
        <v>43740</v>
      </c>
      <c r="AE76" s="296"/>
      <c r="AF76" s="287" t="s">
        <v>261</v>
      </c>
      <c r="AG76" s="294" t="s">
        <v>82</v>
      </c>
      <c r="AH76" s="478"/>
      <c r="AI76" s="286" t="s">
        <v>918</v>
      </c>
      <c r="AJ76" s="297">
        <f>VLOOKUP(D76,[13]Hoja1!$G$6:$I$225,3,0)</f>
        <v>241526.48</v>
      </c>
      <c r="AK76" s="298">
        <f t="shared" si="4"/>
        <v>0</v>
      </c>
      <c r="AL76" s="588">
        <f t="shared" si="10"/>
        <v>-43717</v>
      </c>
    </row>
  </sheetData>
  <autoFilter ref="A3:AM12" xr:uid="{00000000-0009-0000-0000-000004000000}"/>
  <sortState ref="A125:P182">
    <sortCondition ref="D125:D182"/>
  </sortState>
  <conditionalFormatting sqref="D16:D17 D13 D5:D8 D77:D1048576">
    <cfRule type="duplicateValues" dxfId="383" priority="18772"/>
    <cfRule type="duplicateValues" dxfId="382" priority="18773"/>
  </conditionalFormatting>
  <conditionalFormatting sqref="D16:D17 D13 D5:D8 D77:D1048576">
    <cfRule type="duplicateValues" dxfId="381" priority="18771"/>
  </conditionalFormatting>
  <conditionalFormatting sqref="D16:D17 D13 D1:D2 D5:D8 D77:D1048576">
    <cfRule type="duplicateValues" dxfId="380" priority="18766"/>
  </conditionalFormatting>
  <conditionalFormatting sqref="D4">
    <cfRule type="duplicateValues" dxfId="379" priority="2926"/>
    <cfRule type="duplicateValues" dxfId="378" priority="2927"/>
  </conditionalFormatting>
  <conditionalFormatting sqref="D4">
    <cfRule type="duplicateValues" dxfId="377" priority="2925"/>
  </conditionalFormatting>
  <conditionalFormatting sqref="D4">
    <cfRule type="duplicateValues" dxfId="376" priority="2924"/>
  </conditionalFormatting>
  <conditionalFormatting sqref="D9">
    <cfRule type="duplicateValues" dxfId="375" priority="2401"/>
  </conditionalFormatting>
  <conditionalFormatting sqref="D10">
    <cfRule type="duplicateValues" dxfId="374" priority="2256"/>
  </conditionalFormatting>
  <conditionalFormatting sqref="D11">
    <cfRule type="duplicateValues" dxfId="373" priority="1995"/>
  </conditionalFormatting>
  <conditionalFormatting sqref="I11 I14">
    <cfRule type="containsText" dxfId="372" priority="1993" operator="containsText" text="ENTREGADA">
      <formula>NOT(ISERROR(SEARCH("ENTREGADA",I11)))</formula>
    </cfRule>
    <cfRule type="containsText" dxfId="371" priority="1994" operator="containsText" text="ENTREGADA">
      <formula>NOT(ISERROR(SEARCH("ENTREGADA",I11)))</formula>
    </cfRule>
  </conditionalFormatting>
  <conditionalFormatting sqref="AL14">
    <cfRule type="cellIs" dxfId="370" priority="1709" operator="greaterThan">
      <formula>365</formula>
    </cfRule>
    <cfRule type="cellIs" dxfId="369" priority="1710" operator="equal">
      <formula>365</formula>
    </cfRule>
  </conditionalFormatting>
  <conditionalFormatting sqref="D15">
    <cfRule type="duplicateValues" dxfId="368" priority="630"/>
  </conditionalFormatting>
  <conditionalFormatting sqref="I15">
    <cfRule type="containsText" dxfId="367" priority="617" operator="containsText" text="ENTREGADA">
      <formula>NOT(ISERROR(SEARCH("ENTREGADA",I15)))</formula>
    </cfRule>
    <cfRule type="containsText" dxfId="366" priority="618" operator="containsText" text="ENTREGADA">
      <formula>NOT(ISERROR(SEARCH("ENTREGADA",I15)))</formula>
    </cfRule>
  </conditionalFormatting>
  <conditionalFormatting sqref="AL15">
    <cfRule type="cellIs" dxfId="365" priority="607" operator="greaterThan">
      <formula>365</formula>
    </cfRule>
    <cfRule type="cellIs" dxfId="364" priority="608" operator="equal">
      <formula>365</formula>
    </cfRule>
  </conditionalFormatting>
  <conditionalFormatting sqref="AL15">
    <cfRule type="cellIs" dxfId="363" priority="605" operator="greaterThan">
      <formula>365</formula>
    </cfRule>
    <cfRule type="cellIs" dxfId="362" priority="606" operator="equal">
      <formula>365</formula>
    </cfRule>
  </conditionalFormatting>
  <conditionalFormatting sqref="D15">
    <cfRule type="duplicateValues" dxfId="361" priority="604"/>
  </conditionalFormatting>
  <conditionalFormatting sqref="D14">
    <cfRule type="duplicateValues" dxfId="360" priority="1263876"/>
  </conditionalFormatting>
  <conditionalFormatting sqref="AL18">
    <cfRule type="cellIs" dxfId="359" priority="189" operator="greaterThan">
      <formula>365</formula>
    </cfRule>
    <cfRule type="cellIs" dxfId="358" priority="190" operator="equal">
      <formula>365</formula>
    </cfRule>
  </conditionalFormatting>
  <conditionalFormatting sqref="D18">
    <cfRule type="duplicateValues" dxfId="357" priority="163"/>
  </conditionalFormatting>
  <conditionalFormatting sqref="D18">
    <cfRule type="duplicateValues" dxfId="356" priority="162"/>
  </conditionalFormatting>
  <conditionalFormatting sqref="I18">
    <cfRule type="containsText" dxfId="355" priority="176" operator="containsText" text="ENTREGADA">
      <formula>NOT(ISERROR(SEARCH("ENTREGADA",I18)))</formula>
    </cfRule>
    <cfRule type="containsText" dxfId="354" priority="177" operator="containsText" text="ENTREGADA">
      <formula>NOT(ISERROR(SEARCH("ENTREGADA",I18)))</formula>
    </cfRule>
  </conditionalFormatting>
  <conditionalFormatting sqref="AL18">
    <cfRule type="cellIs" dxfId="353" priority="166" operator="greaterThan">
      <formula>365</formula>
    </cfRule>
    <cfRule type="cellIs" dxfId="352" priority="167" operator="equal">
      <formula>365</formula>
    </cfRule>
  </conditionalFormatting>
  <conditionalFormatting sqref="AL18">
    <cfRule type="cellIs" dxfId="351" priority="164" operator="greaterThan">
      <formula>365</formula>
    </cfRule>
    <cfRule type="cellIs" dxfId="350" priority="165" operator="equal">
      <formula>365</formula>
    </cfRule>
  </conditionalFormatting>
  <conditionalFormatting sqref="D19">
    <cfRule type="duplicateValues" dxfId="349" priority="161"/>
  </conditionalFormatting>
  <conditionalFormatting sqref="D19">
    <cfRule type="duplicateValues" dxfId="348" priority="160"/>
  </conditionalFormatting>
  <conditionalFormatting sqref="I19">
    <cfRule type="containsText" dxfId="347" priority="147" operator="containsText" text="ENTREGADA">
      <formula>NOT(ISERROR(SEARCH("ENTREGADA",I19)))</formula>
    </cfRule>
    <cfRule type="containsText" dxfId="346" priority="148" operator="containsText" text="ENTREGADA">
      <formula>NOT(ISERROR(SEARCH("ENTREGADA",I19)))</formula>
    </cfRule>
  </conditionalFormatting>
  <conditionalFormatting sqref="AL19">
    <cfRule type="cellIs" dxfId="345" priority="137" operator="greaterThan">
      <formula>365</formula>
    </cfRule>
    <cfRule type="cellIs" dxfId="344" priority="138" operator="equal">
      <formula>365</formula>
    </cfRule>
  </conditionalFormatting>
  <conditionalFormatting sqref="AL19">
    <cfRule type="cellIs" dxfId="343" priority="135" operator="greaterThan">
      <formula>365</formula>
    </cfRule>
    <cfRule type="cellIs" dxfId="342" priority="136" operator="equal">
      <formula>365</formula>
    </cfRule>
  </conditionalFormatting>
  <conditionalFormatting sqref="D20">
    <cfRule type="duplicateValues" dxfId="341" priority="123"/>
  </conditionalFormatting>
  <conditionalFormatting sqref="I20">
    <cfRule type="containsText" dxfId="340" priority="121" operator="containsText" text="ENTREGADA">
      <formula>NOT(ISERROR(SEARCH("ENTREGADA",I20)))</formula>
    </cfRule>
    <cfRule type="containsText" dxfId="339" priority="122" operator="containsText" text="ENTREGADA">
      <formula>NOT(ISERROR(SEARCH("ENTREGADA",I20)))</formula>
    </cfRule>
  </conditionalFormatting>
  <conditionalFormatting sqref="AL20">
    <cfRule type="cellIs" dxfId="338" priority="111" operator="greaterThan">
      <formula>365</formula>
    </cfRule>
    <cfRule type="cellIs" dxfId="337" priority="112" operator="equal">
      <formula>365</formula>
    </cfRule>
  </conditionalFormatting>
  <conditionalFormatting sqref="D20">
    <cfRule type="duplicateValues" dxfId="336" priority="110"/>
  </conditionalFormatting>
  <conditionalFormatting sqref="I21">
    <cfRule type="containsText" dxfId="335" priority="97" operator="containsText" text="ENTREGADA">
      <formula>NOT(ISERROR(SEARCH("ENTREGADA",I21)))</formula>
    </cfRule>
    <cfRule type="containsText" dxfId="334" priority="98" operator="containsText" text="ENTREGADA">
      <formula>NOT(ISERROR(SEARCH("ENTREGADA",I21)))</formula>
    </cfRule>
  </conditionalFormatting>
  <conditionalFormatting sqref="AL21">
    <cfRule type="cellIs" dxfId="333" priority="87" operator="greaterThan">
      <formula>365</formula>
    </cfRule>
    <cfRule type="cellIs" dxfId="332" priority="88" operator="equal">
      <formula>365</formula>
    </cfRule>
  </conditionalFormatting>
  <conditionalFormatting sqref="D21">
    <cfRule type="duplicateValues" dxfId="331" priority="86"/>
  </conditionalFormatting>
  <conditionalFormatting sqref="I22">
    <cfRule type="containsText" dxfId="330" priority="73" operator="containsText" text="ENTREGADA">
      <formula>NOT(ISERROR(SEARCH("ENTREGADA",I22)))</formula>
    </cfRule>
    <cfRule type="containsText" dxfId="329" priority="74" operator="containsText" text="ENTREGADA">
      <formula>NOT(ISERROR(SEARCH("ENTREGADA",I22)))</formula>
    </cfRule>
  </conditionalFormatting>
  <conditionalFormatting sqref="AL22">
    <cfRule type="cellIs" dxfId="328" priority="63" operator="greaterThan">
      <formula>365</formula>
    </cfRule>
    <cfRule type="cellIs" dxfId="327" priority="64" operator="equal">
      <formula>365</formula>
    </cfRule>
  </conditionalFormatting>
  <conditionalFormatting sqref="D22">
    <cfRule type="duplicateValues" dxfId="326" priority="62"/>
  </conditionalFormatting>
  <conditionalFormatting sqref="D22">
    <cfRule type="duplicateValues" dxfId="325" priority="61"/>
  </conditionalFormatting>
  <conditionalFormatting sqref="I23">
    <cfRule type="containsText" dxfId="324" priority="59" operator="containsText" text="ENTREGADA">
      <formula>NOT(ISERROR(SEARCH("ENTREGADA",I23)))</formula>
    </cfRule>
    <cfRule type="containsText" dxfId="323" priority="60" operator="containsText" text="ENTREGADA">
      <formula>NOT(ISERROR(SEARCH("ENTREGADA",I23)))</formula>
    </cfRule>
  </conditionalFormatting>
  <conditionalFormatting sqref="AL23">
    <cfRule type="cellIs" dxfId="322" priority="49" operator="greaterThan">
      <formula>365</formula>
    </cfRule>
    <cfRule type="cellIs" dxfId="321" priority="50" operator="equal">
      <formula>365</formula>
    </cfRule>
  </conditionalFormatting>
  <conditionalFormatting sqref="D23">
    <cfRule type="duplicateValues" dxfId="320" priority="48"/>
  </conditionalFormatting>
  <conditionalFormatting sqref="D23">
    <cfRule type="duplicateValues" dxfId="319" priority="47"/>
  </conditionalFormatting>
  <conditionalFormatting sqref="I24:I29">
    <cfRule type="containsText" dxfId="318" priority="36" operator="containsText" text="BODY">
      <formula>NOT(ISERROR(SEARCH("BODY",I24)))</formula>
    </cfRule>
    <cfRule type="containsText" dxfId="317" priority="37" operator="containsText" text="ENTREGADA">
      <formula>NOT(ISERROR(SEARCH("ENTREGADA",I24)))</formula>
    </cfRule>
    <cfRule type="containsText" dxfId="316" priority="38" operator="containsText" text="ATLACOMULCO">
      <formula>NOT(ISERROR(SEARCH("ATLACOMULCO",I24)))</formula>
    </cfRule>
    <cfRule type="containsText" dxfId="315" priority="39" operator="containsText" text="MITSU">
      <formula>NOT(ISERROR(SEARCH("MITSU",I24)))</formula>
    </cfRule>
    <cfRule type="containsText" dxfId="314" priority="40" operator="containsText" text="ATLACOMULCO">
      <formula>NOT(ISERROR(SEARCH("ATLACOMULCO",I24)))</formula>
    </cfRule>
    <cfRule type="containsText" dxfId="313" priority="41" operator="containsText" text="FIAT">
      <formula>NOT(ISERROR(SEARCH("FIAT",I24)))</formula>
    </cfRule>
    <cfRule type="containsText" dxfId="312" priority="42" operator="containsText" text="P1">
      <formula>NOT(ISERROR(SEARCH("P1",I24)))</formula>
    </cfRule>
    <cfRule type="containsText" dxfId="311" priority="43" operator="containsText" text="P3">
      <formula>NOT(ISERROR(SEARCH("P3",I24)))</formula>
    </cfRule>
    <cfRule type="containsText" dxfId="310" priority="44" operator="containsText" text="SALA">
      <formula>NOT(ISERROR(SEARCH("SALA",I24)))</formula>
    </cfRule>
    <cfRule type="containsText" dxfId="309" priority="45" operator="containsText" text="TENANCINGO">
      <formula>NOT(ISERROR(SEARCH("TENANCINGO",I24)))</formula>
    </cfRule>
    <cfRule type="containsText" dxfId="308" priority="46" operator="containsText" text="LERMA">
      <formula>NOT(ISERROR(SEARCH("LERMA",I24)))</formula>
    </cfRule>
  </conditionalFormatting>
  <conditionalFormatting sqref="D24:D29">
    <cfRule type="duplicateValues" dxfId="307" priority="35"/>
  </conditionalFormatting>
  <conditionalFormatting sqref="I24:I29">
    <cfRule type="containsText" dxfId="306" priority="33" operator="containsText" text="ENTREGADA">
      <formula>NOT(ISERROR(SEARCH("ENTREGADA",I24)))</formula>
    </cfRule>
    <cfRule type="containsText" dxfId="305" priority="34" operator="containsText" text="ENTREGADA">
      <formula>NOT(ISERROR(SEARCH("ENTREGADA",I24)))</formula>
    </cfRule>
  </conditionalFormatting>
  <conditionalFormatting sqref="AL24:AL29">
    <cfRule type="cellIs" dxfId="304" priority="31" operator="greaterThan">
      <formula>365</formula>
    </cfRule>
    <cfRule type="cellIs" dxfId="303" priority="32" operator="equal">
      <formula>365</formula>
    </cfRule>
  </conditionalFormatting>
  <conditionalFormatting sqref="D24:D29">
    <cfRule type="duplicateValues" dxfId="302" priority="30"/>
  </conditionalFormatting>
  <conditionalFormatting sqref="D30:D72">
    <cfRule type="duplicateValues" dxfId="301" priority="29"/>
  </conditionalFormatting>
  <conditionalFormatting sqref="I30:I72">
    <cfRule type="containsText" dxfId="300" priority="27" operator="containsText" text="ENTREGADA">
      <formula>NOT(ISERROR(SEARCH("ENTREGADA",I30)))</formula>
    </cfRule>
    <cfRule type="containsText" dxfId="299" priority="28" operator="containsText" text="ENTREGADA">
      <formula>NOT(ISERROR(SEARCH("ENTREGADA",I30)))</formula>
    </cfRule>
  </conditionalFormatting>
  <conditionalFormatting sqref="AL30:AL72">
    <cfRule type="cellIs" dxfId="298" priority="25" operator="greaterThan">
      <formula>365</formula>
    </cfRule>
    <cfRule type="cellIs" dxfId="297" priority="26" operator="equal">
      <formula>365</formula>
    </cfRule>
  </conditionalFormatting>
  <conditionalFormatting sqref="D30:D72">
    <cfRule type="duplicateValues" dxfId="296" priority="24"/>
  </conditionalFormatting>
  <conditionalFormatting sqref="D73:D75">
    <cfRule type="duplicateValues" dxfId="295" priority="23"/>
  </conditionalFormatting>
  <conditionalFormatting sqref="I73:I75">
    <cfRule type="containsText" dxfId="294" priority="21" operator="containsText" text="ENTREGADA">
      <formula>NOT(ISERROR(SEARCH("ENTREGADA",I73)))</formula>
    </cfRule>
    <cfRule type="containsText" dxfId="293" priority="22" operator="containsText" text="ENTREGADA">
      <formula>NOT(ISERROR(SEARCH("ENTREGADA",I73)))</formula>
    </cfRule>
  </conditionalFormatting>
  <conditionalFormatting sqref="AL73:AL75">
    <cfRule type="cellIs" dxfId="292" priority="19" operator="greaterThan">
      <formula>365</formula>
    </cfRule>
    <cfRule type="cellIs" dxfId="291" priority="20" operator="equal">
      <formula>365</formula>
    </cfRule>
  </conditionalFormatting>
  <conditionalFormatting sqref="D73:D75">
    <cfRule type="duplicateValues" dxfId="290" priority="18"/>
  </conditionalFormatting>
  <conditionalFormatting sqref="I76">
    <cfRule type="containsText" dxfId="289" priority="7" operator="containsText" text="BODY">
      <formula>NOT(ISERROR(SEARCH("BODY",I76)))</formula>
    </cfRule>
    <cfRule type="containsText" dxfId="288" priority="8" operator="containsText" text="ENTREGADA">
      <formula>NOT(ISERROR(SEARCH("ENTREGADA",I76)))</formula>
    </cfRule>
    <cfRule type="containsText" dxfId="287" priority="9" operator="containsText" text="ATLACOMULCO">
      <formula>NOT(ISERROR(SEARCH("ATLACOMULCO",I76)))</formula>
    </cfRule>
    <cfRule type="containsText" dxfId="286" priority="10" operator="containsText" text="MITSU">
      <formula>NOT(ISERROR(SEARCH("MITSU",I76)))</formula>
    </cfRule>
    <cfRule type="containsText" dxfId="285" priority="11" operator="containsText" text="ATLACOMULCO">
      <formula>NOT(ISERROR(SEARCH("ATLACOMULCO",I76)))</formula>
    </cfRule>
    <cfRule type="containsText" dxfId="284" priority="12" operator="containsText" text="FIAT">
      <formula>NOT(ISERROR(SEARCH("FIAT",I76)))</formula>
    </cfRule>
    <cfRule type="containsText" dxfId="283" priority="13" operator="containsText" text="P1">
      <formula>NOT(ISERROR(SEARCH("P1",I76)))</formula>
    </cfRule>
    <cfRule type="containsText" dxfId="282" priority="14" operator="containsText" text="P3">
      <formula>NOT(ISERROR(SEARCH("P3",I76)))</formula>
    </cfRule>
    <cfRule type="containsText" dxfId="281" priority="15" operator="containsText" text="SALA">
      <formula>NOT(ISERROR(SEARCH("SALA",I76)))</formula>
    </cfRule>
    <cfRule type="containsText" dxfId="280" priority="16" operator="containsText" text="TENANCINGO">
      <formula>NOT(ISERROR(SEARCH("TENANCINGO",I76)))</formula>
    </cfRule>
    <cfRule type="containsText" dxfId="279" priority="17" operator="containsText" text="LERMA">
      <formula>NOT(ISERROR(SEARCH("LERMA",I76)))</formula>
    </cfRule>
  </conditionalFormatting>
  <conditionalFormatting sqref="D76">
    <cfRule type="duplicateValues" dxfId="278" priority="6"/>
  </conditionalFormatting>
  <conditionalFormatting sqref="I76">
    <cfRule type="containsText" dxfId="277" priority="4" operator="containsText" text="ENTREGADA">
      <formula>NOT(ISERROR(SEARCH("ENTREGADA",I76)))</formula>
    </cfRule>
    <cfRule type="containsText" dxfId="276" priority="5" operator="containsText" text="ENTREGADA">
      <formula>NOT(ISERROR(SEARCH("ENTREGADA",I76)))</formula>
    </cfRule>
  </conditionalFormatting>
  <conditionalFormatting sqref="AL76">
    <cfRule type="cellIs" dxfId="275" priority="2" operator="greaterThan">
      <formula>365</formula>
    </cfRule>
    <cfRule type="cellIs" dxfId="274" priority="3" operator="equal">
      <formula>365</formula>
    </cfRule>
  </conditionalFormatting>
  <conditionalFormatting sqref="D76">
    <cfRule type="duplicateValues" dxfId="27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  <pageSetUpPr fitToPage="1"/>
  </sheetPr>
  <dimension ref="A1:AM36"/>
  <sheetViews>
    <sheetView zoomScaleNormal="100" workbookViewId="0">
      <pane ySplit="4" topLeftCell="A5" activePane="bottomLeft" state="frozen"/>
      <selection pane="bottomLeft" activeCell="S34" sqref="S34"/>
    </sheetView>
  </sheetViews>
  <sheetFormatPr baseColWidth="10" defaultRowHeight="12.75"/>
  <cols>
    <col min="1" max="1" width="10.28515625" style="172" customWidth="1"/>
    <col min="2" max="3" width="19.140625" style="172" customWidth="1"/>
    <col min="4" max="4" width="10.7109375" style="158" customWidth="1"/>
    <col min="5" max="5" width="15.5703125" style="173" customWidth="1"/>
    <col min="6" max="6" width="15.7109375" style="173" bestFit="1" customWidth="1"/>
    <col min="7" max="8" width="11.42578125" style="172" customWidth="1"/>
    <col min="9" max="9" width="11" style="281" customWidth="1"/>
    <col min="10" max="10" width="11.42578125" style="172" customWidth="1"/>
    <col min="11" max="11" width="11.42578125" style="171" customWidth="1"/>
    <col min="12" max="12" width="7" style="172" customWidth="1"/>
    <col min="13" max="13" width="6.7109375" style="172" customWidth="1"/>
    <col min="14" max="14" width="9.7109375" style="161" customWidth="1"/>
    <col min="15" max="15" width="14.42578125" style="173" bestFit="1" customWidth="1"/>
    <col min="16" max="16" width="14.140625" style="173" customWidth="1"/>
    <col min="17" max="17" width="9.42578125" style="172" customWidth="1"/>
    <col min="18" max="18" width="11" style="174" customWidth="1"/>
    <col min="19" max="19" width="16" style="172" customWidth="1"/>
    <col min="20" max="20" width="22.28515625" style="172" customWidth="1"/>
    <col min="21" max="22" width="11.42578125" style="172" customWidth="1"/>
    <col min="23" max="23" width="7" style="172" customWidth="1"/>
    <col min="24" max="24" width="12" style="172" bestFit="1" customWidth="1"/>
    <col min="25" max="25" width="13.140625" style="464" customWidth="1"/>
    <col min="26" max="26" width="13.28515625" style="173" customWidth="1"/>
    <col min="27" max="27" width="13.7109375" style="235" customWidth="1"/>
    <col min="28" max="30" width="11.42578125" style="172" customWidth="1"/>
    <col min="31" max="31" width="11.42578125" style="454" customWidth="1"/>
    <col min="32" max="32" width="11.42578125" style="172" customWidth="1"/>
    <col min="33" max="33" width="20.7109375" style="172" customWidth="1"/>
    <col min="34" max="34" width="11.42578125" style="172"/>
    <col min="35" max="35" width="12" style="172" bestFit="1" customWidth="1"/>
    <col min="36" max="36" width="11.5703125" style="172" bestFit="1" customWidth="1"/>
    <col min="37" max="16384" width="11.42578125" style="172"/>
  </cols>
  <sheetData>
    <row r="1" spans="1:39">
      <c r="A1" s="171">
        <f ca="1">TODAY()</f>
        <v>43745</v>
      </c>
      <c r="D1" s="234"/>
    </row>
    <row r="2" spans="1:39">
      <c r="A2" s="171">
        <f ca="1">TODAY()</f>
        <v>43745</v>
      </c>
      <c r="D2" s="234"/>
    </row>
    <row r="3" spans="1:39">
      <c r="A3" s="172" t="s">
        <v>49</v>
      </c>
      <c r="D3" s="234"/>
      <c r="J3" s="172" t="s">
        <v>0</v>
      </c>
      <c r="AI3" s="172" t="s">
        <v>1</v>
      </c>
    </row>
    <row r="4" spans="1:39" s="187" customFormat="1" ht="36.75" customHeight="1">
      <c r="A4" s="176" t="s">
        <v>2</v>
      </c>
      <c r="B4" s="177" t="s">
        <v>3</v>
      </c>
      <c r="C4" s="177" t="s">
        <v>4</v>
      </c>
      <c r="D4" s="177" t="s">
        <v>51</v>
      </c>
      <c r="E4" s="236" t="s">
        <v>5</v>
      </c>
      <c r="F4" s="236" t="s">
        <v>43</v>
      </c>
      <c r="G4" s="177" t="s">
        <v>6</v>
      </c>
      <c r="H4" s="177" t="s">
        <v>7</v>
      </c>
      <c r="I4" s="178" t="s">
        <v>8</v>
      </c>
      <c r="J4" s="178" t="s">
        <v>9</v>
      </c>
      <c r="K4" s="179" t="s">
        <v>10</v>
      </c>
      <c r="L4" s="178" t="s">
        <v>11</v>
      </c>
      <c r="M4" s="178" t="s">
        <v>12</v>
      </c>
      <c r="N4" s="180" t="s">
        <v>13</v>
      </c>
      <c r="O4" s="180" t="s">
        <v>14</v>
      </c>
      <c r="P4" s="180" t="s">
        <v>15</v>
      </c>
      <c r="Q4" s="178" t="s">
        <v>16</v>
      </c>
      <c r="R4" s="181" t="s">
        <v>17</v>
      </c>
      <c r="S4" s="182" t="s">
        <v>50</v>
      </c>
      <c r="T4" s="183" t="s">
        <v>18</v>
      </c>
      <c r="U4" s="184" t="s">
        <v>19</v>
      </c>
      <c r="V4" s="185" t="s">
        <v>20</v>
      </c>
      <c r="W4" s="186" t="s">
        <v>21</v>
      </c>
      <c r="X4" s="185" t="s">
        <v>22</v>
      </c>
      <c r="Y4" s="465" t="s">
        <v>23</v>
      </c>
      <c r="Z4" s="237" t="s">
        <v>24</v>
      </c>
      <c r="AA4" s="237" t="s">
        <v>25</v>
      </c>
      <c r="AB4" s="184" t="s">
        <v>46</v>
      </c>
      <c r="AC4" s="186" t="s">
        <v>26</v>
      </c>
      <c r="AD4" s="185" t="s">
        <v>27</v>
      </c>
      <c r="AE4" s="455" t="s">
        <v>28</v>
      </c>
      <c r="AF4" s="184" t="s">
        <v>42</v>
      </c>
      <c r="AG4" s="184" t="s">
        <v>47</v>
      </c>
      <c r="AH4" s="184" t="s">
        <v>29</v>
      </c>
      <c r="AI4" s="237"/>
      <c r="AJ4" s="184" t="s">
        <v>30</v>
      </c>
    </row>
    <row r="5" spans="1:39" s="165" customFormat="1" ht="18.75">
      <c r="B5" s="453" t="s">
        <v>322</v>
      </c>
      <c r="D5" s="170"/>
      <c r="E5" s="238"/>
      <c r="F5" s="238"/>
      <c r="I5" s="281"/>
      <c r="K5" s="188"/>
      <c r="N5" s="450"/>
      <c r="O5" s="238"/>
      <c r="P5" s="238"/>
      <c r="R5" s="452"/>
      <c r="Y5" s="466"/>
      <c r="Z5" s="238"/>
      <c r="AA5" s="451"/>
      <c r="AE5" s="163"/>
    </row>
    <row r="6" spans="1:39" s="554" customFormat="1" ht="12">
      <c r="A6" s="557">
        <v>43322</v>
      </c>
      <c r="B6" s="554" t="s">
        <v>257</v>
      </c>
      <c r="C6" s="554" t="s">
        <v>256</v>
      </c>
      <c r="D6" s="555" t="s">
        <v>326</v>
      </c>
      <c r="E6" s="556">
        <v>259638.16</v>
      </c>
      <c r="F6" s="556">
        <v>220692.43599999999</v>
      </c>
      <c r="G6" s="554" t="s">
        <v>158</v>
      </c>
      <c r="H6" s="554" t="s">
        <v>212</v>
      </c>
      <c r="I6" s="281" t="s">
        <v>32</v>
      </c>
      <c r="J6" s="554" t="s">
        <v>132</v>
      </c>
      <c r="K6" s="557">
        <v>43474</v>
      </c>
      <c r="L6" s="554">
        <v>58</v>
      </c>
      <c r="M6" s="554">
        <v>7</v>
      </c>
      <c r="N6" s="558">
        <v>9.8699999999999996E-2</v>
      </c>
      <c r="O6" s="556">
        <v>423.54556675666657</v>
      </c>
      <c r="P6" s="556">
        <v>221115.98156675664</v>
      </c>
      <c r="Q6" s="554" t="e">
        <v>#N/A</v>
      </c>
      <c r="R6" s="559">
        <v>43480</v>
      </c>
      <c r="U6" s="554" t="s">
        <v>52</v>
      </c>
      <c r="Y6" s="560"/>
      <c r="Z6" s="556"/>
      <c r="AA6" s="561">
        <v>0</v>
      </c>
      <c r="AD6" s="557"/>
      <c r="AE6" s="562"/>
      <c r="AG6" s="554" t="s">
        <v>82</v>
      </c>
      <c r="AH6" s="554" t="s">
        <v>221</v>
      </c>
    </row>
    <row r="7" spans="1:39" ht="18.75">
      <c r="B7" s="467" t="s">
        <v>653</v>
      </c>
    </row>
    <row r="8" spans="1:39" s="548" customFormat="1" ht="12">
      <c r="A8" s="548" t="s">
        <v>471</v>
      </c>
      <c r="B8" s="548" t="s">
        <v>72</v>
      </c>
      <c r="C8" s="548" t="s">
        <v>478</v>
      </c>
      <c r="D8" s="547" t="s">
        <v>689</v>
      </c>
      <c r="E8" s="563">
        <v>212253.32</v>
      </c>
      <c r="F8" s="563">
        <v>212253.32</v>
      </c>
      <c r="G8" s="548" t="s">
        <v>158</v>
      </c>
      <c r="H8" s="548" t="s">
        <v>33</v>
      </c>
      <c r="I8" s="281" t="s">
        <v>80</v>
      </c>
      <c r="J8" s="548" t="s">
        <v>131</v>
      </c>
      <c r="K8" s="564">
        <v>43664</v>
      </c>
      <c r="L8" s="548">
        <v>120</v>
      </c>
      <c r="M8" s="548">
        <v>14</v>
      </c>
      <c r="N8" s="565">
        <v>9.7000000000000003E-2</v>
      </c>
      <c r="O8" s="563">
        <v>800.66669044444461</v>
      </c>
      <c r="P8" s="563">
        <v>213053.98669044446</v>
      </c>
      <c r="R8" s="566">
        <v>43677</v>
      </c>
      <c r="S8" s="548" t="s">
        <v>755</v>
      </c>
      <c r="T8" s="548" t="s">
        <v>756</v>
      </c>
      <c r="U8" s="548" t="s">
        <v>37</v>
      </c>
      <c r="V8" s="548" t="s">
        <v>753</v>
      </c>
      <c r="Y8" s="567">
        <v>209900</v>
      </c>
      <c r="Z8" s="563">
        <v>43000</v>
      </c>
      <c r="AA8" s="568">
        <v>166900</v>
      </c>
      <c r="AB8" s="548" t="s">
        <v>203</v>
      </c>
      <c r="AC8" s="548" t="s">
        <v>757</v>
      </c>
      <c r="AD8" s="548">
        <v>43676</v>
      </c>
      <c r="AE8" s="569"/>
      <c r="AF8" s="548" t="s">
        <v>187</v>
      </c>
      <c r="AG8" s="548" t="s">
        <v>82</v>
      </c>
      <c r="AI8" s="548" t="s">
        <v>362</v>
      </c>
      <c r="AL8" s="548">
        <v>64</v>
      </c>
    </row>
    <row r="9" spans="1:39" ht="18.75">
      <c r="B9" s="467" t="s">
        <v>794</v>
      </c>
    </row>
    <row r="10" spans="1:39" s="270" customFormat="1" ht="12" customHeight="1">
      <c r="A10" s="283">
        <v>43453</v>
      </c>
      <c r="B10" s="304" t="s">
        <v>125</v>
      </c>
      <c r="C10" s="304" t="s">
        <v>315</v>
      </c>
      <c r="D10" s="260" t="str">
        <f>+RIGHT(C10,8)</f>
        <v>K0853178</v>
      </c>
      <c r="E10" s="279">
        <v>211840.36</v>
      </c>
      <c r="F10" s="459">
        <f>211840.36*0.85</f>
        <v>180064.30599999998</v>
      </c>
      <c r="G10" s="280" t="s">
        <v>158</v>
      </c>
      <c r="H10" s="322" t="s">
        <v>212</v>
      </c>
      <c r="I10" s="281" t="s">
        <v>56</v>
      </c>
      <c r="J10" s="299" t="s">
        <v>132</v>
      </c>
      <c r="K10" s="282">
        <v>43629</v>
      </c>
      <c r="L10" s="334">
        <v>60</v>
      </c>
      <c r="M10" s="278">
        <f ca="1">$A$1-K10</f>
        <v>116</v>
      </c>
      <c r="N10" s="285">
        <v>9.7600000000000006E-2</v>
      </c>
      <c r="O10" s="324">
        <f ca="1">F10*N10/360*M10</f>
        <v>5662.8223522488879</v>
      </c>
      <c r="P10" s="286">
        <f ca="1">O10+F10</f>
        <v>185727.12835224887</v>
      </c>
      <c r="Q10" s="287"/>
      <c r="R10" s="332">
        <v>43689</v>
      </c>
      <c r="S10" s="289"/>
      <c r="T10" s="289"/>
      <c r="U10" s="294" t="s">
        <v>52</v>
      </c>
      <c r="V10" s="500"/>
      <c r="W10" s="290"/>
      <c r="X10" s="290"/>
      <c r="Y10" s="291"/>
      <c r="Z10" s="292"/>
      <c r="AA10" s="293">
        <f>+Y10-Z10</f>
        <v>0</v>
      </c>
      <c r="AB10" s="294"/>
      <c r="AC10" s="294"/>
      <c r="AD10" s="295"/>
      <c r="AE10" s="296"/>
      <c r="AF10" s="289"/>
      <c r="AG10" s="294" t="s">
        <v>834</v>
      </c>
      <c r="AH10" s="478"/>
      <c r="AI10" s="294" t="s">
        <v>362</v>
      </c>
      <c r="AJ10" s="278"/>
      <c r="AK10" s="328"/>
      <c r="AL10" s="299">
        <f ca="1">$A$1-A10</f>
        <v>292</v>
      </c>
      <c r="AM10" s="278"/>
    </row>
    <row r="11" spans="1:39" ht="18.75">
      <c r="B11" s="467" t="s">
        <v>1402</v>
      </c>
    </row>
    <row r="12" spans="1:39" s="300" customFormat="1" ht="12" customHeight="1">
      <c r="A12" s="278" t="s">
        <v>357</v>
      </c>
      <c r="B12" s="278" t="s">
        <v>169</v>
      </c>
      <c r="C12" s="278" t="s">
        <v>359</v>
      </c>
      <c r="D12" s="260" t="str">
        <f>+RIGHT(C12,8)</f>
        <v>KT730534</v>
      </c>
      <c r="E12" s="279">
        <v>521885.16</v>
      </c>
      <c r="F12" s="459">
        <f>521885.16*0.85</f>
        <v>443602.38599999994</v>
      </c>
      <c r="G12" s="280" t="s">
        <v>158</v>
      </c>
      <c r="H12" s="322" t="s">
        <v>1002</v>
      </c>
      <c r="I12" s="281" t="s">
        <v>69</v>
      </c>
      <c r="J12" s="299" t="s">
        <v>131</v>
      </c>
      <c r="K12" s="282">
        <v>43679</v>
      </c>
      <c r="L12" s="323">
        <v>60</v>
      </c>
      <c r="M12" s="603">
        <f ca="1">$A$1-K12</f>
        <v>66</v>
      </c>
      <c r="N12" s="285">
        <v>9.6600000000000005E-2</v>
      </c>
      <c r="O12" s="324">
        <f ca="1">F12*N12/360*M12</f>
        <v>7856.1982560599999</v>
      </c>
      <c r="P12" s="286">
        <f ca="1">O12+F12</f>
        <v>451458.58425605996</v>
      </c>
      <c r="Q12" s="287"/>
      <c r="R12" s="332">
        <v>43739</v>
      </c>
      <c r="S12" s="287"/>
      <c r="T12" s="287"/>
      <c r="U12" s="287" t="s">
        <v>52</v>
      </c>
      <c r="V12" s="502"/>
      <c r="W12" s="290"/>
      <c r="X12" s="290"/>
      <c r="Y12" s="326"/>
      <c r="Z12" s="292"/>
      <c r="AA12" s="293">
        <f>+Y12-Z12</f>
        <v>0</v>
      </c>
      <c r="AB12" s="294"/>
      <c r="AC12" s="294"/>
      <c r="AD12" s="295"/>
      <c r="AE12" s="296"/>
      <c r="AF12" s="287"/>
      <c r="AG12" s="294" t="s">
        <v>1369</v>
      </c>
      <c r="AH12" s="478"/>
      <c r="AI12" s="294" t="s">
        <v>362</v>
      </c>
      <c r="AJ12" s="278"/>
      <c r="AK12" s="331"/>
      <c r="AL12" s="588">
        <f ca="1">+$A$1-A12</f>
        <v>221</v>
      </c>
    </row>
    <row r="13" spans="1:39" s="300" customFormat="1" ht="12" customHeight="1">
      <c r="A13" s="278" t="s">
        <v>360</v>
      </c>
      <c r="B13" s="278" t="s">
        <v>169</v>
      </c>
      <c r="C13" s="278" t="s">
        <v>361</v>
      </c>
      <c r="D13" s="260" t="str">
        <f>+RIGHT(C13,8)</f>
        <v>KT730535</v>
      </c>
      <c r="E13" s="279">
        <v>521885.16</v>
      </c>
      <c r="F13" s="459">
        <f>521885.16*0.85</f>
        <v>443602.38599999994</v>
      </c>
      <c r="G13" s="280" t="s">
        <v>158</v>
      </c>
      <c r="H13" s="322" t="s">
        <v>1002</v>
      </c>
      <c r="I13" s="281" t="s">
        <v>44</v>
      </c>
      <c r="J13" s="299" t="s">
        <v>131</v>
      </c>
      <c r="K13" s="282">
        <v>43679</v>
      </c>
      <c r="L13" s="323">
        <v>60</v>
      </c>
      <c r="M13" s="603">
        <f ca="1">$A$1-K13</f>
        <v>66</v>
      </c>
      <c r="N13" s="285">
        <v>9.6600000000000005E-2</v>
      </c>
      <c r="O13" s="324">
        <f ca="1">F13*N13/360*M13</f>
        <v>7856.1982560599999</v>
      </c>
      <c r="P13" s="286">
        <f ca="1">O13+F13</f>
        <v>451458.58425605996</v>
      </c>
      <c r="Q13" s="287"/>
      <c r="R13" s="332">
        <v>43739</v>
      </c>
      <c r="S13" s="287"/>
      <c r="T13" s="287"/>
      <c r="U13" s="287" t="s">
        <v>52</v>
      </c>
      <c r="V13" s="502"/>
      <c r="W13" s="290"/>
      <c r="X13" s="290"/>
      <c r="Y13" s="326"/>
      <c r="Z13" s="292"/>
      <c r="AA13" s="293">
        <f>+Y13-Z13</f>
        <v>0</v>
      </c>
      <c r="AB13" s="294"/>
      <c r="AC13" s="294"/>
      <c r="AD13" s="295"/>
      <c r="AE13" s="296"/>
      <c r="AF13" s="287"/>
      <c r="AG13" s="294" t="s">
        <v>1369</v>
      </c>
      <c r="AH13" s="478"/>
      <c r="AI13" s="294" t="s">
        <v>362</v>
      </c>
      <c r="AJ13" s="278"/>
      <c r="AK13" s="331"/>
      <c r="AL13" s="588">
        <f ca="1">+$A$1-A13</f>
        <v>219</v>
      </c>
    </row>
    <row r="14" spans="1:39" s="300" customFormat="1" ht="12" customHeight="1">
      <c r="A14" s="278" t="s">
        <v>364</v>
      </c>
      <c r="B14" s="278" t="s">
        <v>192</v>
      </c>
      <c r="C14" s="278" t="s">
        <v>365</v>
      </c>
      <c r="D14" s="260" t="str">
        <f>+RIGHT(C14,8)</f>
        <v>KC691397</v>
      </c>
      <c r="E14" s="279">
        <v>771239.92</v>
      </c>
      <c r="F14" s="459">
        <f>771239.92*0.85</f>
        <v>655553.93200000003</v>
      </c>
      <c r="G14" s="280" t="s">
        <v>158</v>
      </c>
      <c r="H14" s="322" t="s">
        <v>1002</v>
      </c>
      <c r="I14" s="281" t="s">
        <v>80</v>
      </c>
      <c r="J14" s="299" t="s">
        <v>131</v>
      </c>
      <c r="K14" s="282">
        <v>43679</v>
      </c>
      <c r="L14" s="323">
        <v>60</v>
      </c>
      <c r="M14" s="603">
        <f ca="1">$A$1-K14</f>
        <v>66</v>
      </c>
      <c r="N14" s="285">
        <v>9.6600000000000005E-2</v>
      </c>
      <c r="O14" s="324">
        <f ca="1">F14*N14/360*M14</f>
        <v>11609.86013572</v>
      </c>
      <c r="P14" s="286">
        <f ca="1">O14+F14</f>
        <v>667163.79213572002</v>
      </c>
      <c r="Q14" s="287"/>
      <c r="R14" s="332">
        <v>43739</v>
      </c>
      <c r="S14" s="287"/>
      <c r="T14" s="287"/>
      <c r="U14" s="287" t="s">
        <v>52</v>
      </c>
      <c r="V14" s="502"/>
      <c r="W14" s="290"/>
      <c r="X14" s="290"/>
      <c r="Y14" s="326"/>
      <c r="Z14" s="292"/>
      <c r="AA14" s="293">
        <f>+Y14-Z14</f>
        <v>0</v>
      </c>
      <c r="AB14" s="294"/>
      <c r="AC14" s="294"/>
      <c r="AD14" s="295"/>
      <c r="AE14" s="296"/>
      <c r="AF14" s="287"/>
      <c r="AG14" s="294" t="s">
        <v>1369</v>
      </c>
      <c r="AH14" s="478"/>
      <c r="AI14" s="294" t="s">
        <v>362</v>
      </c>
      <c r="AJ14" s="278"/>
      <c r="AK14" s="331"/>
      <c r="AL14" s="588">
        <f ca="1">+$A$1-A14</f>
        <v>210</v>
      </c>
    </row>
    <row r="15" spans="1:39" s="300" customFormat="1" ht="12" customHeight="1">
      <c r="A15" s="278" t="s">
        <v>366</v>
      </c>
      <c r="B15" s="278" t="s">
        <v>71</v>
      </c>
      <c r="C15" s="278" t="s">
        <v>367</v>
      </c>
      <c r="D15" s="260" t="str">
        <f t="shared" ref="D15:D36" si="0">+RIGHT(C15,8)</f>
        <v>KH003382</v>
      </c>
      <c r="E15" s="279">
        <v>191462.64</v>
      </c>
      <c r="F15" s="459">
        <f>191462.64*0.85</f>
        <v>162743.24400000001</v>
      </c>
      <c r="G15" s="280" t="s">
        <v>158</v>
      </c>
      <c r="H15" s="322" t="s">
        <v>1002</v>
      </c>
      <c r="I15" s="281" t="s">
        <v>39</v>
      </c>
      <c r="J15" s="299" t="s">
        <v>131</v>
      </c>
      <c r="K15" s="282">
        <v>43698</v>
      </c>
      <c r="L15" s="323">
        <v>58</v>
      </c>
      <c r="M15" s="278">
        <f t="shared" ref="M15:M36" ca="1" si="1">$A$1-K15</f>
        <v>47</v>
      </c>
      <c r="N15" s="285">
        <v>9.4E-2</v>
      </c>
      <c r="O15" s="324">
        <f t="shared" ref="O15:O36" ca="1" si="2">F15*N15/360*M15</f>
        <v>1997.2212555333331</v>
      </c>
      <c r="P15" s="286">
        <f t="shared" ref="P15:P36" ca="1" si="3">O15+F15</f>
        <v>164740.46525553335</v>
      </c>
      <c r="Q15" s="287"/>
      <c r="R15" s="332">
        <v>43741</v>
      </c>
      <c r="S15" s="287" t="s">
        <v>1123</v>
      </c>
      <c r="T15" s="287" t="s">
        <v>1124</v>
      </c>
      <c r="U15" s="287" t="s">
        <v>37</v>
      </c>
      <c r="V15" s="502">
        <v>43731</v>
      </c>
      <c r="W15" s="290"/>
      <c r="X15" s="290"/>
      <c r="Y15" s="326">
        <v>184900</v>
      </c>
      <c r="Z15" s="292">
        <f>71000+12641.87</f>
        <v>83641.87</v>
      </c>
      <c r="AA15" s="293">
        <f t="shared" ref="AA15:AA36" si="4">+Y15-Z15</f>
        <v>101258.13</v>
      </c>
      <c r="AB15" s="294" t="s">
        <v>203</v>
      </c>
      <c r="AC15" s="294" t="s">
        <v>1128</v>
      </c>
      <c r="AD15" s="295" t="s">
        <v>1129</v>
      </c>
      <c r="AE15" s="296">
        <v>43736</v>
      </c>
      <c r="AF15" s="287" t="s">
        <v>187</v>
      </c>
      <c r="AG15" s="294" t="s">
        <v>996</v>
      </c>
      <c r="AH15" s="478"/>
      <c r="AI15" s="294" t="s">
        <v>362</v>
      </c>
      <c r="AJ15" s="278"/>
      <c r="AK15" s="331"/>
      <c r="AL15" s="588">
        <f ca="1">+$A$1-A15</f>
        <v>208</v>
      </c>
    </row>
    <row r="16" spans="1:39" s="300" customFormat="1" ht="12" customHeight="1">
      <c r="A16" s="278" t="s">
        <v>366</v>
      </c>
      <c r="B16" s="278" t="s">
        <v>71</v>
      </c>
      <c r="C16" s="278" t="s">
        <v>368</v>
      </c>
      <c r="D16" s="260" t="str">
        <f t="shared" si="0"/>
        <v>KH003906</v>
      </c>
      <c r="E16" s="279">
        <v>191462.64</v>
      </c>
      <c r="F16" s="459">
        <f>191462.64*0.85</f>
        <v>162743.24400000001</v>
      </c>
      <c r="G16" s="280" t="s">
        <v>158</v>
      </c>
      <c r="H16" s="322" t="s">
        <v>1002</v>
      </c>
      <c r="I16" s="281" t="s">
        <v>55</v>
      </c>
      <c r="J16" s="299" t="s">
        <v>131</v>
      </c>
      <c r="K16" s="282">
        <v>43698</v>
      </c>
      <c r="L16" s="323">
        <v>58</v>
      </c>
      <c r="M16" s="278">
        <f t="shared" ca="1" si="1"/>
        <v>47</v>
      </c>
      <c r="N16" s="285">
        <v>9.4E-2</v>
      </c>
      <c r="O16" s="324">
        <f t="shared" ca="1" si="2"/>
        <v>1997.2212555333331</v>
      </c>
      <c r="P16" s="286">
        <f t="shared" ca="1" si="3"/>
        <v>164740.46525553335</v>
      </c>
      <c r="Q16" s="287"/>
      <c r="R16" s="332">
        <v>43741</v>
      </c>
      <c r="S16" s="287" t="s">
        <v>1347</v>
      </c>
      <c r="T16" s="287" t="s">
        <v>1348</v>
      </c>
      <c r="U16" s="287" t="s">
        <v>40</v>
      </c>
      <c r="V16" s="502">
        <v>43738</v>
      </c>
      <c r="W16" s="290"/>
      <c r="X16" s="290"/>
      <c r="Y16" s="326">
        <v>183400</v>
      </c>
      <c r="Z16" s="292">
        <f>49104.36+133795.64</f>
        <v>182900</v>
      </c>
      <c r="AA16" s="293">
        <f t="shared" si="4"/>
        <v>500</v>
      </c>
      <c r="AB16" s="294" t="s">
        <v>197</v>
      </c>
      <c r="AC16" s="294" t="s">
        <v>1432</v>
      </c>
      <c r="AD16" s="295" t="s">
        <v>1433</v>
      </c>
      <c r="AE16" s="296"/>
      <c r="AF16" s="287" t="s">
        <v>187</v>
      </c>
      <c r="AG16" s="294" t="s">
        <v>82</v>
      </c>
      <c r="AH16" s="478"/>
      <c r="AI16" s="294" t="s">
        <v>362</v>
      </c>
      <c r="AJ16" s="278"/>
      <c r="AK16" s="331"/>
      <c r="AL16" s="588">
        <f ca="1">+$A$1-A16</f>
        <v>208</v>
      </c>
    </row>
    <row r="17" spans="1:38" s="300" customFormat="1" ht="12" customHeight="1">
      <c r="A17" s="301">
        <v>43517</v>
      </c>
      <c r="B17" s="278" t="s">
        <v>408</v>
      </c>
      <c r="C17" s="278" t="s">
        <v>355</v>
      </c>
      <c r="D17" s="260" t="str">
        <f t="shared" si="0"/>
        <v>KC673646</v>
      </c>
      <c r="E17" s="279">
        <v>709341.16</v>
      </c>
      <c r="F17" s="279">
        <v>709341.16</v>
      </c>
      <c r="G17" s="280" t="s">
        <v>158</v>
      </c>
      <c r="H17" s="278" t="s">
        <v>33</v>
      </c>
      <c r="I17" s="281" t="s">
        <v>39</v>
      </c>
      <c r="J17" s="299" t="s">
        <v>131</v>
      </c>
      <c r="K17" s="282">
        <v>43635</v>
      </c>
      <c r="L17" s="334">
        <v>120</v>
      </c>
      <c r="M17" s="278">
        <f t="shared" ca="1" si="1"/>
        <v>110</v>
      </c>
      <c r="N17" s="285">
        <v>9.7699999999999995E-2</v>
      </c>
      <c r="O17" s="324">
        <f t="shared" ca="1" si="2"/>
        <v>21175.80401811111</v>
      </c>
      <c r="P17" s="286">
        <f t="shared" ca="1" si="3"/>
        <v>730516.96401811112</v>
      </c>
      <c r="Q17" s="287"/>
      <c r="R17" s="332">
        <v>43741</v>
      </c>
      <c r="S17" s="287" t="s">
        <v>976</v>
      </c>
      <c r="T17" s="287" t="s">
        <v>977</v>
      </c>
      <c r="U17" s="299" t="s">
        <v>978</v>
      </c>
      <c r="V17" s="502">
        <v>43708</v>
      </c>
      <c r="W17" s="290"/>
      <c r="X17" s="290"/>
      <c r="Y17" s="326">
        <v>790453</v>
      </c>
      <c r="Z17" s="292">
        <f>100+100000+14000+200000</f>
        <v>314100</v>
      </c>
      <c r="AA17" s="293">
        <f t="shared" si="4"/>
        <v>476353</v>
      </c>
      <c r="AB17" s="294" t="s">
        <v>203</v>
      </c>
      <c r="AC17" s="294" t="s">
        <v>1013</v>
      </c>
      <c r="AD17" s="295" t="s">
        <v>1014</v>
      </c>
      <c r="AE17" s="296">
        <v>43734</v>
      </c>
      <c r="AF17" s="287" t="s">
        <v>45</v>
      </c>
      <c r="AG17" s="294" t="s">
        <v>996</v>
      </c>
      <c r="AH17" s="478"/>
      <c r="AI17" s="294" t="s">
        <v>362</v>
      </c>
      <c r="AJ17" s="278"/>
      <c r="AK17" s="328"/>
      <c r="AL17" s="588">
        <f t="shared" ref="AL17:AL19" ca="1" si="5">+$A$1-A17</f>
        <v>228</v>
      </c>
    </row>
    <row r="18" spans="1:38" s="300" customFormat="1" ht="12" customHeight="1">
      <c r="A18" s="278" t="s">
        <v>657</v>
      </c>
      <c r="B18" s="278" t="s">
        <v>213</v>
      </c>
      <c r="C18" s="278" t="s">
        <v>659</v>
      </c>
      <c r="D18" s="260" t="str">
        <f t="shared" si="0"/>
        <v>KT835333</v>
      </c>
      <c r="E18" s="279">
        <v>388876.08</v>
      </c>
      <c r="F18" s="279">
        <v>388876.08</v>
      </c>
      <c r="G18" s="280" t="s">
        <v>158</v>
      </c>
      <c r="H18" s="278" t="s">
        <v>33</v>
      </c>
      <c r="I18" s="281" t="s">
        <v>39</v>
      </c>
      <c r="J18" s="299" t="s">
        <v>131</v>
      </c>
      <c r="K18" s="282">
        <v>43684</v>
      </c>
      <c r="L18" s="334">
        <v>120</v>
      </c>
      <c r="M18" s="278">
        <f t="shared" ca="1" si="1"/>
        <v>61</v>
      </c>
      <c r="N18" s="285">
        <v>9.64E-2</v>
      </c>
      <c r="O18" s="324">
        <f t="shared" ca="1" si="2"/>
        <v>6352.0747245333332</v>
      </c>
      <c r="P18" s="286">
        <f t="shared" ca="1" si="3"/>
        <v>395228.15472453332</v>
      </c>
      <c r="Q18" s="287"/>
      <c r="R18" s="332">
        <v>43741</v>
      </c>
      <c r="S18" s="287" t="s">
        <v>1322</v>
      </c>
      <c r="T18" s="287" t="s">
        <v>973</v>
      </c>
      <c r="U18" s="287" t="s">
        <v>37</v>
      </c>
      <c r="V18" s="502">
        <v>43708</v>
      </c>
      <c r="W18" s="290"/>
      <c r="X18" s="290"/>
      <c r="Y18" s="326">
        <v>399900</v>
      </c>
      <c r="Z18" s="292">
        <f>10000+43953.12</f>
        <v>53953.120000000003</v>
      </c>
      <c r="AA18" s="293">
        <f t="shared" si="4"/>
        <v>345946.88</v>
      </c>
      <c r="AB18" s="294" t="s">
        <v>203</v>
      </c>
      <c r="AC18" s="294" t="s">
        <v>1095</v>
      </c>
      <c r="AD18" s="295" t="s">
        <v>1096</v>
      </c>
      <c r="AE18" s="296"/>
      <c r="AF18" s="287" t="s">
        <v>180</v>
      </c>
      <c r="AG18" s="294" t="s">
        <v>996</v>
      </c>
      <c r="AH18" s="478"/>
      <c r="AI18" s="378" t="s">
        <v>221</v>
      </c>
      <c r="AJ18" s="278"/>
      <c r="AK18" s="328"/>
      <c r="AL18" s="588">
        <f t="shared" ca="1" si="5"/>
        <v>91</v>
      </c>
    </row>
    <row r="19" spans="1:38" s="300" customFormat="1" ht="12" customHeight="1">
      <c r="A19" s="278" t="s">
        <v>671</v>
      </c>
      <c r="B19" s="278" t="s">
        <v>74</v>
      </c>
      <c r="C19" s="278" t="s">
        <v>674</v>
      </c>
      <c r="D19" s="260" t="str">
        <f t="shared" si="0"/>
        <v>KH009861</v>
      </c>
      <c r="E19" s="279">
        <v>223101.64</v>
      </c>
      <c r="F19" s="279">
        <v>223101.64</v>
      </c>
      <c r="G19" s="280" t="s">
        <v>158</v>
      </c>
      <c r="H19" s="278" t="s">
        <v>33</v>
      </c>
      <c r="I19" s="281" t="s">
        <v>79</v>
      </c>
      <c r="J19" s="299" t="s">
        <v>131</v>
      </c>
      <c r="K19" s="282">
        <v>43689</v>
      </c>
      <c r="L19" s="334">
        <v>120</v>
      </c>
      <c r="M19" s="278">
        <f t="shared" ca="1" si="1"/>
        <v>56</v>
      </c>
      <c r="N19" s="285">
        <v>9.6500000000000002E-2</v>
      </c>
      <c r="O19" s="324">
        <f t="shared" ca="1" si="2"/>
        <v>3349.0035071111115</v>
      </c>
      <c r="P19" s="286">
        <f t="shared" ca="1" si="3"/>
        <v>226450.64350711112</v>
      </c>
      <c r="Q19" s="287"/>
      <c r="R19" s="332">
        <v>43741</v>
      </c>
      <c r="S19" s="287" t="s">
        <v>1195</v>
      </c>
      <c r="T19" s="287" t="s">
        <v>453</v>
      </c>
      <c r="U19" s="299" t="s">
        <v>34</v>
      </c>
      <c r="V19" s="502" t="s">
        <v>1196</v>
      </c>
      <c r="W19" s="290"/>
      <c r="X19" s="290"/>
      <c r="Y19" s="326">
        <v>226326.49</v>
      </c>
      <c r="Z19" s="326">
        <v>226326.49</v>
      </c>
      <c r="AA19" s="293">
        <f t="shared" si="4"/>
        <v>0</v>
      </c>
      <c r="AB19" s="294" t="s">
        <v>197</v>
      </c>
      <c r="AC19" s="294" t="s">
        <v>1230</v>
      </c>
      <c r="AD19" s="295">
        <v>43735</v>
      </c>
      <c r="AE19" s="296">
        <v>43735</v>
      </c>
      <c r="AF19" s="287" t="s">
        <v>261</v>
      </c>
      <c r="AG19" s="294" t="s">
        <v>82</v>
      </c>
      <c r="AH19" s="478"/>
      <c r="AI19" s="378" t="s">
        <v>221</v>
      </c>
      <c r="AJ19" s="278"/>
      <c r="AK19" s="328"/>
      <c r="AL19" s="588">
        <f t="shared" ca="1" si="5"/>
        <v>84</v>
      </c>
    </row>
    <row r="20" spans="1:38" s="300" customFormat="1" ht="12" customHeight="1">
      <c r="A20" s="278" t="s">
        <v>678</v>
      </c>
      <c r="B20" s="278" t="s">
        <v>74</v>
      </c>
      <c r="C20" s="278" t="s">
        <v>682</v>
      </c>
      <c r="D20" s="260" t="str">
        <f t="shared" si="0"/>
        <v>KH009784</v>
      </c>
      <c r="E20" s="279">
        <v>223101.64</v>
      </c>
      <c r="F20" s="279">
        <v>223101.64</v>
      </c>
      <c r="G20" s="280" t="s">
        <v>158</v>
      </c>
      <c r="H20" s="278" t="s">
        <v>33</v>
      </c>
      <c r="I20" s="281" t="s">
        <v>39</v>
      </c>
      <c r="J20" s="299" t="s">
        <v>131</v>
      </c>
      <c r="K20" s="282">
        <v>43689</v>
      </c>
      <c r="L20" s="334">
        <v>120</v>
      </c>
      <c r="M20" s="278">
        <f t="shared" ca="1" si="1"/>
        <v>56</v>
      </c>
      <c r="N20" s="285">
        <v>9.6500000000000002E-2</v>
      </c>
      <c r="O20" s="324">
        <f t="shared" ca="1" si="2"/>
        <v>3349.0035071111115</v>
      </c>
      <c r="P20" s="286">
        <f t="shared" ca="1" si="3"/>
        <v>226450.64350711112</v>
      </c>
      <c r="Q20" s="287"/>
      <c r="R20" s="332">
        <v>43741</v>
      </c>
      <c r="S20" s="287" t="s">
        <v>1153</v>
      </c>
      <c r="T20" s="287" t="s">
        <v>1154</v>
      </c>
      <c r="U20" s="299" t="s">
        <v>37</v>
      </c>
      <c r="V20" s="502">
        <v>43734</v>
      </c>
      <c r="W20" s="290"/>
      <c r="X20" s="290"/>
      <c r="Y20" s="326">
        <v>226900</v>
      </c>
      <c r="Z20" s="292">
        <v>181520</v>
      </c>
      <c r="AA20" s="293">
        <f t="shared" si="4"/>
        <v>45380</v>
      </c>
      <c r="AB20" s="294" t="s">
        <v>203</v>
      </c>
      <c r="AC20" s="294" t="s">
        <v>1164</v>
      </c>
      <c r="AD20" s="295">
        <v>43734</v>
      </c>
      <c r="AE20" s="296">
        <v>43736</v>
      </c>
      <c r="AF20" s="287" t="s">
        <v>1030</v>
      </c>
      <c r="AG20" s="294" t="s">
        <v>996</v>
      </c>
      <c r="AH20" s="478"/>
      <c r="AI20" s="378" t="s">
        <v>221</v>
      </c>
      <c r="AJ20" s="278"/>
      <c r="AK20" s="328"/>
      <c r="AL20" s="588">
        <f ca="1">+$A$1-A20</f>
        <v>83</v>
      </c>
    </row>
    <row r="21" spans="1:38" s="300" customFormat="1" ht="12" customHeight="1">
      <c r="A21" s="278" t="s">
        <v>802</v>
      </c>
      <c r="B21" s="278" t="s">
        <v>335</v>
      </c>
      <c r="C21" s="278" t="s">
        <v>803</v>
      </c>
      <c r="D21" s="260" t="str">
        <f t="shared" si="0"/>
        <v>KW674024</v>
      </c>
      <c r="E21" s="279">
        <v>731038.96</v>
      </c>
      <c r="F21" s="279">
        <v>731038.96</v>
      </c>
      <c r="G21" s="280" t="s">
        <v>158</v>
      </c>
      <c r="H21" s="278" t="s">
        <v>33</v>
      </c>
      <c r="I21" s="281" t="s">
        <v>80</v>
      </c>
      <c r="J21" s="299" t="s">
        <v>131</v>
      </c>
      <c r="K21" s="282">
        <v>43714</v>
      </c>
      <c r="L21" s="334">
        <v>119</v>
      </c>
      <c r="M21" s="278">
        <f t="shared" ca="1" si="1"/>
        <v>31</v>
      </c>
      <c r="N21" s="285">
        <v>9.3399999999999997E-2</v>
      </c>
      <c r="O21" s="324">
        <f t="shared" ca="1" si="2"/>
        <v>5879.5839021777765</v>
      </c>
      <c r="P21" s="286">
        <f t="shared" ca="1" si="3"/>
        <v>736918.54390217771</v>
      </c>
      <c r="Q21" s="287"/>
      <c r="R21" s="332">
        <v>43741</v>
      </c>
      <c r="S21" s="287" t="s">
        <v>1325</v>
      </c>
      <c r="T21" s="287" t="s">
        <v>1326</v>
      </c>
      <c r="U21" s="299" t="s">
        <v>31</v>
      </c>
      <c r="V21" s="502">
        <v>43738</v>
      </c>
      <c r="W21" s="290"/>
      <c r="X21" s="290"/>
      <c r="Y21" s="326">
        <v>864900</v>
      </c>
      <c r="Z21" s="292">
        <f>49900+100000+50000+75000+45000+119000+62000+329000+20000</f>
        <v>849900</v>
      </c>
      <c r="AA21" s="293">
        <f t="shared" si="4"/>
        <v>15000</v>
      </c>
      <c r="AB21" s="294" t="s">
        <v>197</v>
      </c>
      <c r="AC21" s="294" t="s">
        <v>1435</v>
      </c>
      <c r="AD21" s="295" t="s">
        <v>1436</v>
      </c>
      <c r="AE21" s="296"/>
      <c r="AF21" s="287" t="s">
        <v>189</v>
      </c>
      <c r="AG21" s="294" t="s">
        <v>82</v>
      </c>
      <c r="AH21" s="478"/>
      <c r="AI21" s="378" t="s">
        <v>221</v>
      </c>
      <c r="AJ21" s="278"/>
      <c r="AK21" s="328"/>
      <c r="AL21" s="588">
        <f t="shared" ref="AL21:AL36" ca="1" si="6">+$A$1-A21</f>
        <v>62</v>
      </c>
    </row>
    <row r="22" spans="1:38" s="300" customFormat="1" ht="12" customHeight="1">
      <c r="A22" s="278" t="s">
        <v>805</v>
      </c>
      <c r="B22" s="278" t="s">
        <v>83</v>
      </c>
      <c r="C22" s="278" t="s">
        <v>811</v>
      </c>
      <c r="D22" s="260" t="str">
        <f t="shared" si="0"/>
        <v>KY332792</v>
      </c>
      <c r="E22" s="279">
        <v>224478.56</v>
      </c>
      <c r="F22" s="279">
        <v>224478.56</v>
      </c>
      <c r="G22" s="280" t="s">
        <v>158</v>
      </c>
      <c r="H22" s="278" t="s">
        <v>33</v>
      </c>
      <c r="I22" s="281" t="s">
        <v>39</v>
      </c>
      <c r="J22" s="299" t="s">
        <v>131</v>
      </c>
      <c r="K22" s="282">
        <v>43714</v>
      </c>
      <c r="L22" s="334">
        <v>119</v>
      </c>
      <c r="M22" s="278">
        <f t="shared" ca="1" si="1"/>
        <v>31</v>
      </c>
      <c r="N22" s="285">
        <v>9.3399999999999997E-2</v>
      </c>
      <c r="O22" s="324">
        <f t="shared" ca="1" si="2"/>
        <v>1805.4311739555553</v>
      </c>
      <c r="P22" s="286">
        <f t="shared" ca="1" si="3"/>
        <v>226283.99117395555</v>
      </c>
      <c r="Q22" s="287"/>
      <c r="R22" s="332">
        <v>43741</v>
      </c>
      <c r="S22" s="287" t="s">
        <v>1168</v>
      </c>
      <c r="T22" s="287" t="s">
        <v>1047</v>
      </c>
      <c r="U22" s="299" t="s">
        <v>34</v>
      </c>
      <c r="V22" s="287" t="s">
        <v>1169</v>
      </c>
      <c r="W22" s="290"/>
      <c r="X22" s="290"/>
      <c r="Y22" s="326">
        <v>227702.56</v>
      </c>
      <c r="Z22" s="326">
        <v>227702.56</v>
      </c>
      <c r="AA22" s="293">
        <f t="shared" si="4"/>
        <v>0</v>
      </c>
      <c r="AB22" s="294" t="s">
        <v>197</v>
      </c>
      <c r="AC22" s="294" t="s">
        <v>1174</v>
      </c>
      <c r="AD22" s="295">
        <v>43734</v>
      </c>
      <c r="AE22" s="296">
        <v>43735</v>
      </c>
      <c r="AF22" s="287" t="s">
        <v>261</v>
      </c>
      <c r="AG22" s="294" t="s">
        <v>996</v>
      </c>
      <c r="AH22" s="478"/>
      <c r="AI22" s="378" t="s">
        <v>221</v>
      </c>
      <c r="AJ22" s="278"/>
      <c r="AK22" s="328"/>
      <c r="AL22" s="588">
        <f t="shared" ca="1" si="6"/>
        <v>61</v>
      </c>
    </row>
    <row r="23" spans="1:38" s="300" customFormat="1" ht="12" customHeight="1">
      <c r="A23" s="278" t="s">
        <v>840</v>
      </c>
      <c r="B23" s="278" t="s">
        <v>72</v>
      </c>
      <c r="C23" s="278" t="s">
        <v>842</v>
      </c>
      <c r="D23" s="260" t="str">
        <f t="shared" si="0"/>
        <v>KH009668</v>
      </c>
      <c r="E23" s="279">
        <v>212253.32</v>
      </c>
      <c r="F23" s="279">
        <v>212253.32</v>
      </c>
      <c r="G23" s="280" t="s">
        <v>158</v>
      </c>
      <c r="H23" s="278" t="s">
        <v>33</v>
      </c>
      <c r="I23" s="281"/>
      <c r="J23" s="299" t="s">
        <v>131</v>
      </c>
      <c r="K23" s="282">
        <v>43714</v>
      </c>
      <c r="L23" s="334">
        <v>119</v>
      </c>
      <c r="M23" s="278">
        <f t="shared" ca="1" si="1"/>
        <v>31</v>
      </c>
      <c r="N23" s="285">
        <v>9.3399999999999997E-2</v>
      </c>
      <c r="O23" s="324">
        <f t="shared" ca="1" si="2"/>
        <v>1707.1062853555554</v>
      </c>
      <c r="P23" s="286">
        <f t="shared" ca="1" si="3"/>
        <v>213960.42628535556</v>
      </c>
      <c r="Q23" s="287"/>
      <c r="R23" s="332">
        <v>43741</v>
      </c>
      <c r="S23" s="287" t="s">
        <v>1216</v>
      </c>
      <c r="T23" s="287" t="s">
        <v>41</v>
      </c>
      <c r="U23" s="299" t="s">
        <v>34</v>
      </c>
      <c r="V23" s="502" t="s">
        <v>1212</v>
      </c>
      <c r="W23" s="290"/>
      <c r="X23" s="290"/>
      <c r="Y23" s="326">
        <v>215398.82</v>
      </c>
      <c r="Z23" s="326">
        <v>215398.82</v>
      </c>
      <c r="AA23" s="293">
        <f t="shared" si="4"/>
        <v>0</v>
      </c>
      <c r="AB23" s="294" t="s">
        <v>197</v>
      </c>
      <c r="AC23" s="294" t="s">
        <v>1231</v>
      </c>
      <c r="AD23" s="295">
        <v>43736</v>
      </c>
      <c r="AE23" s="296"/>
      <c r="AF23" s="287" t="s">
        <v>261</v>
      </c>
      <c r="AG23" s="294" t="s">
        <v>82</v>
      </c>
      <c r="AH23" s="478"/>
      <c r="AI23" s="378" t="s">
        <v>221</v>
      </c>
      <c r="AJ23" s="278"/>
      <c r="AK23" s="328"/>
      <c r="AL23" s="588">
        <f t="shared" ca="1" si="6"/>
        <v>56</v>
      </c>
    </row>
    <row r="24" spans="1:38" s="300" customFormat="1" ht="12" customHeight="1">
      <c r="A24" s="278" t="s">
        <v>854</v>
      </c>
      <c r="B24" s="278" t="s">
        <v>745</v>
      </c>
      <c r="C24" s="278" t="s">
        <v>867</v>
      </c>
      <c r="D24" s="260" t="str">
        <f t="shared" si="0"/>
        <v>L6N87918</v>
      </c>
      <c r="E24" s="279">
        <v>269521.36</v>
      </c>
      <c r="F24" s="279">
        <v>269521.36</v>
      </c>
      <c r="G24" s="280" t="s">
        <v>158</v>
      </c>
      <c r="H24" s="278" t="s">
        <v>33</v>
      </c>
      <c r="I24" s="281"/>
      <c r="J24" s="299" t="s">
        <v>131</v>
      </c>
      <c r="K24" s="282">
        <v>43721</v>
      </c>
      <c r="L24" s="334">
        <v>119</v>
      </c>
      <c r="M24" s="278">
        <f t="shared" ca="1" si="1"/>
        <v>24</v>
      </c>
      <c r="N24" s="285">
        <v>9.2799999999999994E-2</v>
      </c>
      <c r="O24" s="324">
        <f t="shared" ca="1" si="2"/>
        <v>1667.4388138666666</v>
      </c>
      <c r="P24" s="286">
        <f t="shared" ca="1" si="3"/>
        <v>271188.79881386663</v>
      </c>
      <c r="Q24" s="287"/>
      <c r="R24" s="332">
        <v>43741</v>
      </c>
      <c r="S24" s="287" t="s">
        <v>1215</v>
      </c>
      <c r="T24" s="287" t="s">
        <v>41</v>
      </c>
      <c r="U24" s="299" t="s">
        <v>34</v>
      </c>
      <c r="V24" s="502" t="s">
        <v>1212</v>
      </c>
      <c r="W24" s="290"/>
      <c r="X24" s="290"/>
      <c r="Y24" s="326">
        <v>273302.84000000003</v>
      </c>
      <c r="Z24" s="326">
        <v>273302.84000000003</v>
      </c>
      <c r="AA24" s="293">
        <f t="shared" si="4"/>
        <v>0</v>
      </c>
      <c r="AB24" s="294" t="s">
        <v>197</v>
      </c>
      <c r="AC24" s="294" t="s">
        <v>1232</v>
      </c>
      <c r="AD24" s="295">
        <v>43736</v>
      </c>
      <c r="AE24" s="296"/>
      <c r="AF24" s="287" t="s">
        <v>261</v>
      </c>
      <c r="AG24" s="294" t="s">
        <v>82</v>
      </c>
      <c r="AH24" s="478"/>
      <c r="AI24" s="378" t="s">
        <v>221</v>
      </c>
      <c r="AJ24" s="278"/>
      <c r="AK24" s="328"/>
      <c r="AL24" s="588">
        <f t="shared" ca="1" si="6"/>
        <v>54</v>
      </c>
    </row>
    <row r="25" spans="1:38" s="300" customFormat="1" ht="12" customHeight="1">
      <c r="A25" s="278" t="s">
        <v>854</v>
      </c>
      <c r="B25" s="278" t="s">
        <v>865</v>
      </c>
      <c r="C25" s="278" t="s">
        <v>870</v>
      </c>
      <c r="D25" s="260" t="str">
        <f t="shared" si="0"/>
        <v>L6N93168</v>
      </c>
      <c r="E25" s="279">
        <v>237380.08</v>
      </c>
      <c r="F25" s="279">
        <v>237380.08</v>
      </c>
      <c r="G25" s="280" t="s">
        <v>158</v>
      </c>
      <c r="H25" s="278" t="s">
        <v>33</v>
      </c>
      <c r="I25" s="281" t="s">
        <v>39</v>
      </c>
      <c r="J25" s="299" t="s">
        <v>131</v>
      </c>
      <c r="K25" s="282">
        <v>43721</v>
      </c>
      <c r="L25" s="334">
        <v>119</v>
      </c>
      <c r="M25" s="278">
        <f t="shared" ca="1" si="1"/>
        <v>24</v>
      </c>
      <c r="N25" s="285">
        <v>9.2799999999999994E-2</v>
      </c>
      <c r="O25" s="324">
        <f t="shared" ca="1" si="2"/>
        <v>1468.5914282666663</v>
      </c>
      <c r="P25" s="286">
        <f t="shared" ca="1" si="3"/>
        <v>238848.67142826665</v>
      </c>
      <c r="Q25" s="287"/>
      <c r="R25" s="332">
        <v>43741</v>
      </c>
      <c r="S25" s="287" t="s">
        <v>1172</v>
      </c>
      <c r="T25" s="287" t="s">
        <v>1173</v>
      </c>
      <c r="U25" s="299" t="s">
        <v>37</v>
      </c>
      <c r="V25" s="502">
        <v>43734</v>
      </c>
      <c r="W25" s="290"/>
      <c r="X25" s="290"/>
      <c r="Y25" s="326">
        <v>255400</v>
      </c>
      <c r="Z25" s="292">
        <v>90000</v>
      </c>
      <c r="AA25" s="293">
        <f t="shared" si="4"/>
        <v>165400</v>
      </c>
      <c r="AB25" s="294" t="s">
        <v>203</v>
      </c>
      <c r="AC25" s="294" t="s">
        <v>1175</v>
      </c>
      <c r="AD25" s="295">
        <v>43734</v>
      </c>
      <c r="AE25" s="296"/>
      <c r="AF25" s="287" t="s">
        <v>195</v>
      </c>
      <c r="AG25" s="294" t="s">
        <v>996</v>
      </c>
      <c r="AH25" s="478"/>
      <c r="AI25" s="378" t="s">
        <v>221</v>
      </c>
      <c r="AJ25" s="278"/>
      <c r="AK25" s="328"/>
      <c r="AL25" s="588">
        <f t="shared" ca="1" si="6"/>
        <v>54</v>
      </c>
    </row>
    <row r="26" spans="1:38" s="300" customFormat="1" ht="12" customHeight="1">
      <c r="A26" s="278" t="s">
        <v>873</v>
      </c>
      <c r="B26" s="278" t="s">
        <v>120</v>
      </c>
      <c r="C26" s="278" t="s">
        <v>876</v>
      </c>
      <c r="D26" s="260" t="str">
        <f t="shared" si="0"/>
        <v>L9137283</v>
      </c>
      <c r="E26" s="279">
        <v>224478.56</v>
      </c>
      <c r="F26" s="279">
        <v>224478.56</v>
      </c>
      <c r="G26" s="280" t="s">
        <v>158</v>
      </c>
      <c r="H26" s="278" t="s">
        <v>33</v>
      </c>
      <c r="I26" s="281" t="s">
        <v>69</v>
      </c>
      <c r="J26" s="299" t="s">
        <v>131</v>
      </c>
      <c r="K26" s="282">
        <v>43721</v>
      </c>
      <c r="L26" s="334">
        <v>119</v>
      </c>
      <c r="M26" s="278">
        <f t="shared" ca="1" si="1"/>
        <v>24</v>
      </c>
      <c r="N26" s="285">
        <v>9.2799999999999994E-2</v>
      </c>
      <c r="O26" s="324">
        <f t="shared" ca="1" si="2"/>
        <v>1388.7740245333332</v>
      </c>
      <c r="P26" s="286">
        <f t="shared" ca="1" si="3"/>
        <v>225867.33402453334</v>
      </c>
      <c r="Q26" s="287"/>
      <c r="R26" s="332">
        <v>43741</v>
      </c>
      <c r="S26" s="287" t="s">
        <v>1311</v>
      </c>
      <c r="T26" s="287" t="s">
        <v>1312</v>
      </c>
      <c r="U26" s="299" t="s">
        <v>37</v>
      </c>
      <c r="V26" s="502">
        <v>43738</v>
      </c>
      <c r="W26" s="290"/>
      <c r="X26" s="290"/>
      <c r="Y26" s="326">
        <v>250900</v>
      </c>
      <c r="Z26" s="292">
        <v>25738</v>
      </c>
      <c r="AA26" s="293">
        <f t="shared" si="4"/>
        <v>225162</v>
      </c>
      <c r="AB26" s="294" t="s">
        <v>203</v>
      </c>
      <c r="AC26" s="294" t="s">
        <v>1359</v>
      </c>
      <c r="AD26" s="295">
        <v>43738</v>
      </c>
      <c r="AE26" s="296"/>
      <c r="AF26" s="287" t="s">
        <v>222</v>
      </c>
      <c r="AG26" s="294" t="s">
        <v>82</v>
      </c>
      <c r="AH26" s="478"/>
      <c r="AI26" s="378" t="s">
        <v>221</v>
      </c>
      <c r="AJ26" s="278"/>
      <c r="AK26" s="328"/>
      <c r="AL26" s="588">
        <f t="shared" ca="1" si="6"/>
        <v>53</v>
      </c>
    </row>
    <row r="27" spans="1:38" s="300" customFormat="1" ht="12" customHeight="1">
      <c r="A27" s="278" t="s">
        <v>873</v>
      </c>
      <c r="B27" s="278" t="s">
        <v>120</v>
      </c>
      <c r="C27" s="278" t="s">
        <v>877</v>
      </c>
      <c r="D27" s="260" t="str">
        <f t="shared" si="0"/>
        <v>L9137498</v>
      </c>
      <c r="E27" s="279">
        <v>224478.56</v>
      </c>
      <c r="F27" s="279">
        <v>224478.56</v>
      </c>
      <c r="G27" s="280" t="s">
        <v>158</v>
      </c>
      <c r="H27" s="278" t="s">
        <v>33</v>
      </c>
      <c r="I27" s="281" t="s">
        <v>44</v>
      </c>
      <c r="J27" s="299" t="s">
        <v>131</v>
      </c>
      <c r="K27" s="282">
        <v>43721</v>
      </c>
      <c r="L27" s="334">
        <v>119</v>
      </c>
      <c r="M27" s="278">
        <f t="shared" ca="1" si="1"/>
        <v>24</v>
      </c>
      <c r="N27" s="285">
        <v>9.2799999999999994E-2</v>
      </c>
      <c r="O27" s="324">
        <f t="shared" ca="1" si="2"/>
        <v>1388.7740245333332</v>
      </c>
      <c r="P27" s="286">
        <f t="shared" ca="1" si="3"/>
        <v>225867.33402453334</v>
      </c>
      <c r="Q27" s="287"/>
      <c r="R27" s="332">
        <v>43741</v>
      </c>
      <c r="S27" s="287" t="s">
        <v>1223</v>
      </c>
      <c r="T27" s="287" t="s">
        <v>1199</v>
      </c>
      <c r="U27" s="299" t="s">
        <v>1200</v>
      </c>
      <c r="V27" s="502">
        <v>43735</v>
      </c>
      <c r="W27" s="290"/>
      <c r="X27" s="290"/>
      <c r="Y27" s="326">
        <v>238000</v>
      </c>
      <c r="Z27" s="292">
        <v>23800</v>
      </c>
      <c r="AA27" s="293">
        <f t="shared" si="4"/>
        <v>214200</v>
      </c>
      <c r="AB27" s="294" t="s">
        <v>1224</v>
      </c>
      <c r="AC27" s="294" t="s">
        <v>1225</v>
      </c>
      <c r="AD27" s="295">
        <v>43735</v>
      </c>
      <c r="AE27" s="296"/>
      <c r="AF27" s="287" t="s">
        <v>285</v>
      </c>
      <c r="AG27" s="294" t="s">
        <v>82</v>
      </c>
      <c r="AH27" s="478"/>
      <c r="AI27" s="378" t="s">
        <v>221</v>
      </c>
      <c r="AJ27" s="278"/>
      <c r="AK27" s="328"/>
      <c r="AL27" s="588">
        <f t="shared" ca="1" si="6"/>
        <v>53</v>
      </c>
    </row>
    <row r="28" spans="1:38" s="300" customFormat="1" ht="12" customHeight="1">
      <c r="A28" s="516" t="s">
        <v>882</v>
      </c>
      <c r="B28" s="517" t="s">
        <v>288</v>
      </c>
      <c r="C28" s="518" t="s">
        <v>883</v>
      </c>
      <c r="D28" s="260" t="str">
        <f t="shared" si="0"/>
        <v>LY346066</v>
      </c>
      <c r="E28" s="279">
        <v>295580.76</v>
      </c>
      <c r="F28" s="279">
        <v>295580.76</v>
      </c>
      <c r="G28" s="280" t="s">
        <v>158</v>
      </c>
      <c r="H28" s="278" t="s">
        <v>33</v>
      </c>
      <c r="I28" s="281" t="s">
        <v>39</v>
      </c>
      <c r="J28" s="299" t="s">
        <v>131</v>
      </c>
      <c r="K28" s="282">
        <v>43721</v>
      </c>
      <c r="L28" s="334">
        <v>119</v>
      </c>
      <c r="M28" s="278">
        <f t="shared" ca="1" si="1"/>
        <v>24</v>
      </c>
      <c r="N28" s="285">
        <v>9.2799999999999994E-2</v>
      </c>
      <c r="O28" s="324">
        <f t="shared" ca="1" si="2"/>
        <v>1828.6596352000001</v>
      </c>
      <c r="P28" s="286">
        <f t="shared" ca="1" si="3"/>
        <v>297409.4196352</v>
      </c>
      <c r="Q28" s="287"/>
      <c r="R28" s="332">
        <v>43741</v>
      </c>
      <c r="S28" s="287" t="s">
        <v>1093</v>
      </c>
      <c r="T28" s="287" t="s">
        <v>1094</v>
      </c>
      <c r="U28" s="287" t="s">
        <v>31</v>
      </c>
      <c r="V28" s="502">
        <v>43728</v>
      </c>
      <c r="W28" s="290"/>
      <c r="X28" s="290"/>
      <c r="Y28" s="326">
        <v>317900</v>
      </c>
      <c r="Z28" s="292">
        <f>271000+40220+6680</f>
        <v>317900</v>
      </c>
      <c r="AA28" s="293">
        <f t="shared" si="4"/>
        <v>0</v>
      </c>
      <c r="AB28" s="294" t="s">
        <v>197</v>
      </c>
      <c r="AC28" s="294" t="s">
        <v>1097</v>
      </c>
      <c r="AD28" s="295">
        <v>43728</v>
      </c>
      <c r="AE28" s="296">
        <v>43733</v>
      </c>
      <c r="AF28" s="287" t="s">
        <v>242</v>
      </c>
      <c r="AG28" s="294" t="s">
        <v>996</v>
      </c>
      <c r="AH28" s="478"/>
      <c r="AI28" s="378" t="s">
        <v>221</v>
      </c>
      <c r="AJ28" s="278"/>
      <c r="AK28" s="328"/>
      <c r="AL28" s="588">
        <f t="shared" ca="1" si="6"/>
        <v>48</v>
      </c>
    </row>
    <row r="29" spans="1:38" s="300" customFormat="1" ht="12" customHeight="1">
      <c r="A29" s="287" t="s">
        <v>920</v>
      </c>
      <c r="B29" s="278" t="s">
        <v>71</v>
      </c>
      <c r="C29" s="278" t="s">
        <v>923</v>
      </c>
      <c r="D29" s="260" t="str">
        <f t="shared" si="0"/>
        <v>KH008717</v>
      </c>
      <c r="E29" s="321">
        <v>194174.72</v>
      </c>
      <c r="F29" s="321">
        <v>194174.72</v>
      </c>
      <c r="G29" s="280" t="s">
        <v>158</v>
      </c>
      <c r="H29" s="278" t="s">
        <v>33</v>
      </c>
      <c r="I29" s="281" t="s">
        <v>39</v>
      </c>
      <c r="J29" s="299" t="s">
        <v>131</v>
      </c>
      <c r="K29" s="282">
        <v>43731</v>
      </c>
      <c r="L29" s="334">
        <v>120</v>
      </c>
      <c r="M29" s="284">
        <f t="shared" ca="1" si="1"/>
        <v>14</v>
      </c>
      <c r="N29" s="285">
        <v>9.1899999999999996E-2</v>
      </c>
      <c r="O29" s="324">
        <f t="shared" ca="1" si="2"/>
        <v>693.95887431111112</v>
      </c>
      <c r="P29" s="286">
        <f t="shared" ca="1" si="3"/>
        <v>194868.67887431112</v>
      </c>
      <c r="Q29" s="287"/>
      <c r="R29" s="332">
        <v>43741</v>
      </c>
      <c r="S29" s="287" t="s">
        <v>1141</v>
      </c>
      <c r="T29" s="287" t="s">
        <v>1120</v>
      </c>
      <c r="U29" s="287" t="s">
        <v>37</v>
      </c>
      <c r="V29" s="502">
        <v>43732</v>
      </c>
      <c r="W29" s="290"/>
      <c r="X29" s="290"/>
      <c r="Y29" s="326">
        <v>214900</v>
      </c>
      <c r="Z29" s="292">
        <f>8042+1100</f>
        <v>9142</v>
      </c>
      <c r="AA29" s="293">
        <f t="shared" si="4"/>
        <v>205758</v>
      </c>
      <c r="AB29" s="294" t="s">
        <v>203</v>
      </c>
      <c r="AC29" s="294" t="s">
        <v>1130</v>
      </c>
      <c r="AD29" s="295" t="s">
        <v>1129</v>
      </c>
      <c r="AE29" s="296">
        <v>43739</v>
      </c>
      <c r="AF29" s="287" t="s">
        <v>70</v>
      </c>
      <c r="AG29" s="294" t="s">
        <v>996</v>
      </c>
      <c r="AH29" s="478"/>
      <c r="AI29" s="378" t="s">
        <v>221</v>
      </c>
      <c r="AJ29" s="278"/>
      <c r="AK29" s="328"/>
      <c r="AL29" s="588">
        <f t="shared" ca="1" si="6"/>
        <v>39</v>
      </c>
    </row>
    <row r="30" spans="1:38" s="300" customFormat="1" ht="12" customHeight="1">
      <c r="A30" s="287" t="s">
        <v>920</v>
      </c>
      <c r="B30" s="278" t="s">
        <v>71</v>
      </c>
      <c r="C30" s="278" t="s">
        <v>925</v>
      </c>
      <c r="D30" s="260" t="str">
        <f t="shared" si="0"/>
        <v>KH008720</v>
      </c>
      <c r="E30" s="321">
        <v>194174.72</v>
      </c>
      <c r="F30" s="321">
        <v>194174.72</v>
      </c>
      <c r="G30" s="280" t="s">
        <v>158</v>
      </c>
      <c r="H30" s="278" t="s">
        <v>33</v>
      </c>
      <c r="I30" s="281" t="s">
        <v>39</v>
      </c>
      <c r="J30" s="299" t="s">
        <v>131</v>
      </c>
      <c r="K30" s="282">
        <v>43731</v>
      </c>
      <c r="L30" s="334">
        <v>120</v>
      </c>
      <c r="M30" s="284">
        <f t="shared" ca="1" si="1"/>
        <v>14</v>
      </c>
      <c r="N30" s="285">
        <v>9.1899999999999996E-2</v>
      </c>
      <c r="O30" s="324">
        <f t="shared" ca="1" si="2"/>
        <v>693.95887431111112</v>
      </c>
      <c r="P30" s="286">
        <f t="shared" ca="1" si="3"/>
        <v>194868.67887431112</v>
      </c>
      <c r="Q30" s="287"/>
      <c r="R30" s="332">
        <v>43741</v>
      </c>
      <c r="S30" s="287" t="s">
        <v>1155</v>
      </c>
      <c r="T30" s="287" t="s">
        <v>1142</v>
      </c>
      <c r="U30" s="287" t="s">
        <v>37</v>
      </c>
      <c r="V30" s="502">
        <v>43733</v>
      </c>
      <c r="W30" s="290"/>
      <c r="X30" s="290"/>
      <c r="Y30" s="326">
        <v>214900</v>
      </c>
      <c r="Z30" s="292">
        <f>167060.95+30000+17839.05</f>
        <v>214900</v>
      </c>
      <c r="AA30" s="293">
        <f t="shared" si="4"/>
        <v>0</v>
      </c>
      <c r="AB30" s="294" t="s">
        <v>197</v>
      </c>
      <c r="AC30" s="294" t="s">
        <v>1226</v>
      </c>
      <c r="AD30" s="295">
        <v>43735</v>
      </c>
      <c r="AE30" s="296">
        <v>43734</v>
      </c>
      <c r="AF30" s="287" t="s">
        <v>70</v>
      </c>
      <c r="AG30" s="294" t="s">
        <v>996</v>
      </c>
      <c r="AH30" s="478"/>
      <c r="AI30" s="378" t="s">
        <v>221</v>
      </c>
      <c r="AJ30" s="278"/>
      <c r="AK30" s="328"/>
      <c r="AL30" s="588">
        <f t="shared" ca="1" si="6"/>
        <v>39</v>
      </c>
    </row>
    <row r="31" spans="1:38" s="300" customFormat="1" ht="12" customHeight="1">
      <c r="A31" s="287" t="s">
        <v>920</v>
      </c>
      <c r="B31" s="278" t="s">
        <v>74</v>
      </c>
      <c r="C31" s="278" t="s">
        <v>935</v>
      </c>
      <c r="D31" s="260" t="str">
        <f t="shared" si="0"/>
        <v>LH000335</v>
      </c>
      <c r="E31" s="321">
        <v>227621</v>
      </c>
      <c r="F31" s="321">
        <v>227621</v>
      </c>
      <c r="G31" s="280" t="s">
        <v>158</v>
      </c>
      <c r="H31" s="278" t="s">
        <v>33</v>
      </c>
      <c r="I31" s="281" t="s">
        <v>80</v>
      </c>
      <c r="J31" s="299" t="s">
        <v>131</v>
      </c>
      <c r="K31" s="282">
        <v>43731</v>
      </c>
      <c r="L31" s="334">
        <v>120</v>
      </c>
      <c r="M31" s="284">
        <f t="shared" ca="1" si="1"/>
        <v>14</v>
      </c>
      <c r="N31" s="285">
        <v>9.1899999999999996E-2</v>
      </c>
      <c r="O31" s="324">
        <f t="shared" ca="1" si="2"/>
        <v>813.49216277777759</v>
      </c>
      <c r="P31" s="286">
        <f t="shared" ca="1" si="3"/>
        <v>228434.49216277778</v>
      </c>
      <c r="Q31" s="287"/>
      <c r="R31" s="332">
        <v>43741</v>
      </c>
      <c r="S31" s="287" t="s">
        <v>1308</v>
      </c>
      <c r="T31" s="287" t="s">
        <v>1360</v>
      </c>
      <c r="U31" s="287" t="s">
        <v>1361</v>
      </c>
      <c r="V31" s="502">
        <v>43738</v>
      </c>
      <c r="W31" s="290"/>
      <c r="X31" s="290"/>
      <c r="Y31" s="326">
        <v>227632</v>
      </c>
      <c r="Z31" s="292">
        <f>50000+19575.78</f>
        <v>69575.78</v>
      </c>
      <c r="AA31" s="293">
        <f t="shared" si="4"/>
        <v>158056.22</v>
      </c>
      <c r="AB31" s="294" t="s">
        <v>203</v>
      </c>
      <c r="AC31" s="294" t="s">
        <v>1362</v>
      </c>
      <c r="AD31" s="295">
        <v>43738</v>
      </c>
      <c r="AE31" s="296"/>
      <c r="AF31" s="287" t="s">
        <v>174</v>
      </c>
      <c r="AG31" s="294" t="s">
        <v>82</v>
      </c>
      <c r="AH31" s="478"/>
      <c r="AI31" s="378" t="s">
        <v>221</v>
      </c>
      <c r="AJ31" s="278"/>
      <c r="AK31" s="328"/>
      <c r="AL31" s="588">
        <f t="shared" ca="1" si="6"/>
        <v>39</v>
      </c>
    </row>
    <row r="32" spans="1:38" s="312" customFormat="1" ht="12" customHeight="1">
      <c r="A32" s="303" t="s">
        <v>590</v>
      </c>
      <c r="B32" s="310" t="s">
        <v>128</v>
      </c>
      <c r="C32" s="304" t="s">
        <v>606</v>
      </c>
      <c r="D32" s="260" t="str">
        <f t="shared" si="0"/>
        <v>KY619052</v>
      </c>
      <c r="E32" s="279">
        <v>196904.2</v>
      </c>
      <c r="F32" s="279">
        <v>196904.2</v>
      </c>
      <c r="G32" s="280" t="s">
        <v>158</v>
      </c>
      <c r="H32" s="278" t="s">
        <v>33</v>
      </c>
      <c r="I32" s="281" t="s">
        <v>39</v>
      </c>
      <c r="J32" s="299" t="s">
        <v>132</v>
      </c>
      <c r="K32" s="282">
        <v>43689</v>
      </c>
      <c r="L32" s="334">
        <v>120</v>
      </c>
      <c r="M32" s="278">
        <f t="shared" ca="1" si="1"/>
        <v>56</v>
      </c>
      <c r="N32" s="285">
        <v>9.6500000000000002E-2</v>
      </c>
      <c r="O32" s="324">
        <f t="shared" ca="1" si="2"/>
        <v>2955.7508244444448</v>
      </c>
      <c r="P32" s="286">
        <f t="shared" ca="1" si="3"/>
        <v>199859.95082444444</v>
      </c>
      <c r="Q32" s="287"/>
      <c r="R32" s="332">
        <v>43741</v>
      </c>
      <c r="S32" s="287" t="s">
        <v>971</v>
      </c>
      <c r="T32" s="287" t="s">
        <v>972</v>
      </c>
      <c r="U32" s="294" t="s">
        <v>37</v>
      </c>
      <c r="V32" s="502">
        <v>43708</v>
      </c>
      <c r="W32" s="290"/>
      <c r="X32" s="290"/>
      <c r="Y32" s="326">
        <v>216900</v>
      </c>
      <c r="Z32" s="292">
        <f>5000+27475</f>
        <v>32475</v>
      </c>
      <c r="AA32" s="293">
        <f t="shared" si="4"/>
        <v>184425</v>
      </c>
      <c r="AB32" s="294" t="s">
        <v>203</v>
      </c>
      <c r="AC32" s="294" t="s">
        <v>1085</v>
      </c>
      <c r="AD32" s="295" t="s">
        <v>1086</v>
      </c>
      <c r="AE32" s="296" t="s">
        <v>1222</v>
      </c>
      <c r="AF32" s="287" t="s">
        <v>285</v>
      </c>
      <c r="AG32" s="294" t="s">
        <v>996</v>
      </c>
      <c r="AH32" s="494"/>
      <c r="AI32" s="294" t="s">
        <v>362</v>
      </c>
      <c r="AJ32" s="278"/>
      <c r="AK32" s="328"/>
      <c r="AL32" s="588">
        <f t="shared" ca="1" si="6"/>
        <v>102</v>
      </c>
    </row>
    <row r="33" spans="1:38" s="312" customFormat="1" ht="12" customHeight="1">
      <c r="A33" s="303" t="s">
        <v>602</v>
      </c>
      <c r="B33" s="310" t="s">
        <v>124</v>
      </c>
      <c r="C33" s="304" t="s">
        <v>607</v>
      </c>
      <c r="D33" s="260" t="str">
        <f t="shared" si="0"/>
        <v>K5107324</v>
      </c>
      <c r="E33" s="279">
        <v>283697.71999999997</v>
      </c>
      <c r="F33" s="279">
        <v>283697.71999999997</v>
      </c>
      <c r="G33" s="280" t="s">
        <v>158</v>
      </c>
      <c r="H33" s="278" t="s">
        <v>33</v>
      </c>
      <c r="I33" s="281" t="s">
        <v>39</v>
      </c>
      <c r="J33" s="299" t="s">
        <v>132</v>
      </c>
      <c r="K33" s="282">
        <v>43689</v>
      </c>
      <c r="L33" s="334">
        <v>120</v>
      </c>
      <c r="M33" s="278">
        <f t="shared" ca="1" si="1"/>
        <v>56</v>
      </c>
      <c r="N33" s="285">
        <v>9.6500000000000002E-2</v>
      </c>
      <c r="O33" s="324">
        <f t="shared" ca="1" si="2"/>
        <v>4258.6179968888891</v>
      </c>
      <c r="P33" s="286">
        <f t="shared" ca="1" si="3"/>
        <v>287956.33799688885</v>
      </c>
      <c r="Q33" s="287"/>
      <c r="R33" s="332">
        <v>43741</v>
      </c>
      <c r="S33" s="287" t="s">
        <v>1031</v>
      </c>
      <c r="T33" s="287" t="s">
        <v>1032</v>
      </c>
      <c r="U33" s="294" t="s">
        <v>31</v>
      </c>
      <c r="V33" s="502">
        <v>43721</v>
      </c>
      <c r="W33" s="290"/>
      <c r="X33" s="290"/>
      <c r="Y33" s="326">
        <v>283900</v>
      </c>
      <c r="Z33" s="292">
        <f>5000+131900+147000</f>
        <v>283900</v>
      </c>
      <c r="AA33" s="293">
        <f t="shared" si="4"/>
        <v>0</v>
      </c>
      <c r="AB33" s="294" t="s">
        <v>197</v>
      </c>
      <c r="AC33" s="294" t="s">
        <v>1414</v>
      </c>
      <c r="AD33" s="295" t="s">
        <v>1415</v>
      </c>
      <c r="AE33" s="296"/>
      <c r="AF33" s="287" t="s">
        <v>1033</v>
      </c>
      <c r="AG33" s="294" t="s">
        <v>996</v>
      </c>
      <c r="AH33" s="494"/>
      <c r="AI33" s="294" t="s">
        <v>362</v>
      </c>
      <c r="AJ33" s="278"/>
      <c r="AK33" s="328"/>
      <c r="AL33" s="588">
        <f t="shared" ca="1" si="6"/>
        <v>101</v>
      </c>
    </row>
    <row r="34" spans="1:38" s="300" customFormat="1" ht="12" customHeight="1">
      <c r="A34" s="287" t="s">
        <v>920</v>
      </c>
      <c r="B34" s="278" t="s">
        <v>126</v>
      </c>
      <c r="C34" s="278" t="s">
        <v>934</v>
      </c>
      <c r="D34" s="260" t="str">
        <f t="shared" si="0"/>
        <v>L0868429</v>
      </c>
      <c r="E34" s="321">
        <f>VLOOKUP(D34,[4]SEPT!$F$2:$H$14,3,0)</f>
        <v>212740.52</v>
      </c>
      <c r="F34" s="321">
        <v>212740.52</v>
      </c>
      <c r="G34" s="280" t="s">
        <v>158</v>
      </c>
      <c r="H34" s="278" t="s">
        <v>33</v>
      </c>
      <c r="I34" s="281" t="s">
        <v>80</v>
      </c>
      <c r="J34" s="299" t="s">
        <v>132</v>
      </c>
      <c r="K34" s="282">
        <v>43734</v>
      </c>
      <c r="L34" s="334">
        <v>120</v>
      </c>
      <c r="M34" s="278">
        <f t="shared" ca="1" si="1"/>
        <v>11</v>
      </c>
      <c r="N34" s="285">
        <v>9.1800000000000007E-2</v>
      </c>
      <c r="O34" s="324">
        <f t="shared" ca="1" si="2"/>
        <v>596.73715860000004</v>
      </c>
      <c r="P34" s="286">
        <f t="shared" ca="1" si="3"/>
        <v>213337.2571586</v>
      </c>
      <c r="Q34" s="287"/>
      <c r="R34" s="332">
        <v>43741</v>
      </c>
      <c r="S34" s="287" t="s">
        <v>1427</v>
      </c>
      <c r="T34" s="287" t="s">
        <v>1428</v>
      </c>
      <c r="U34" s="287" t="s">
        <v>31</v>
      </c>
      <c r="V34" s="502">
        <v>43740</v>
      </c>
      <c r="W34" s="290"/>
      <c r="X34" s="290"/>
      <c r="Y34" s="326">
        <v>228900</v>
      </c>
      <c r="Z34" s="292">
        <v>218000</v>
      </c>
      <c r="AA34" s="293">
        <f t="shared" si="4"/>
        <v>10900</v>
      </c>
      <c r="AB34" s="294" t="s">
        <v>197</v>
      </c>
      <c r="AC34" s="294" t="s">
        <v>1437</v>
      </c>
      <c r="AD34" s="295">
        <v>43740</v>
      </c>
      <c r="AE34" s="296"/>
      <c r="AF34" s="287" t="s">
        <v>189</v>
      </c>
      <c r="AG34" s="294" t="s">
        <v>82</v>
      </c>
      <c r="AH34" s="478"/>
      <c r="AI34" s="294" t="s">
        <v>362</v>
      </c>
      <c r="AJ34" s="278"/>
      <c r="AK34" s="328"/>
      <c r="AL34" s="588">
        <f t="shared" ca="1" si="6"/>
        <v>39</v>
      </c>
    </row>
    <row r="35" spans="1:38" s="300" customFormat="1" ht="12" customHeight="1">
      <c r="A35" s="287" t="s">
        <v>920</v>
      </c>
      <c r="B35" s="278" t="s">
        <v>127</v>
      </c>
      <c r="C35" s="278" t="s">
        <v>940</v>
      </c>
      <c r="D35" s="260" t="str">
        <f t="shared" si="0"/>
        <v>LY633325</v>
      </c>
      <c r="E35" s="321">
        <f>VLOOKUP(D35,[4]SEPT!$F$2:$H$14,3,0)</f>
        <v>185073.36</v>
      </c>
      <c r="F35" s="321">
        <v>185073.36</v>
      </c>
      <c r="G35" s="280" t="s">
        <v>158</v>
      </c>
      <c r="H35" s="278" t="s">
        <v>33</v>
      </c>
      <c r="I35" s="281" t="s">
        <v>39</v>
      </c>
      <c r="J35" s="299" t="s">
        <v>132</v>
      </c>
      <c r="K35" s="282">
        <v>43734</v>
      </c>
      <c r="L35" s="334">
        <v>120</v>
      </c>
      <c r="M35" s="278">
        <f t="shared" ca="1" si="1"/>
        <v>11</v>
      </c>
      <c r="N35" s="285">
        <v>9.1800000000000007E-2</v>
      </c>
      <c r="O35" s="324">
        <f t="shared" ca="1" si="2"/>
        <v>519.13077480000004</v>
      </c>
      <c r="P35" s="286">
        <f t="shared" ca="1" si="3"/>
        <v>185592.49077479998</v>
      </c>
      <c r="Q35" s="287"/>
      <c r="R35" s="332">
        <v>43741</v>
      </c>
      <c r="S35" s="287" t="s">
        <v>1343</v>
      </c>
      <c r="T35" s="287" t="s">
        <v>1344</v>
      </c>
      <c r="U35" s="287" t="s">
        <v>37</v>
      </c>
      <c r="V35" s="502">
        <v>43738</v>
      </c>
      <c r="W35" s="290"/>
      <c r="X35" s="290"/>
      <c r="Y35" s="326">
        <v>203900</v>
      </c>
      <c r="Z35" s="292">
        <f>15000+4377.77+5600</f>
        <v>24977.77</v>
      </c>
      <c r="AA35" s="293">
        <f t="shared" si="4"/>
        <v>178922.23</v>
      </c>
      <c r="AB35" s="294" t="s">
        <v>203</v>
      </c>
      <c r="AC35" s="294" t="s">
        <v>1351</v>
      </c>
      <c r="AD35" s="295">
        <v>43738</v>
      </c>
      <c r="AE35" s="296">
        <v>43740</v>
      </c>
      <c r="AF35" s="287" t="s">
        <v>70</v>
      </c>
      <c r="AG35" s="294" t="s">
        <v>996</v>
      </c>
      <c r="AH35" s="478"/>
      <c r="AI35" s="294" t="s">
        <v>362</v>
      </c>
      <c r="AJ35" s="278"/>
      <c r="AK35" s="328"/>
      <c r="AL35" s="588">
        <f t="shared" ca="1" si="6"/>
        <v>39</v>
      </c>
    </row>
    <row r="36" spans="1:38" s="300" customFormat="1" ht="12" customHeight="1">
      <c r="A36" s="287" t="s">
        <v>920</v>
      </c>
      <c r="B36" s="278" t="s">
        <v>128</v>
      </c>
      <c r="C36" s="278" t="s">
        <v>941</v>
      </c>
      <c r="D36" s="260" t="str">
        <f t="shared" si="0"/>
        <v>LY629248</v>
      </c>
      <c r="E36" s="321">
        <f>VLOOKUP(D36,[4]SEPT!$F$2:$H$14,3,0)</f>
        <v>201453.72</v>
      </c>
      <c r="F36" s="321">
        <v>201453.72</v>
      </c>
      <c r="G36" s="280" t="s">
        <v>158</v>
      </c>
      <c r="H36" s="278" t="s">
        <v>33</v>
      </c>
      <c r="I36" s="281" t="s">
        <v>39</v>
      </c>
      <c r="J36" s="299" t="s">
        <v>132</v>
      </c>
      <c r="K36" s="282">
        <v>43734</v>
      </c>
      <c r="L36" s="334">
        <v>120</v>
      </c>
      <c r="M36" s="278">
        <f t="shared" ca="1" si="1"/>
        <v>11</v>
      </c>
      <c r="N36" s="285">
        <v>9.1800000000000007E-2</v>
      </c>
      <c r="O36" s="324">
        <f t="shared" ca="1" si="2"/>
        <v>565.0776846</v>
      </c>
      <c r="P36" s="286">
        <f t="shared" ca="1" si="3"/>
        <v>202018.79768459999</v>
      </c>
      <c r="Q36" s="287"/>
      <c r="R36" s="332">
        <v>43741</v>
      </c>
      <c r="S36" s="287" t="s">
        <v>1329</v>
      </c>
      <c r="T36" s="287" t="s">
        <v>1126</v>
      </c>
      <c r="U36" s="287" t="s">
        <v>31</v>
      </c>
      <c r="V36" s="502">
        <v>43738</v>
      </c>
      <c r="W36" s="290"/>
      <c r="X36" s="290"/>
      <c r="Y36" s="326">
        <v>218900</v>
      </c>
      <c r="Z36" s="292">
        <f>14000+75000+45000+11717.14+50182.86+23000</f>
        <v>218900</v>
      </c>
      <c r="AA36" s="293">
        <f t="shared" si="4"/>
        <v>0</v>
      </c>
      <c r="AB36" s="294" t="s">
        <v>197</v>
      </c>
      <c r="AC36" s="294" t="s">
        <v>1365</v>
      </c>
      <c r="AD36" s="295">
        <v>43738</v>
      </c>
      <c r="AE36" s="296"/>
      <c r="AF36" s="287" t="s">
        <v>180</v>
      </c>
      <c r="AG36" s="294" t="s">
        <v>996</v>
      </c>
      <c r="AH36" s="478"/>
      <c r="AI36" s="294" t="s">
        <v>362</v>
      </c>
      <c r="AJ36" s="278"/>
      <c r="AK36" s="328"/>
      <c r="AL36" s="588">
        <f t="shared" ca="1" si="6"/>
        <v>39</v>
      </c>
    </row>
  </sheetData>
  <autoFilter ref="A1:AL6" xr:uid="{00000000-0009-0000-0000-000005000000}"/>
  <conditionalFormatting sqref="I1:I3 I5:I9">
    <cfRule type="containsText" dxfId="272" priority="1459" operator="containsText" text="BODY">
      <formula>NOT(ISERROR(SEARCH("BODY",I1)))</formula>
    </cfRule>
    <cfRule type="containsText" dxfId="271" priority="1460" operator="containsText" text="ENTREGADA">
      <formula>NOT(ISERROR(SEARCH("ENTREGADA",I1)))</formula>
    </cfRule>
    <cfRule type="containsText" dxfId="270" priority="1461" operator="containsText" text="ATLACOMULCO">
      <formula>NOT(ISERROR(SEARCH("ATLACOMULCO",I1)))</formula>
    </cfRule>
    <cfRule type="containsText" dxfId="269" priority="1462" operator="containsText" text="MITSU">
      <formula>NOT(ISERROR(SEARCH("MITSU",I1)))</formula>
    </cfRule>
    <cfRule type="containsText" dxfId="268" priority="1463" operator="containsText" text="ATLACOMULCO">
      <formula>NOT(ISERROR(SEARCH("ATLACOMULCO",I1)))</formula>
    </cfRule>
    <cfRule type="containsText" dxfId="267" priority="1464" operator="containsText" text="FIAT">
      <formula>NOT(ISERROR(SEARCH("FIAT",I1)))</formula>
    </cfRule>
    <cfRule type="containsText" dxfId="266" priority="1465" operator="containsText" text="P1">
      <formula>NOT(ISERROR(SEARCH("P1",I1)))</formula>
    </cfRule>
    <cfRule type="containsText" dxfId="265" priority="1466" operator="containsText" text="P3">
      <formula>NOT(ISERROR(SEARCH("P3",I1)))</formula>
    </cfRule>
    <cfRule type="containsText" dxfId="264" priority="1467" operator="containsText" text="SALA">
      <formula>NOT(ISERROR(SEARCH("SALA",I1)))</formula>
    </cfRule>
    <cfRule type="containsText" dxfId="263" priority="1468" operator="containsText" text="TENANCINGO">
      <formula>NOT(ISERROR(SEARCH("TENANCINGO",I1)))</formula>
    </cfRule>
    <cfRule type="containsText" dxfId="262" priority="1469" operator="containsText" text="LERMA">
      <formula>NOT(ISERROR(SEARCH("LERMA",I1)))</formula>
    </cfRule>
  </conditionalFormatting>
  <conditionalFormatting sqref="B10">
    <cfRule type="containsText" dxfId="261" priority="895" operator="containsText" text="ALFA">
      <formula>NOT(ISERROR(SEARCH("ALFA",B10)))</formula>
    </cfRule>
  </conditionalFormatting>
  <conditionalFormatting sqref="D10">
    <cfRule type="duplicateValues" dxfId="260" priority="499"/>
  </conditionalFormatting>
  <conditionalFormatting sqref="D12:D14">
    <cfRule type="duplicateValues" dxfId="259" priority="117"/>
  </conditionalFormatting>
  <conditionalFormatting sqref="I12:I14">
    <cfRule type="containsText" dxfId="258" priority="115" operator="containsText" text="ENTREGADA">
      <formula>NOT(ISERROR(SEARCH("ENTREGADA",I12)))</formula>
    </cfRule>
    <cfRule type="containsText" dxfId="257" priority="116" operator="containsText" text="ENTREGADA">
      <formula>NOT(ISERROR(SEARCH("ENTREGADA",I12)))</formula>
    </cfRule>
  </conditionalFormatting>
  <conditionalFormatting sqref="AL12:AL14">
    <cfRule type="cellIs" dxfId="256" priority="105" operator="greaterThan">
      <formula>365</formula>
    </cfRule>
    <cfRule type="cellIs" dxfId="255" priority="106" operator="equal">
      <formula>365</formula>
    </cfRule>
  </conditionalFormatting>
  <conditionalFormatting sqref="D12:D14">
    <cfRule type="duplicateValues" dxfId="254" priority="104"/>
  </conditionalFormatting>
  <conditionalFormatting sqref="I15:I16">
    <cfRule type="containsText" dxfId="253" priority="93" operator="containsText" text="BODY">
      <formula>NOT(ISERROR(SEARCH("BODY",I15)))</formula>
    </cfRule>
    <cfRule type="containsText" dxfId="252" priority="94" operator="containsText" text="ENTREGADA">
      <formula>NOT(ISERROR(SEARCH("ENTREGADA",I15)))</formula>
    </cfRule>
    <cfRule type="containsText" dxfId="251" priority="95" operator="containsText" text="ATLACOMULCO">
      <formula>NOT(ISERROR(SEARCH("ATLACOMULCO",I15)))</formula>
    </cfRule>
    <cfRule type="containsText" dxfId="250" priority="96" operator="containsText" text="MITSU">
      <formula>NOT(ISERROR(SEARCH("MITSU",I15)))</formula>
    </cfRule>
    <cfRule type="containsText" dxfId="249" priority="97" operator="containsText" text="ATLACOMULCO">
      <formula>NOT(ISERROR(SEARCH("ATLACOMULCO",I15)))</formula>
    </cfRule>
    <cfRule type="containsText" dxfId="248" priority="98" operator="containsText" text="FIAT">
      <formula>NOT(ISERROR(SEARCH("FIAT",I15)))</formula>
    </cfRule>
    <cfRule type="containsText" dxfId="247" priority="99" operator="containsText" text="P1">
      <formula>NOT(ISERROR(SEARCH("P1",I15)))</formula>
    </cfRule>
    <cfRule type="containsText" dxfId="246" priority="100" operator="containsText" text="P3">
      <formula>NOT(ISERROR(SEARCH("P3",I15)))</formula>
    </cfRule>
    <cfRule type="containsText" dxfId="245" priority="101" operator="containsText" text="SALA">
      <formula>NOT(ISERROR(SEARCH("SALA",I15)))</formula>
    </cfRule>
    <cfRule type="containsText" dxfId="244" priority="102" operator="containsText" text="TENANCINGO">
      <formula>NOT(ISERROR(SEARCH("TENANCINGO",I15)))</formula>
    </cfRule>
    <cfRule type="containsText" dxfId="243" priority="103" operator="containsText" text="LERMA">
      <formula>NOT(ISERROR(SEARCH("LERMA",I15)))</formula>
    </cfRule>
  </conditionalFormatting>
  <conditionalFormatting sqref="D15:D16">
    <cfRule type="duplicateValues" dxfId="242" priority="92"/>
  </conditionalFormatting>
  <conditionalFormatting sqref="I15:I16">
    <cfRule type="containsText" dxfId="241" priority="90" operator="containsText" text="ENTREGADA">
      <formula>NOT(ISERROR(SEARCH("ENTREGADA",I15)))</formula>
    </cfRule>
    <cfRule type="containsText" dxfId="240" priority="91" operator="containsText" text="ENTREGADA">
      <formula>NOT(ISERROR(SEARCH("ENTREGADA",I15)))</formula>
    </cfRule>
  </conditionalFormatting>
  <conditionalFormatting sqref="AL15:AL16">
    <cfRule type="cellIs" dxfId="239" priority="88" operator="greaterThan">
      <formula>365</formula>
    </cfRule>
    <cfRule type="cellIs" dxfId="238" priority="89" operator="equal">
      <formula>365</formula>
    </cfRule>
  </conditionalFormatting>
  <conditionalFormatting sqref="D15:D16">
    <cfRule type="duplicateValues" dxfId="237" priority="87"/>
  </conditionalFormatting>
  <conditionalFormatting sqref="D17">
    <cfRule type="duplicateValues" dxfId="236" priority="86"/>
  </conditionalFormatting>
  <conditionalFormatting sqref="I17">
    <cfRule type="containsText" dxfId="235" priority="84" operator="containsText" text="ENTREGADA">
      <formula>NOT(ISERROR(SEARCH("ENTREGADA",I17)))</formula>
    </cfRule>
    <cfRule type="containsText" dxfId="234" priority="85" operator="containsText" text="ENTREGADA">
      <formula>NOT(ISERROR(SEARCH("ENTREGADA",I17)))</formula>
    </cfRule>
  </conditionalFormatting>
  <conditionalFormatting sqref="AL17">
    <cfRule type="cellIs" dxfId="233" priority="82" operator="greaterThan">
      <formula>365</formula>
    </cfRule>
    <cfRule type="cellIs" dxfId="232" priority="83" operator="equal">
      <formula>365</formula>
    </cfRule>
  </conditionalFormatting>
  <conditionalFormatting sqref="D17">
    <cfRule type="duplicateValues" dxfId="231" priority="81"/>
  </conditionalFormatting>
  <conditionalFormatting sqref="I18">
    <cfRule type="containsText" dxfId="230" priority="79" operator="containsText" text="ENTREGADA">
      <formula>NOT(ISERROR(SEARCH("ENTREGADA",I18)))</formula>
    </cfRule>
    <cfRule type="containsText" dxfId="229" priority="80" operator="containsText" text="ENTREGADA">
      <formula>NOT(ISERROR(SEARCH("ENTREGADA",I18)))</formula>
    </cfRule>
  </conditionalFormatting>
  <conditionalFormatting sqref="AL18">
    <cfRule type="cellIs" dxfId="228" priority="77" operator="greaterThan">
      <formula>365</formula>
    </cfRule>
    <cfRule type="cellIs" dxfId="227" priority="78" operator="equal">
      <formula>365</formula>
    </cfRule>
  </conditionalFormatting>
  <conditionalFormatting sqref="D18">
    <cfRule type="duplicateValues" dxfId="226" priority="76"/>
  </conditionalFormatting>
  <conditionalFormatting sqref="D18">
    <cfRule type="duplicateValues" dxfId="225" priority="75"/>
  </conditionalFormatting>
  <conditionalFormatting sqref="I19">
    <cfRule type="containsText" dxfId="224" priority="73" operator="containsText" text="ENTREGADA">
      <formula>NOT(ISERROR(SEARCH("ENTREGADA",I19)))</formula>
    </cfRule>
    <cfRule type="containsText" dxfId="223" priority="74" operator="containsText" text="ENTREGADA">
      <formula>NOT(ISERROR(SEARCH("ENTREGADA",I19)))</formula>
    </cfRule>
  </conditionalFormatting>
  <conditionalFormatting sqref="D19">
    <cfRule type="duplicateValues" dxfId="222" priority="72"/>
  </conditionalFormatting>
  <conditionalFormatting sqref="AL19">
    <cfRule type="cellIs" dxfId="221" priority="70" operator="greaterThan">
      <formula>365</formula>
    </cfRule>
    <cfRule type="cellIs" dxfId="220" priority="71" operator="equal">
      <formula>365</formula>
    </cfRule>
  </conditionalFormatting>
  <conditionalFormatting sqref="D19">
    <cfRule type="duplicateValues" dxfId="219" priority="69"/>
  </conditionalFormatting>
  <conditionalFormatting sqref="I20">
    <cfRule type="containsText" dxfId="218" priority="67" operator="containsText" text="ENTREGADA">
      <formula>NOT(ISERROR(SEARCH("ENTREGADA",I20)))</formula>
    </cfRule>
    <cfRule type="containsText" dxfId="217" priority="68" operator="containsText" text="ENTREGADA">
      <formula>NOT(ISERROR(SEARCH("ENTREGADA",I20)))</formula>
    </cfRule>
  </conditionalFormatting>
  <conditionalFormatting sqref="AL20">
    <cfRule type="cellIs" dxfId="216" priority="65" operator="greaterThan">
      <formula>365</formula>
    </cfRule>
    <cfRule type="cellIs" dxfId="215" priority="66" operator="equal">
      <formula>365</formula>
    </cfRule>
  </conditionalFormatting>
  <conditionalFormatting sqref="D20">
    <cfRule type="duplicateValues" dxfId="214" priority="64"/>
  </conditionalFormatting>
  <conditionalFormatting sqref="D20">
    <cfRule type="duplicateValues" dxfId="213" priority="63"/>
  </conditionalFormatting>
  <conditionalFormatting sqref="I21">
    <cfRule type="containsText" dxfId="212" priority="61" operator="containsText" text="ENTREGADA">
      <formula>NOT(ISERROR(SEARCH("ENTREGADA",I21)))</formula>
    </cfRule>
    <cfRule type="containsText" dxfId="211" priority="62" operator="containsText" text="ENTREGADA">
      <formula>NOT(ISERROR(SEARCH("ENTREGADA",I21)))</formula>
    </cfRule>
  </conditionalFormatting>
  <conditionalFormatting sqref="AL21:AL22">
    <cfRule type="cellIs" dxfId="210" priority="59" operator="greaterThan">
      <formula>365</formula>
    </cfRule>
    <cfRule type="cellIs" dxfId="209" priority="60" operator="equal">
      <formula>365</formula>
    </cfRule>
  </conditionalFormatting>
  <conditionalFormatting sqref="I22">
    <cfRule type="containsText" dxfId="208" priority="57" operator="containsText" text="ENTREGADA">
      <formula>NOT(ISERROR(SEARCH("ENTREGADA",I22)))</formula>
    </cfRule>
    <cfRule type="containsText" dxfId="207" priority="58" operator="containsText" text="ENTREGADA">
      <formula>NOT(ISERROR(SEARCH("ENTREGADA",I22)))</formula>
    </cfRule>
  </conditionalFormatting>
  <conditionalFormatting sqref="AL22">
    <cfRule type="cellIs" dxfId="206" priority="55" operator="greaterThan">
      <formula>365</formula>
    </cfRule>
    <cfRule type="cellIs" dxfId="205" priority="56" operator="equal">
      <formula>365</formula>
    </cfRule>
  </conditionalFormatting>
  <conditionalFormatting sqref="D21:D22">
    <cfRule type="duplicateValues" dxfId="204" priority="54"/>
  </conditionalFormatting>
  <conditionalFormatting sqref="D21">
    <cfRule type="duplicateValues" dxfId="203" priority="53"/>
  </conditionalFormatting>
  <conditionalFormatting sqref="D22">
    <cfRule type="duplicateValues" dxfId="202" priority="52"/>
  </conditionalFormatting>
  <conditionalFormatting sqref="AL23">
    <cfRule type="cellIs" dxfId="201" priority="50" operator="greaterThan">
      <formula>365</formula>
    </cfRule>
    <cfRule type="cellIs" dxfId="200" priority="51" operator="equal">
      <formula>365</formula>
    </cfRule>
  </conditionalFormatting>
  <conditionalFormatting sqref="D23">
    <cfRule type="duplicateValues" dxfId="199" priority="49"/>
  </conditionalFormatting>
  <conditionalFormatting sqref="I23">
    <cfRule type="containsText" dxfId="198" priority="47" operator="containsText" text="ENTREGADA">
      <formula>NOT(ISERROR(SEARCH("ENTREGADA",I23)))</formula>
    </cfRule>
    <cfRule type="containsText" dxfId="197" priority="48" operator="containsText" text="ENTREGADA">
      <formula>NOT(ISERROR(SEARCH("ENTREGADA",I23)))</formula>
    </cfRule>
  </conditionalFormatting>
  <conditionalFormatting sqref="AL23">
    <cfRule type="cellIs" dxfId="196" priority="45" operator="greaterThan">
      <formula>365</formula>
    </cfRule>
    <cfRule type="cellIs" dxfId="195" priority="46" operator="equal">
      <formula>365</formula>
    </cfRule>
  </conditionalFormatting>
  <conditionalFormatting sqref="D23">
    <cfRule type="duplicateValues" dxfId="194" priority="44"/>
  </conditionalFormatting>
  <conditionalFormatting sqref="I24">
    <cfRule type="containsText" dxfId="193" priority="42" operator="containsText" text="ENTREGADA">
      <formula>NOT(ISERROR(SEARCH("ENTREGADA",I24)))</formula>
    </cfRule>
    <cfRule type="containsText" dxfId="192" priority="43" operator="containsText" text="ENTREGADA">
      <formula>NOT(ISERROR(SEARCH("ENTREGADA",I24)))</formula>
    </cfRule>
  </conditionalFormatting>
  <conditionalFormatting sqref="AL24">
    <cfRule type="cellIs" dxfId="191" priority="40" operator="greaterThan">
      <formula>365</formula>
    </cfRule>
    <cfRule type="cellIs" dxfId="190" priority="41" operator="equal">
      <formula>365</formula>
    </cfRule>
  </conditionalFormatting>
  <conditionalFormatting sqref="D24">
    <cfRule type="duplicateValues" dxfId="189" priority="39"/>
  </conditionalFormatting>
  <conditionalFormatting sqref="D24">
    <cfRule type="duplicateValues" dxfId="188" priority="38"/>
  </conditionalFormatting>
  <conditionalFormatting sqref="I25:I28">
    <cfRule type="containsText" dxfId="187" priority="36" operator="containsText" text="ENTREGADA">
      <formula>NOT(ISERROR(SEARCH("ENTREGADA",I25)))</formula>
    </cfRule>
    <cfRule type="containsText" dxfId="186" priority="37" operator="containsText" text="ENTREGADA">
      <formula>NOT(ISERROR(SEARCH("ENTREGADA",I25)))</formula>
    </cfRule>
  </conditionalFormatting>
  <conditionalFormatting sqref="AL25:AL28">
    <cfRule type="cellIs" dxfId="185" priority="34" operator="greaterThan">
      <formula>365</formula>
    </cfRule>
    <cfRule type="cellIs" dxfId="184" priority="35" operator="equal">
      <formula>365</formula>
    </cfRule>
  </conditionalFormatting>
  <conditionalFormatting sqref="D25:D28">
    <cfRule type="duplicateValues" dxfId="183" priority="33"/>
  </conditionalFormatting>
  <conditionalFormatting sqref="D25:D28">
    <cfRule type="duplicateValues" dxfId="182" priority="32"/>
  </conditionalFormatting>
  <conditionalFormatting sqref="D29">
    <cfRule type="duplicateValues" dxfId="181" priority="31"/>
  </conditionalFormatting>
  <conditionalFormatting sqref="I29">
    <cfRule type="containsText" dxfId="180" priority="29" operator="containsText" text="ENTREGADA">
      <formula>NOT(ISERROR(SEARCH("ENTREGADA",I29)))</formula>
    </cfRule>
    <cfRule type="containsText" dxfId="179" priority="30" operator="containsText" text="ENTREGADA">
      <formula>NOT(ISERROR(SEARCH("ENTREGADA",I29)))</formula>
    </cfRule>
  </conditionalFormatting>
  <conditionalFormatting sqref="I30">
    <cfRule type="containsText" dxfId="178" priority="27" operator="containsText" text="ENTREGADA">
      <formula>NOT(ISERROR(SEARCH("ENTREGADA",I30)))</formula>
    </cfRule>
    <cfRule type="containsText" dxfId="177" priority="28" operator="containsText" text="ENTREGADA">
      <formula>NOT(ISERROR(SEARCH("ENTREGADA",I30)))</formula>
    </cfRule>
  </conditionalFormatting>
  <conditionalFormatting sqref="AL29:AL30">
    <cfRule type="cellIs" dxfId="176" priority="25" operator="greaterThan">
      <formula>365</formula>
    </cfRule>
    <cfRule type="cellIs" dxfId="175" priority="26" operator="equal">
      <formula>365</formula>
    </cfRule>
  </conditionalFormatting>
  <conditionalFormatting sqref="D29:D30">
    <cfRule type="duplicateValues" dxfId="174" priority="24"/>
  </conditionalFormatting>
  <conditionalFormatting sqref="D30">
    <cfRule type="duplicateValues" dxfId="173" priority="23"/>
  </conditionalFormatting>
  <conditionalFormatting sqref="I31">
    <cfRule type="containsText" dxfId="172" priority="21" operator="containsText" text="ENTREGADA">
      <formula>NOT(ISERROR(SEARCH("ENTREGADA",I31)))</formula>
    </cfRule>
    <cfRule type="containsText" dxfId="171" priority="22" operator="containsText" text="ENTREGADA">
      <formula>NOT(ISERROR(SEARCH("ENTREGADA",I31)))</formula>
    </cfRule>
  </conditionalFormatting>
  <conditionalFormatting sqref="AL31">
    <cfRule type="cellIs" dxfId="170" priority="19" operator="greaterThan">
      <formula>365</formula>
    </cfRule>
    <cfRule type="cellIs" dxfId="169" priority="20" operator="equal">
      <formula>365</formula>
    </cfRule>
  </conditionalFormatting>
  <conditionalFormatting sqref="D31">
    <cfRule type="duplicateValues" dxfId="168" priority="18"/>
  </conditionalFormatting>
  <conditionalFormatting sqref="D31">
    <cfRule type="duplicateValues" dxfId="167" priority="17"/>
  </conditionalFormatting>
  <conditionalFormatting sqref="I32:I33">
    <cfRule type="containsText" dxfId="166" priority="15" operator="containsText" text="ENTREGADA">
      <formula>NOT(ISERROR(SEARCH("ENTREGADA",I32)))</formula>
    </cfRule>
    <cfRule type="containsText" dxfId="165" priority="16" operator="containsText" text="ENTREGADA">
      <formula>NOT(ISERROR(SEARCH("ENTREGADA",I32)))</formula>
    </cfRule>
  </conditionalFormatting>
  <conditionalFormatting sqref="D32:D33">
    <cfRule type="duplicateValues" dxfId="164" priority="14"/>
  </conditionalFormatting>
  <conditionalFormatting sqref="AL32:AL33">
    <cfRule type="cellIs" dxfId="163" priority="12" operator="greaterThan">
      <formula>365</formula>
    </cfRule>
    <cfRule type="cellIs" dxfId="162" priority="13" operator="equal">
      <formula>365</formula>
    </cfRule>
  </conditionalFormatting>
  <conditionalFormatting sqref="D32:D33">
    <cfRule type="duplicateValues" dxfId="161" priority="11"/>
  </conditionalFormatting>
  <conditionalFormatting sqref="I34">
    <cfRule type="containsText" dxfId="160" priority="9" operator="containsText" text="ENTREGADA">
      <formula>NOT(ISERROR(SEARCH("ENTREGADA",I34)))</formula>
    </cfRule>
    <cfRule type="containsText" dxfId="159" priority="10" operator="containsText" text="ENTREGADA">
      <formula>NOT(ISERROR(SEARCH("ENTREGADA",I34)))</formula>
    </cfRule>
  </conditionalFormatting>
  <conditionalFormatting sqref="D34">
    <cfRule type="duplicateValues" dxfId="158" priority="8"/>
  </conditionalFormatting>
  <conditionalFormatting sqref="D34">
    <cfRule type="duplicateValues" dxfId="157" priority="7"/>
  </conditionalFormatting>
  <conditionalFormatting sqref="I35:I36">
    <cfRule type="containsText" dxfId="156" priority="5" operator="containsText" text="ENTREGADA">
      <formula>NOT(ISERROR(SEARCH("ENTREGADA",I35)))</formula>
    </cfRule>
    <cfRule type="containsText" dxfId="155" priority="6" operator="containsText" text="ENTREGADA">
      <formula>NOT(ISERROR(SEARCH("ENTREGADA",I35)))</formula>
    </cfRule>
  </conditionalFormatting>
  <conditionalFormatting sqref="D35:D36">
    <cfRule type="duplicateValues" dxfId="154" priority="4"/>
  </conditionalFormatting>
  <conditionalFormatting sqref="D35:D36">
    <cfRule type="duplicateValues" dxfId="153" priority="3"/>
  </conditionalFormatting>
  <conditionalFormatting sqref="AL34:AL36">
    <cfRule type="cellIs" dxfId="152" priority="1" operator="greaterThan">
      <formula>365</formula>
    </cfRule>
    <cfRule type="cellIs" dxfId="151" priority="2" operator="equal">
      <formula>365</formula>
    </cfRule>
  </conditionalFormatting>
  <pageMargins left="0.25" right="0.25" top="0.75" bottom="0.75" header="0.3" footer="0.3"/>
  <pageSetup paperSize="9" scale="2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9999FF"/>
  </sheetPr>
  <dimension ref="A1:AL33"/>
  <sheetViews>
    <sheetView zoomScaleNormal="100" workbookViewId="0">
      <pane ySplit="3" topLeftCell="A4" activePane="bottomLeft" state="frozen"/>
      <selection pane="bottomLeft" activeCell="D10" sqref="D10"/>
    </sheetView>
  </sheetViews>
  <sheetFormatPr baseColWidth="10" defaultColWidth="25" defaultRowHeight="12.75"/>
  <cols>
    <col min="1" max="1" width="10.5703125" style="159" customWidth="1"/>
    <col min="2" max="3" width="20.140625" style="159" customWidth="1"/>
    <col min="4" max="4" width="8.7109375" style="159" customWidth="1"/>
    <col min="5" max="5" width="13.28515625" style="158" customWidth="1"/>
    <col min="6" max="6" width="14.140625" style="159" customWidth="1"/>
    <col min="7" max="7" width="19.7109375" style="159" customWidth="1"/>
    <col min="8" max="8" width="10.28515625" style="159" customWidth="1"/>
    <col min="9" max="9" width="10" style="281" customWidth="1"/>
    <col min="10" max="10" width="10.28515625" style="172" customWidth="1"/>
    <col min="11" max="11" width="10.28515625" style="160" customWidth="1"/>
    <col min="12" max="12" width="10.7109375" style="160" customWidth="1"/>
    <col min="13" max="13" width="4.28515625" style="159" customWidth="1"/>
    <col min="14" max="14" width="6" style="159" customWidth="1"/>
    <col min="15" max="15" width="11.140625" style="159" customWidth="1"/>
    <col min="16" max="16" width="13.85546875" style="159" customWidth="1"/>
    <col min="17" max="17" width="8.85546875" style="159" customWidth="1"/>
    <col min="18" max="18" width="11.28515625" style="159" customWidth="1"/>
    <col min="19" max="19" width="14.28515625" style="159" customWidth="1"/>
    <col min="20" max="20" width="17.140625" style="159" customWidth="1"/>
    <col min="21" max="21" width="13.28515625" style="166" customWidth="1"/>
    <col min="22" max="22" width="10.85546875" style="159" customWidth="1"/>
    <col min="23" max="23" width="9.85546875" style="159" customWidth="1"/>
    <col min="24" max="24" width="9.7109375" style="159" customWidth="1"/>
    <col min="25" max="25" width="13" style="159" customWidth="1"/>
    <col min="26" max="26" width="12.5703125" style="159" customWidth="1"/>
    <col min="27" max="27" width="12" style="159" customWidth="1"/>
    <col min="28" max="28" width="9.140625" style="159" customWidth="1"/>
    <col min="29" max="29" width="9.85546875" style="159" customWidth="1"/>
    <col min="30" max="30" width="13.5703125" style="246" customWidth="1"/>
    <col min="31" max="31" width="10.85546875" style="444" customWidth="1"/>
    <col min="32" max="32" width="25" style="159"/>
    <col min="33" max="33" width="14.28515625" style="158" customWidth="1"/>
    <col min="34" max="34" width="11.42578125" style="158" customWidth="1"/>
    <col min="35" max="35" width="11.28515625" style="175" customWidth="1"/>
    <col min="36" max="36" width="10.85546875" style="159" customWidth="1"/>
    <col min="37" max="37" width="7.42578125" style="159" customWidth="1"/>
    <col min="38" max="16384" width="25" style="159"/>
  </cols>
  <sheetData>
    <row r="1" spans="1:38" s="165" customFormat="1">
      <c r="A1" s="188">
        <f ca="1">TODAY()</f>
        <v>43745</v>
      </c>
      <c r="D1" s="164"/>
      <c r="E1" s="238"/>
      <c r="F1" s="238"/>
      <c r="I1" s="281"/>
      <c r="K1" s="188"/>
      <c r="L1" s="188"/>
      <c r="M1" s="188"/>
      <c r="N1" s="239"/>
      <c r="O1" s="188"/>
      <c r="P1" s="188"/>
      <c r="R1" s="162"/>
      <c r="S1" s="189"/>
      <c r="T1" s="190"/>
      <c r="V1" s="188"/>
      <c r="W1" s="191"/>
      <c r="X1" s="188"/>
      <c r="Y1" s="240"/>
      <c r="Z1" s="241"/>
      <c r="AA1" s="241"/>
      <c r="AC1" s="191"/>
      <c r="AD1" s="188"/>
      <c r="AE1" s="163"/>
      <c r="AI1" s="238"/>
    </row>
    <row r="2" spans="1:38" s="165" customFormat="1">
      <c r="C2" s="165">
        <f ca="1">+TODAY()</f>
        <v>43745</v>
      </c>
      <c r="D2" s="164"/>
      <c r="E2" s="238"/>
      <c r="F2" s="238"/>
      <c r="I2" s="281"/>
      <c r="J2" s="192"/>
      <c r="K2" s="188"/>
      <c r="L2" s="239"/>
      <c r="M2" s="242"/>
      <c r="N2" s="242"/>
      <c r="O2" s="242"/>
      <c r="P2" s="242"/>
      <c r="Q2" s="192"/>
      <c r="R2" s="162"/>
      <c r="S2" s="189"/>
      <c r="T2" s="190"/>
      <c r="V2" s="188"/>
      <c r="W2" s="191"/>
      <c r="X2" s="188"/>
      <c r="Y2" s="240"/>
      <c r="Z2" s="241"/>
      <c r="AA2" s="241"/>
      <c r="AC2" s="191"/>
      <c r="AD2" s="188"/>
      <c r="AE2" s="163"/>
      <c r="AI2" s="238"/>
    </row>
    <row r="3" spans="1:38" s="187" customFormat="1" ht="28.5" customHeight="1">
      <c r="A3" s="193" t="s">
        <v>2</v>
      </c>
      <c r="B3" s="194" t="s">
        <v>3</v>
      </c>
      <c r="C3" s="194" t="s">
        <v>4</v>
      </c>
      <c r="D3" s="194" t="s">
        <v>51</v>
      </c>
      <c r="E3" s="243" t="s">
        <v>5</v>
      </c>
      <c r="F3" s="243" t="s">
        <v>43</v>
      </c>
      <c r="G3" s="194" t="s">
        <v>6</v>
      </c>
      <c r="H3" s="194" t="s">
        <v>7</v>
      </c>
      <c r="I3" s="194" t="s">
        <v>8</v>
      </c>
      <c r="J3" s="195" t="s">
        <v>9</v>
      </c>
      <c r="K3" s="196" t="s">
        <v>10</v>
      </c>
      <c r="L3" s="196" t="s">
        <v>11</v>
      </c>
      <c r="M3" s="195" t="s">
        <v>12</v>
      </c>
      <c r="N3" s="197" t="s">
        <v>13</v>
      </c>
      <c r="O3" s="198" t="s">
        <v>14</v>
      </c>
      <c r="P3" s="198" t="s">
        <v>15</v>
      </c>
      <c r="Q3" s="195" t="s">
        <v>16</v>
      </c>
      <c r="R3" s="199" t="s">
        <v>1006</v>
      </c>
      <c r="S3" s="200" t="s">
        <v>50</v>
      </c>
      <c r="T3" s="201" t="s">
        <v>18</v>
      </c>
      <c r="U3" s="202" t="s">
        <v>19</v>
      </c>
      <c r="V3" s="203" t="s">
        <v>20</v>
      </c>
      <c r="W3" s="204" t="s">
        <v>21</v>
      </c>
      <c r="X3" s="203" t="s">
        <v>22</v>
      </c>
      <c r="Y3" s="244" t="s">
        <v>23</v>
      </c>
      <c r="Z3" s="245" t="s">
        <v>24</v>
      </c>
      <c r="AA3" s="245" t="s">
        <v>25</v>
      </c>
      <c r="AB3" s="202" t="s">
        <v>46</v>
      </c>
      <c r="AC3" s="204" t="s">
        <v>26</v>
      </c>
      <c r="AD3" s="203" t="s">
        <v>27</v>
      </c>
      <c r="AE3" s="205" t="s">
        <v>28</v>
      </c>
      <c r="AF3" s="202" t="s">
        <v>42</v>
      </c>
      <c r="AG3" s="202" t="s">
        <v>47</v>
      </c>
      <c r="AH3" s="202" t="s">
        <v>29</v>
      </c>
      <c r="AI3" s="245"/>
      <c r="AJ3" s="202" t="s">
        <v>30</v>
      </c>
      <c r="AK3" s="202" t="s">
        <v>61</v>
      </c>
    </row>
    <row r="4" spans="1:38">
      <c r="B4" s="449" t="s">
        <v>653</v>
      </c>
      <c r="R4" s="5"/>
    </row>
    <row r="5" spans="1:38" s="546" customFormat="1" ht="12">
      <c r="A5" s="546" t="s">
        <v>274</v>
      </c>
      <c r="B5" s="546" t="s">
        <v>205</v>
      </c>
      <c r="C5" s="546" t="s">
        <v>275</v>
      </c>
      <c r="D5" s="546" t="s">
        <v>279</v>
      </c>
      <c r="E5" s="547">
        <v>477648.21</v>
      </c>
      <c r="F5" s="546">
        <v>477648.21</v>
      </c>
      <c r="G5" s="546" t="s">
        <v>158</v>
      </c>
      <c r="H5" s="546" t="s">
        <v>212</v>
      </c>
      <c r="I5" s="602" t="s">
        <v>32</v>
      </c>
      <c r="J5" s="548" t="s">
        <v>150</v>
      </c>
      <c r="K5" s="549">
        <v>43646</v>
      </c>
      <c r="L5" s="549">
        <v>43662</v>
      </c>
      <c r="M5" s="546">
        <v>17</v>
      </c>
      <c r="N5" s="546">
        <v>9.7379999999999994E-2</v>
      </c>
      <c r="O5" s="546">
        <v>2196.4652936849998</v>
      </c>
      <c r="P5" s="546">
        <v>479844.675293685</v>
      </c>
      <c r="R5" s="332">
        <v>43662</v>
      </c>
      <c r="U5" s="550" t="s">
        <v>52</v>
      </c>
      <c r="AA5" s="546">
        <v>0</v>
      </c>
      <c r="AD5" s="551"/>
      <c r="AE5" s="552"/>
      <c r="AG5" s="547" t="s">
        <v>82</v>
      </c>
      <c r="AH5" s="547"/>
      <c r="AI5" s="553" t="s">
        <v>353</v>
      </c>
      <c r="AJ5" s="546">
        <v>2067.2600000000002</v>
      </c>
      <c r="AK5" s="546">
        <v>-129.20529368499956</v>
      </c>
      <c r="AL5" s="546">
        <v>295</v>
      </c>
    </row>
    <row r="6" spans="1:38">
      <c r="B6" s="449" t="s">
        <v>1402</v>
      </c>
    </row>
    <row r="7" spans="1:38" s="300" customFormat="1" ht="12" customHeight="1">
      <c r="A7" s="278" t="s">
        <v>764</v>
      </c>
      <c r="B7" s="278" t="s">
        <v>57</v>
      </c>
      <c r="C7" s="278" t="s">
        <v>772</v>
      </c>
      <c r="D7" s="260" t="str">
        <f>+RIGHT(C7,8)</f>
        <v>KC774843</v>
      </c>
      <c r="E7" s="279">
        <v>1518340.17</v>
      </c>
      <c r="F7" s="279">
        <v>1518340.17</v>
      </c>
      <c r="G7" s="280" t="s">
        <v>158</v>
      </c>
      <c r="H7" s="278" t="s">
        <v>33</v>
      </c>
      <c r="I7" s="281" t="s">
        <v>905</v>
      </c>
      <c r="J7" s="278" t="s">
        <v>150</v>
      </c>
      <c r="K7" s="282">
        <v>43738</v>
      </c>
      <c r="L7" s="283">
        <v>43911</v>
      </c>
      <c r="M7" s="278">
        <f ca="1">$A$1-K7</f>
        <v>7</v>
      </c>
      <c r="N7" s="285">
        <v>9.2899999999999996E-2</v>
      </c>
      <c r="O7" s="337">
        <f ca="1">F7*N7/360*M7</f>
        <v>2742.7128126416665</v>
      </c>
      <c r="P7" s="286">
        <f ca="1">O7+F7</f>
        <v>1521082.8828126416</v>
      </c>
      <c r="Q7" s="287"/>
      <c r="R7" s="332">
        <v>43739</v>
      </c>
      <c r="S7" s="287" t="s">
        <v>782</v>
      </c>
      <c r="T7" s="287" t="s">
        <v>433</v>
      </c>
      <c r="U7" s="325" t="s">
        <v>202</v>
      </c>
      <c r="V7" s="502" t="s">
        <v>764</v>
      </c>
      <c r="W7" s="290"/>
      <c r="X7" s="290"/>
      <c r="Y7" s="326">
        <v>825000</v>
      </c>
      <c r="Z7" s="326">
        <v>825000</v>
      </c>
      <c r="AA7" s="293">
        <f>+Y7-Z7</f>
        <v>0</v>
      </c>
      <c r="AB7" s="294" t="s">
        <v>197</v>
      </c>
      <c r="AC7" s="294" t="s">
        <v>1088</v>
      </c>
      <c r="AD7" s="295">
        <v>43726</v>
      </c>
      <c r="AE7" s="296">
        <v>43720</v>
      </c>
      <c r="AF7" s="287" t="s">
        <v>65</v>
      </c>
      <c r="AG7" s="294" t="s">
        <v>996</v>
      </c>
      <c r="AH7" s="494"/>
      <c r="AI7" s="286" t="s">
        <v>918</v>
      </c>
      <c r="AJ7" s="338">
        <f>VLOOKUP(D7,[14]Hoja1!$F$5:$I$32,4,0)</f>
        <v>391.82</v>
      </c>
      <c r="AK7" s="339">
        <f ca="1">+AJ7-O7</f>
        <v>-2350.8928126416663</v>
      </c>
      <c r="AL7" s="588">
        <f ca="1">+$A$1-A7</f>
        <v>68</v>
      </c>
    </row>
    <row r="8" spans="1:38" s="300" customFormat="1" ht="12" customHeight="1">
      <c r="A8" s="301" t="s">
        <v>294</v>
      </c>
      <c r="B8" s="278" t="s">
        <v>146</v>
      </c>
      <c r="C8" s="278" t="s">
        <v>295</v>
      </c>
      <c r="D8" s="260" t="s">
        <v>668</v>
      </c>
      <c r="E8" s="279">
        <v>391355</v>
      </c>
      <c r="F8" s="279">
        <v>391355</v>
      </c>
      <c r="G8" s="280" t="s">
        <v>158</v>
      </c>
      <c r="H8" s="278" t="s">
        <v>33</v>
      </c>
      <c r="I8" s="281" t="s">
        <v>39</v>
      </c>
      <c r="J8" s="278" t="s">
        <v>150</v>
      </c>
      <c r="K8" s="282">
        <v>43738</v>
      </c>
      <c r="L8" s="301">
        <v>43838</v>
      </c>
      <c r="M8" s="278">
        <f ca="1">$A$1-K8</f>
        <v>7</v>
      </c>
      <c r="N8" s="285">
        <v>9.2899999999999996E-2</v>
      </c>
      <c r="O8" s="337">
        <f ca="1">F8*N8/360*M8</f>
        <v>706.93932361111092</v>
      </c>
      <c r="P8" s="286">
        <f ca="1">O8+F8</f>
        <v>392061.93932361109</v>
      </c>
      <c r="Q8" s="287"/>
      <c r="R8" s="332">
        <v>43740</v>
      </c>
      <c r="S8" s="287" t="s">
        <v>1139</v>
      </c>
      <c r="T8" s="287" t="s">
        <v>1140</v>
      </c>
      <c r="U8" s="294" t="s">
        <v>37</v>
      </c>
      <c r="V8" s="502">
        <v>43732</v>
      </c>
      <c r="W8" s="290"/>
      <c r="X8" s="290"/>
      <c r="Y8" s="326">
        <v>387900</v>
      </c>
      <c r="Z8" s="292">
        <v>200012.71</v>
      </c>
      <c r="AA8" s="293">
        <f>+Y8-Z8</f>
        <v>187887.29</v>
      </c>
      <c r="AB8" s="294" t="s">
        <v>203</v>
      </c>
      <c r="AC8" s="294" t="s">
        <v>1143</v>
      </c>
      <c r="AD8" s="295">
        <v>43732</v>
      </c>
      <c r="AE8" s="296">
        <v>43733</v>
      </c>
      <c r="AF8" s="287" t="s">
        <v>45</v>
      </c>
      <c r="AG8" s="294" t="s">
        <v>996</v>
      </c>
      <c r="AH8" s="478"/>
      <c r="AI8" s="278" t="s">
        <v>223</v>
      </c>
      <c r="AJ8" s="338">
        <f>VLOOKUP(D8,[15]Hoja1!$F$5:$I$32,4,0)</f>
        <v>201.98</v>
      </c>
      <c r="AK8" s="339">
        <f ca="1">+AJ8-O8</f>
        <v>-504.9593236111109</v>
      </c>
      <c r="AL8" s="588">
        <f ca="1">+$A$1-A8</f>
        <v>314</v>
      </c>
    </row>
    <row r="9" spans="1:38" s="300" customFormat="1" ht="12" customHeight="1">
      <c r="A9" s="278" t="s">
        <v>330</v>
      </c>
      <c r="B9" s="278" t="s">
        <v>146</v>
      </c>
      <c r="C9" s="278" t="s">
        <v>332</v>
      </c>
      <c r="D9" s="260" t="str">
        <f>+RIGHT(C9,8)</f>
        <v>KK222267</v>
      </c>
      <c r="E9" s="279">
        <v>392411.76</v>
      </c>
      <c r="F9" s="279">
        <v>392411.76</v>
      </c>
      <c r="G9" s="280" t="s">
        <v>158</v>
      </c>
      <c r="H9" s="278" t="s">
        <v>33</v>
      </c>
      <c r="I9" s="281" t="s">
        <v>39</v>
      </c>
      <c r="J9" s="278" t="s">
        <v>150</v>
      </c>
      <c r="K9" s="282">
        <v>43738</v>
      </c>
      <c r="L9" s="283">
        <v>43885</v>
      </c>
      <c r="M9" s="278">
        <f ca="1">$A$1-K9</f>
        <v>7</v>
      </c>
      <c r="N9" s="285">
        <v>9.2899999999999996E-2</v>
      </c>
      <c r="O9" s="337">
        <f ca="1">F9*N9/360*M9</f>
        <v>708.84824313333331</v>
      </c>
      <c r="P9" s="286">
        <f ca="1">O9+F9</f>
        <v>393120.60824313335</v>
      </c>
      <c r="Q9" s="287"/>
      <c r="R9" s="332">
        <v>43740</v>
      </c>
      <c r="S9" s="287" t="s">
        <v>1039</v>
      </c>
      <c r="T9" s="287" t="s">
        <v>1040</v>
      </c>
      <c r="U9" s="287" t="s">
        <v>37</v>
      </c>
      <c r="V9" s="502">
        <v>43721</v>
      </c>
      <c r="W9" s="290"/>
      <c r="X9" s="290"/>
      <c r="Y9" s="326">
        <v>424900</v>
      </c>
      <c r="Z9" s="292">
        <v>147859.72</v>
      </c>
      <c r="AA9" s="293">
        <f>+Y9-Z9</f>
        <v>277040.28000000003</v>
      </c>
      <c r="AB9" s="294" t="s">
        <v>203</v>
      </c>
      <c r="AC9" s="294" t="s">
        <v>1087</v>
      </c>
      <c r="AD9" s="295">
        <v>43726</v>
      </c>
      <c r="AE9" s="296">
        <v>43728</v>
      </c>
      <c r="AF9" s="287" t="s">
        <v>285</v>
      </c>
      <c r="AG9" s="294" t="s">
        <v>996</v>
      </c>
      <c r="AH9" s="478"/>
      <c r="AI9" s="294" t="s">
        <v>835</v>
      </c>
      <c r="AJ9" s="338">
        <f>VLOOKUP(D9,[15]Hoja1!$F$5:$I$32,4,0)</f>
        <v>202.53</v>
      </c>
      <c r="AK9" s="339">
        <f ca="1">+AJ9-O9</f>
        <v>-506.31824313333334</v>
      </c>
      <c r="AL9" s="588">
        <f ca="1">+$A$1-A9</f>
        <v>253</v>
      </c>
    </row>
    <row r="10" spans="1:38" s="300" customFormat="1" ht="12" customHeight="1">
      <c r="A10" s="282" t="s">
        <v>661</v>
      </c>
      <c r="B10" s="299" t="s">
        <v>211</v>
      </c>
      <c r="C10" s="299" t="s">
        <v>666</v>
      </c>
      <c r="D10" s="278" t="s">
        <v>699</v>
      </c>
      <c r="E10" s="534">
        <v>491760.21</v>
      </c>
      <c r="F10" s="534">
        <v>491760.21</v>
      </c>
      <c r="G10" s="299" t="s">
        <v>158</v>
      </c>
      <c r="H10" s="278" t="s">
        <v>33</v>
      </c>
      <c r="I10" s="281" t="s">
        <v>39</v>
      </c>
      <c r="J10" s="278" t="s">
        <v>150</v>
      </c>
      <c r="K10" s="282">
        <v>43738</v>
      </c>
      <c r="L10" s="301">
        <v>43908</v>
      </c>
      <c r="M10" s="278">
        <f ca="1">$A$1-K10</f>
        <v>7</v>
      </c>
      <c r="N10" s="285">
        <v>9.2899999999999996E-2</v>
      </c>
      <c r="O10" s="337">
        <f ca="1">F10*N10/360*M10</f>
        <v>888.31017934166664</v>
      </c>
      <c r="P10" s="286">
        <f ca="1">O10+F10</f>
        <v>492648.52017934166</v>
      </c>
      <c r="Q10" s="287"/>
      <c r="R10" s="332">
        <v>43740</v>
      </c>
      <c r="S10" s="287" t="s">
        <v>1112</v>
      </c>
      <c r="T10" s="287" t="s">
        <v>1113</v>
      </c>
      <c r="U10" s="294" t="s">
        <v>40</v>
      </c>
      <c r="V10" s="502">
        <v>43729</v>
      </c>
      <c r="W10" s="290"/>
      <c r="X10" s="290"/>
      <c r="Y10" s="326">
        <v>536900</v>
      </c>
      <c r="Z10" s="292">
        <f>5000+321900+210000</f>
        <v>536900</v>
      </c>
      <c r="AA10" s="293">
        <f>+Y10-Z10</f>
        <v>0</v>
      </c>
      <c r="AB10" s="294" t="s">
        <v>197</v>
      </c>
      <c r="AC10" s="294" t="s">
        <v>1233</v>
      </c>
      <c r="AD10" s="295" t="s">
        <v>1234</v>
      </c>
      <c r="AE10" s="296">
        <v>43735</v>
      </c>
      <c r="AF10" s="287" t="s">
        <v>45</v>
      </c>
      <c r="AG10" s="294" t="s">
        <v>996</v>
      </c>
      <c r="AH10" s="478"/>
      <c r="AI10" s="343" t="s">
        <v>504</v>
      </c>
      <c r="AJ10" s="338">
        <f>VLOOKUP(D10,[15]Hoja1!$F$5:$I$32,4,0)</f>
        <v>253.8</v>
      </c>
      <c r="AK10" s="339">
        <f ca="1">+AJ10-O10</f>
        <v>-634.51017934166657</v>
      </c>
      <c r="AL10" s="588">
        <f ca="1">+$A$1-A10</f>
        <v>89</v>
      </c>
    </row>
    <row r="11" spans="1:38" s="300" customFormat="1" ht="12" customHeight="1">
      <c r="A11" s="278" t="s">
        <v>334</v>
      </c>
      <c r="B11" s="278" t="s">
        <v>179</v>
      </c>
      <c r="C11" s="278" t="s">
        <v>336</v>
      </c>
      <c r="D11" s="260" t="str">
        <f t="shared" ref="D11" si="0">+RIGHT(C11,8)</f>
        <v>KC684224</v>
      </c>
      <c r="E11" s="279">
        <v>709341.16</v>
      </c>
      <c r="F11" s="279">
        <v>709341.16</v>
      </c>
      <c r="G11" s="280" t="s">
        <v>158</v>
      </c>
      <c r="H11" s="278" t="s">
        <v>33</v>
      </c>
      <c r="I11" s="281" t="s">
        <v>39</v>
      </c>
      <c r="J11" s="278" t="s">
        <v>150</v>
      </c>
      <c r="K11" s="282">
        <v>43738</v>
      </c>
      <c r="L11" s="283">
        <v>43885</v>
      </c>
      <c r="M11" s="278">
        <f t="shared" ref="M11" ca="1" si="1">$A$1-K11</f>
        <v>7</v>
      </c>
      <c r="N11" s="285">
        <v>9.2899999999999996E-2</v>
      </c>
      <c r="O11" s="337">
        <f t="shared" ref="O11" ca="1" si="2">F11*N11/360*M11</f>
        <v>1281.3459898555557</v>
      </c>
      <c r="P11" s="286">
        <f t="shared" ref="P11" ca="1" si="3">O11+F11</f>
        <v>710622.50598985562</v>
      </c>
      <c r="Q11" s="287"/>
      <c r="R11" s="332">
        <v>43741</v>
      </c>
      <c r="S11" s="287" t="s">
        <v>1149</v>
      </c>
      <c r="T11" s="287" t="s">
        <v>1150</v>
      </c>
      <c r="U11" s="287" t="s">
        <v>31</v>
      </c>
      <c r="V11" s="502">
        <v>43733</v>
      </c>
      <c r="W11" s="290"/>
      <c r="X11" s="290"/>
      <c r="Y11" s="326">
        <v>784900</v>
      </c>
      <c r="Z11" s="292">
        <f>105000+95000+534900+50000</f>
        <v>784900</v>
      </c>
      <c r="AA11" s="293">
        <f t="shared" ref="AA11" si="4">+Y11-Z11</f>
        <v>0</v>
      </c>
      <c r="AB11" s="294" t="s">
        <v>197</v>
      </c>
      <c r="AC11" s="294" t="s">
        <v>1366</v>
      </c>
      <c r="AD11" s="295" t="s">
        <v>1367</v>
      </c>
      <c r="AE11" s="296"/>
      <c r="AF11" s="287" t="s">
        <v>174</v>
      </c>
      <c r="AG11" s="294" t="s">
        <v>996</v>
      </c>
      <c r="AH11" s="478"/>
      <c r="AI11" s="294" t="s">
        <v>835</v>
      </c>
      <c r="AJ11" s="338">
        <f>VLOOKUP(D11,[16]Hoja1!$F$5:$I$32,4,0)</f>
        <v>549.15</v>
      </c>
      <c r="AK11" s="339">
        <f t="shared" ref="AK11" ca="1" si="5">+AJ11-O11</f>
        <v>-732.19598985555569</v>
      </c>
      <c r="AL11" s="588">
        <f t="shared" ref="AL11" ca="1" si="6">+$A$1-A11</f>
        <v>252</v>
      </c>
    </row>
    <row r="12" spans="1:38">
      <c r="R12" s="5"/>
    </row>
    <row r="13" spans="1:38">
      <c r="R13" s="5"/>
    </row>
    <row r="14" spans="1:38">
      <c r="R14" s="5"/>
    </row>
    <row r="15" spans="1:38">
      <c r="R15" s="5"/>
    </row>
    <row r="16" spans="1:38">
      <c r="R16" s="5"/>
    </row>
    <row r="17" spans="18:18">
      <c r="R17" s="5"/>
    </row>
    <row r="18" spans="18:18">
      <c r="R18" s="5"/>
    </row>
    <row r="19" spans="18:18">
      <c r="R19" s="5"/>
    </row>
    <row r="20" spans="18:18">
      <c r="R20" s="5"/>
    </row>
    <row r="21" spans="18:18">
      <c r="R21" s="5"/>
    </row>
    <row r="22" spans="18:18">
      <c r="R22" s="5"/>
    </row>
    <row r="23" spans="18:18">
      <c r="R23" s="5"/>
    </row>
    <row r="24" spans="18:18">
      <c r="R24" s="5"/>
    </row>
    <row r="25" spans="18:18">
      <c r="R25" s="5"/>
    </row>
    <row r="26" spans="18:18">
      <c r="R26" s="5"/>
    </row>
    <row r="27" spans="18:18">
      <c r="R27" s="5"/>
    </row>
    <row r="28" spans="18:18">
      <c r="R28" s="5"/>
    </row>
    <row r="29" spans="18:18">
      <c r="R29" s="5"/>
    </row>
    <row r="30" spans="18:18">
      <c r="R30" s="5"/>
    </row>
    <row r="31" spans="18:18">
      <c r="R31" s="5"/>
    </row>
    <row r="32" spans="18:18">
      <c r="R32" s="5"/>
    </row>
    <row r="33" spans="18:18">
      <c r="R33" s="5"/>
    </row>
  </sheetData>
  <autoFilter ref="A3:AK3" xr:uid="{00000000-0009-0000-0000-000006000000}"/>
  <conditionalFormatting sqref="J12:J1048576 J4:J5">
    <cfRule type="containsText" dxfId="150" priority="4089" operator="containsText" text="ENTREGADA">
      <formula>NOT(ISERROR(SEARCH("ENTREGADA",J4)))</formula>
    </cfRule>
  </conditionalFormatting>
  <conditionalFormatting sqref="D1:D2">
    <cfRule type="duplicateValues" dxfId="149" priority="4084"/>
  </conditionalFormatting>
  <conditionalFormatting sqref="D7">
    <cfRule type="duplicateValues" dxfId="148" priority="56"/>
  </conditionalFormatting>
  <conditionalFormatting sqref="I7">
    <cfRule type="containsText" dxfId="147" priority="54" operator="containsText" text="ENTREGADA">
      <formula>NOT(ISERROR(SEARCH("ENTREGADA",I7)))</formula>
    </cfRule>
    <cfRule type="containsText" dxfId="146" priority="55" operator="containsText" text="ENTREGADA">
      <formula>NOT(ISERROR(SEARCH("ENTREGADA",I7)))</formula>
    </cfRule>
  </conditionalFormatting>
  <conditionalFormatting sqref="AL7">
    <cfRule type="cellIs" dxfId="145" priority="44" operator="greaterThan">
      <formula>365</formula>
    </cfRule>
    <cfRule type="cellIs" dxfId="144" priority="45" operator="equal">
      <formula>365</formula>
    </cfRule>
  </conditionalFormatting>
  <conditionalFormatting sqref="D7">
    <cfRule type="duplicateValues" dxfId="143" priority="43"/>
  </conditionalFormatting>
  <conditionalFormatting sqref="D8">
    <cfRule type="duplicateValues" dxfId="142" priority="42"/>
  </conditionalFormatting>
  <conditionalFormatting sqref="I8">
    <cfRule type="containsText" dxfId="141" priority="40" operator="containsText" text="ENTREGADA">
      <formula>NOT(ISERROR(SEARCH("ENTREGADA",I8)))</formula>
    </cfRule>
    <cfRule type="containsText" dxfId="140" priority="41" operator="containsText" text="ENTREGADA">
      <formula>NOT(ISERROR(SEARCH("ENTREGADA",I8)))</formula>
    </cfRule>
  </conditionalFormatting>
  <conditionalFormatting sqref="AL8">
    <cfRule type="cellIs" dxfId="139" priority="30" operator="greaterThan">
      <formula>365</formula>
    </cfRule>
    <cfRule type="cellIs" dxfId="138" priority="31" operator="equal">
      <formula>365</formula>
    </cfRule>
  </conditionalFormatting>
  <conditionalFormatting sqref="D8">
    <cfRule type="duplicateValues" dxfId="137" priority="29"/>
  </conditionalFormatting>
  <conditionalFormatting sqref="I9">
    <cfRule type="containsText" dxfId="136" priority="27" operator="containsText" text="ENTREGADA">
      <formula>NOT(ISERROR(SEARCH("ENTREGADA",I9)))</formula>
    </cfRule>
    <cfRule type="containsText" dxfId="135" priority="28" operator="containsText" text="ENTREGADA">
      <formula>NOT(ISERROR(SEARCH("ENTREGADA",I9)))</formula>
    </cfRule>
  </conditionalFormatting>
  <conditionalFormatting sqref="AL9">
    <cfRule type="cellIs" dxfId="134" priority="17" operator="greaterThan">
      <formula>365</formula>
    </cfRule>
    <cfRule type="cellIs" dxfId="133" priority="18" operator="equal">
      <formula>365</formula>
    </cfRule>
  </conditionalFormatting>
  <conditionalFormatting sqref="D9">
    <cfRule type="duplicateValues" dxfId="132" priority="16"/>
  </conditionalFormatting>
  <conditionalFormatting sqref="D9">
    <cfRule type="duplicateValues" dxfId="131" priority="15"/>
  </conditionalFormatting>
  <conditionalFormatting sqref="D10">
    <cfRule type="duplicateValues" dxfId="130" priority="13"/>
    <cfRule type="duplicateValues" dxfId="129" priority="14"/>
  </conditionalFormatting>
  <conditionalFormatting sqref="D10">
    <cfRule type="duplicateValues" dxfId="128" priority="12"/>
  </conditionalFormatting>
  <conditionalFormatting sqref="D10">
    <cfRule type="duplicateValues" dxfId="127" priority="11"/>
  </conditionalFormatting>
  <conditionalFormatting sqref="AL10">
    <cfRule type="cellIs" dxfId="126" priority="8" operator="greaterThan">
      <formula>365</formula>
    </cfRule>
    <cfRule type="cellIs" dxfId="125" priority="9" operator="equal">
      <formula>365</formula>
    </cfRule>
  </conditionalFormatting>
  <conditionalFormatting sqref="D10">
    <cfRule type="duplicateValues" dxfId="124" priority="7"/>
  </conditionalFormatting>
  <conditionalFormatting sqref="I11">
    <cfRule type="containsText" dxfId="123" priority="5" operator="containsText" text="ENTREGADA">
      <formula>NOT(ISERROR(SEARCH("ENTREGADA",I11)))</formula>
    </cfRule>
    <cfRule type="containsText" dxfId="122" priority="6" operator="containsText" text="ENTREGADA">
      <formula>NOT(ISERROR(SEARCH("ENTREGADA",I11)))</formula>
    </cfRule>
  </conditionalFormatting>
  <conditionalFormatting sqref="AL11">
    <cfRule type="cellIs" dxfId="121" priority="3" operator="greaterThan">
      <formula>365</formula>
    </cfRule>
    <cfRule type="cellIs" dxfId="120" priority="4" operator="equal">
      <formula>365</formula>
    </cfRule>
  </conditionalFormatting>
  <conditionalFormatting sqref="D11">
    <cfRule type="duplicateValues" dxfId="119" priority="2"/>
  </conditionalFormatting>
  <conditionalFormatting sqref="D11">
    <cfRule type="duplicateValues" dxfId="118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9" tint="0.39997558519241921"/>
  </sheetPr>
  <dimension ref="A1:AL27"/>
  <sheetViews>
    <sheetView zoomScaleNormal="100" workbookViewId="0">
      <pane ySplit="3" topLeftCell="A4" activePane="bottomLeft" state="frozen"/>
      <selection activeCell="C226" sqref="C226"/>
      <selection pane="bottomLeft" activeCell="C27" sqref="C27"/>
    </sheetView>
  </sheetViews>
  <sheetFormatPr baseColWidth="10" defaultRowHeight="12.75"/>
  <cols>
    <col min="1" max="1" width="10.140625" style="7" customWidth="1"/>
    <col min="2" max="3" width="18.140625" style="1" customWidth="1"/>
    <col min="4" max="4" width="9.85546875" style="2" customWidth="1"/>
    <col min="5" max="5" width="13.7109375" style="13" customWidth="1"/>
    <col min="6" max="6" width="13.42578125" style="13" bestFit="1" customWidth="1"/>
    <col min="7" max="7" width="23.85546875" style="1" customWidth="1"/>
    <col min="8" max="8" width="9.85546875" style="1" customWidth="1"/>
    <col min="9" max="9" width="11" style="281" customWidth="1"/>
    <col min="10" max="10" width="14.140625" style="1" customWidth="1"/>
    <col min="11" max="11" width="14.85546875" style="7" bestFit="1" customWidth="1"/>
    <col min="12" max="12" width="4.5703125" style="1" customWidth="1"/>
    <col min="13" max="13" width="5.5703125" style="1" customWidth="1"/>
    <col min="14" max="14" width="4.28515625" style="9" customWidth="1"/>
    <col min="15" max="15" width="4.85546875" style="8" customWidth="1"/>
    <col min="16" max="16" width="13.42578125" style="8" bestFit="1" customWidth="1"/>
    <col min="17" max="17" width="10.28515625" style="1" customWidth="1"/>
    <col min="18" max="18" width="10.85546875" style="37" customWidth="1"/>
    <col min="19" max="19" width="15.140625" style="32" customWidth="1"/>
    <col min="20" max="20" width="39.140625" style="11" customWidth="1"/>
    <col min="21" max="21" width="18.7109375" style="1" customWidth="1"/>
    <col min="22" max="22" width="12.42578125" style="7" customWidth="1"/>
    <col min="23" max="23" width="11.7109375" style="10" customWidth="1"/>
    <col min="24" max="24" width="8.140625" style="7" customWidth="1"/>
    <col min="25" max="25" width="15.42578125" style="13" customWidth="1"/>
    <col min="26" max="26" width="13.7109375" style="232" customWidth="1"/>
    <col min="27" max="27" width="14.140625" style="233" customWidth="1"/>
    <col min="28" max="28" width="13.140625" style="1" customWidth="1"/>
    <col min="29" max="29" width="12.42578125" style="10" customWidth="1"/>
    <col min="30" max="30" width="10.85546875" style="7" customWidth="1"/>
    <col min="31" max="31" width="13.7109375" style="43" customWidth="1"/>
    <col min="32" max="32" width="30.42578125" style="1" customWidth="1"/>
    <col min="33" max="33" width="19.85546875" style="1" bestFit="1" customWidth="1"/>
    <col min="34" max="34" width="20" style="1" customWidth="1"/>
    <col min="35" max="35" width="21.5703125" style="13" customWidth="1"/>
    <col min="36" max="36" width="17.5703125" style="1" customWidth="1"/>
    <col min="37" max="16384" width="11.42578125" style="1"/>
  </cols>
  <sheetData>
    <row r="1" spans="1:36" s="3" customFormat="1">
      <c r="A1" s="4"/>
      <c r="D1" s="12"/>
      <c r="E1" s="227"/>
      <c r="F1" s="227"/>
      <c r="I1" s="281"/>
      <c r="K1" s="4"/>
      <c r="L1" s="4"/>
      <c r="M1" s="4"/>
      <c r="N1" s="228"/>
      <c r="O1" s="4"/>
      <c r="P1" s="4"/>
      <c r="R1" s="35"/>
      <c r="S1" s="17"/>
      <c r="T1" s="14"/>
      <c r="V1" s="4"/>
      <c r="W1" s="6"/>
      <c r="X1" s="4"/>
      <c r="Y1" s="227"/>
      <c r="Z1" s="230"/>
      <c r="AA1" s="230"/>
      <c r="AC1" s="6"/>
      <c r="AD1" s="4"/>
      <c r="AE1" s="42"/>
      <c r="AI1" s="227"/>
    </row>
    <row r="2" spans="1:36" s="3" customFormat="1">
      <c r="A2" s="4">
        <f ca="1">TODAY()</f>
        <v>43745</v>
      </c>
      <c r="D2" s="12"/>
      <c r="E2" s="227"/>
      <c r="F2" s="227"/>
      <c r="I2" s="281"/>
      <c r="J2" s="18" t="s">
        <v>0</v>
      </c>
      <c r="K2" s="4"/>
      <c r="L2" s="231"/>
      <c r="M2" s="231"/>
      <c r="N2" s="231"/>
      <c r="O2" s="231"/>
      <c r="P2" s="231"/>
      <c r="Q2" s="18"/>
      <c r="R2" s="35"/>
      <c r="S2" s="17"/>
      <c r="T2" s="14"/>
      <c r="V2" s="4"/>
      <c r="W2" s="6"/>
      <c r="X2" s="4"/>
      <c r="Y2" s="227"/>
      <c r="Z2" s="230"/>
      <c r="AA2" s="230"/>
      <c r="AC2" s="6"/>
      <c r="AD2" s="4"/>
      <c r="AE2" s="42"/>
      <c r="AI2" s="227"/>
      <c r="AJ2" s="3" t="s">
        <v>1</v>
      </c>
    </row>
    <row r="3" spans="1:36" s="31" customFormat="1" ht="30" customHeight="1">
      <c r="A3" s="19" t="s">
        <v>2</v>
      </c>
      <c r="B3" s="20" t="s">
        <v>3</v>
      </c>
      <c r="C3" s="20" t="s">
        <v>4</v>
      </c>
      <c r="D3" s="20" t="s">
        <v>51</v>
      </c>
      <c r="E3" s="167" t="s">
        <v>5</v>
      </c>
      <c r="F3" s="167" t="s">
        <v>43</v>
      </c>
      <c r="G3" s="20" t="s">
        <v>6</v>
      </c>
      <c r="H3" s="20" t="s">
        <v>7</v>
      </c>
      <c r="I3" s="281" t="s">
        <v>8</v>
      </c>
      <c r="J3" s="21" t="s">
        <v>9</v>
      </c>
      <c r="K3" s="22" t="s">
        <v>10</v>
      </c>
      <c r="L3" s="21" t="s">
        <v>11</v>
      </c>
      <c r="M3" s="21" t="s">
        <v>12</v>
      </c>
      <c r="N3" s="24" t="s">
        <v>13</v>
      </c>
      <c r="O3" s="25" t="s">
        <v>14</v>
      </c>
      <c r="P3" s="25" t="s">
        <v>15</v>
      </c>
      <c r="Q3" s="21" t="s">
        <v>16</v>
      </c>
      <c r="R3" s="36" t="s">
        <v>17</v>
      </c>
      <c r="S3" s="27" t="s">
        <v>50</v>
      </c>
      <c r="T3" s="28" t="s">
        <v>18</v>
      </c>
      <c r="U3" s="26" t="s">
        <v>19</v>
      </c>
      <c r="V3" s="29" t="s">
        <v>20</v>
      </c>
      <c r="W3" s="30" t="s">
        <v>21</v>
      </c>
      <c r="X3" s="29" t="s">
        <v>22</v>
      </c>
      <c r="Y3" s="169" t="s">
        <v>23</v>
      </c>
      <c r="Z3" s="169" t="s">
        <v>24</v>
      </c>
      <c r="AA3" s="169" t="s">
        <v>25</v>
      </c>
      <c r="AB3" s="26" t="s">
        <v>46</v>
      </c>
      <c r="AC3" s="30" t="s">
        <v>26</v>
      </c>
      <c r="AD3" s="29" t="s">
        <v>27</v>
      </c>
      <c r="AE3" s="41" t="s">
        <v>28</v>
      </c>
      <c r="AF3" s="26" t="s">
        <v>42</v>
      </c>
      <c r="AG3" s="26" t="s">
        <v>47</v>
      </c>
      <c r="AH3" s="26" t="s">
        <v>29</v>
      </c>
      <c r="AI3" s="169"/>
      <c r="AJ3" s="26" t="s">
        <v>30</v>
      </c>
    </row>
    <row r="4" spans="1:36" s="270" customFormat="1" ht="12" customHeight="1">
      <c r="A4" s="367"/>
      <c r="B4" s="469">
        <v>2019</v>
      </c>
      <c r="C4" s="368"/>
      <c r="D4" s="260"/>
      <c r="E4" s="370"/>
      <c r="F4" s="371"/>
      <c r="G4" s="308"/>
      <c r="H4" s="278"/>
      <c r="I4" s="281"/>
      <c r="J4" s="299"/>
      <c r="K4" s="306"/>
      <c r="L4" s="283"/>
      <c r="M4" s="284"/>
      <c r="N4" s="285"/>
      <c r="O4" s="325"/>
      <c r="P4" s="286"/>
      <c r="Q4" s="287"/>
      <c r="R4" s="369"/>
      <c r="S4" s="226"/>
      <c r="T4" s="226"/>
      <c r="U4" s="289"/>
      <c r="V4" s="226"/>
      <c r="W4" s="290"/>
      <c r="X4" s="290"/>
      <c r="Y4" s="225"/>
      <c r="Z4" s="309"/>
      <c r="AA4" s="293"/>
      <c r="AB4" s="294"/>
      <c r="AC4" s="294"/>
      <c r="AD4" s="295"/>
      <c r="AE4" s="296"/>
      <c r="AF4" s="226"/>
      <c r="AG4" s="294"/>
      <c r="AH4" s="278"/>
      <c r="AI4" s="327"/>
      <c r="AJ4" s="328"/>
    </row>
    <row r="5" spans="1:36" s="486" customFormat="1" ht="12">
      <c r="A5" s="570" t="s">
        <v>381</v>
      </c>
      <c r="B5" s="486" t="s">
        <v>259</v>
      </c>
      <c r="C5" s="486" t="s">
        <v>382</v>
      </c>
      <c r="D5" s="480" t="str">
        <f>RIGHT(C5,8)</f>
        <v>JT533553</v>
      </c>
      <c r="E5" s="571">
        <v>444370.48</v>
      </c>
      <c r="F5" s="571">
        <v>444370.48</v>
      </c>
      <c r="G5" s="486" t="s">
        <v>384</v>
      </c>
      <c r="H5" s="540" t="s">
        <v>476</v>
      </c>
      <c r="I5" s="281"/>
      <c r="J5" s="486" t="s">
        <v>34</v>
      </c>
      <c r="K5" s="570" t="s">
        <v>381</v>
      </c>
      <c r="N5" s="572"/>
      <c r="O5" s="481"/>
      <c r="P5" s="481">
        <f>+F5</f>
        <v>444370.48</v>
      </c>
      <c r="Q5" s="482"/>
      <c r="S5" s="573"/>
      <c r="T5" s="574"/>
      <c r="U5" s="483" t="s">
        <v>52</v>
      </c>
      <c r="V5" s="570"/>
      <c r="W5" s="575"/>
      <c r="X5" s="570"/>
      <c r="Y5" s="571"/>
      <c r="Z5" s="576"/>
      <c r="AA5" s="484">
        <f>+Y5-Z5</f>
        <v>0</v>
      </c>
      <c r="AC5" s="575"/>
      <c r="AD5" s="570"/>
      <c r="AE5" s="570"/>
      <c r="AG5" s="483" t="s">
        <v>138</v>
      </c>
      <c r="AH5" s="485"/>
      <c r="AJ5" s="571"/>
    </row>
    <row r="6" spans="1:36" s="299" customFormat="1" ht="12">
      <c r="A6" s="282" t="s">
        <v>468</v>
      </c>
      <c r="B6" s="299" t="s">
        <v>208</v>
      </c>
      <c r="C6" s="299" t="s">
        <v>470</v>
      </c>
      <c r="D6" s="278" t="s">
        <v>479</v>
      </c>
      <c r="E6" s="534">
        <v>549722.97</v>
      </c>
      <c r="F6" s="534">
        <v>549722.97</v>
      </c>
      <c r="G6" s="299" t="s">
        <v>343</v>
      </c>
      <c r="H6" s="299" t="s">
        <v>101</v>
      </c>
      <c r="I6" s="281"/>
      <c r="J6" s="299" t="s">
        <v>34</v>
      </c>
      <c r="K6" s="282" t="s">
        <v>381</v>
      </c>
      <c r="N6" s="462"/>
      <c r="O6" s="286"/>
      <c r="P6" s="286">
        <v>549722.97</v>
      </c>
      <c r="R6" s="288"/>
      <c r="S6" s="386" t="s">
        <v>473</v>
      </c>
      <c r="T6" s="533" t="s">
        <v>474</v>
      </c>
      <c r="U6" s="299" t="s">
        <v>37</v>
      </c>
      <c r="V6" s="282" t="s">
        <v>471</v>
      </c>
      <c r="W6" s="357"/>
      <c r="X6" s="282"/>
      <c r="Y6" s="534">
        <v>578900</v>
      </c>
      <c r="Z6" s="535"/>
      <c r="AA6" s="543">
        <v>578900</v>
      </c>
      <c r="AC6" s="357"/>
      <c r="AD6" s="282"/>
      <c r="AE6" s="537"/>
      <c r="AF6" s="299" t="s">
        <v>174</v>
      </c>
      <c r="AG6" s="299" t="s">
        <v>138</v>
      </c>
      <c r="AI6" s="534"/>
    </row>
    <row r="7" spans="1:36" s="299" customFormat="1" ht="12">
      <c r="A7" s="282">
        <v>43416</v>
      </c>
      <c r="B7" s="299" t="s">
        <v>204</v>
      </c>
      <c r="C7" s="299" t="s">
        <v>284</v>
      </c>
      <c r="D7" s="278" t="s">
        <v>480</v>
      </c>
      <c r="E7" s="534">
        <v>196780.61</v>
      </c>
      <c r="F7" s="534">
        <v>196780.61</v>
      </c>
      <c r="G7" s="299" t="s">
        <v>263</v>
      </c>
      <c r="H7" s="299" t="s">
        <v>101</v>
      </c>
      <c r="I7" s="281"/>
      <c r="J7" s="299" t="s">
        <v>34</v>
      </c>
      <c r="K7" s="282">
        <v>43416</v>
      </c>
      <c r="N7" s="462"/>
      <c r="O7" s="286"/>
      <c r="P7" s="286">
        <v>196780.61</v>
      </c>
      <c r="R7" s="288"/>
      <c r="S7" s="386"/>
      <c r="T7" s="533"/>
      <c r="U7" s="299" t="s">
        <v>52</v>
      </c>
      <c r="V7" s="282"/>
      <c r="W7" s="357"/>
      <c r="X7" s="282"/>
      <c r="Y7" s="534"/>
      <c r="Z7" s="535"/>
      <c r="AA7" s="543">
        <v>0</v>
      </c>
      <c r="AC7" s="357"/>
      <c r="AD7" s="282"/>
      <c r="AE7" s="537"/>
      <c r="AG7" s="299" t="s">
        <v>163</v>
      </c>
      <c r="AI7" s="534"/>
    </row>
    <row r="8" spans="1:36" s="299" customFormat="1" ht="12">
      <c r="A8" s="282">
        <v>43451</v>
      </c>
      <c r="B8" s="299" t="s">
        <v>206</v>
      </c>
      <c r="C8" s="299" t="s">
        <v>312</v>
      </c>
      <c r="D8" s="278" t="s">
        <v>481</v>
      </c>
      <c r="E8" s="534">
        <v>173710.36</v>
      </c>
      <c r="F8" s="534">
        <v>173710.36</v>
      </c>
      <c r="G8" s="299" t="s">
        <v>241</v>
      </c>
      <c r="H8" s="299" t="s">
        <v>101</v>
      </c>
      <c r="I8" s="281"/>
      <c r="J8" s="299" t="s">
        <v>34</v>
      </c>
      <c r="K8" s="282">
        <v>43451</v>
      </c>
      <c r="N8" s="462"/>
      <c r="O8" s="286"/>
      <c r="P8" s="286">
        <v>173710.36</v>
      </c>
      <c r="R8" s="288"/>
      <c r="S8" s="386"/>
      <c r="T8" s="533"/>
      <c r="U8" s="299" t="s">
        <v>52</v>
      </c>
      <c r="V8" s="282"/>
      <c r="W8" s="357"/>
      <c r="X8" s="282"/>
      <c r="Y8" s="534"/>
      <c r="Z8" s="535"/>
      <c r="AA8" s="543">
        <v>0</v>
      </c>
      <c r="AC8" s="357"/>
      <c r="AD8" s="282"/>
      <c r="AE8" s="537"/>
      <c r="AG8" s="299" t="s">
        <v>163</v>
      </c>
      <c r="AI8" s="534"/>
    </row>
    <row r="9" spans="1:36" s="299" customFormat="1" ht="12">
      <c r="A9" s="282">
        <v>43451</v>
      </c>
      <c r="B9" s="299" t="s">
        <v>207</v>
      </c>
      <c r="C9" s="299" t="s">
        <v>313</v>
      </c>
      <c r="D9" s="278" t="s">
        <v>482</v>
      </c>
      <c r="E9" s="534">
        <v>221152.84</v>
      </c>
      <c r="F9" s="534">
        <v>221152.84</v>
      </c>
      <c r="G9" s="299" t="s">
        <v>166</v>
      </c>
      <c r="H9" s="299" t="s">
        <v>101</v>
      </c>
      <c r="I9" s="281"/>
      <c r="J9" s="299" t="s">
        <v>34</v>
      </c>
      <c r="K9" s="282">
        <v>43451</v>
      </c>
      <c r="N9" s="462"/>
      <c r="O9" s="286"/>
      <c r="P9" s="286">
        <v>221152.84</v>
      </c>
      <c r="R9" s="288"/>
      <c r="S9" s="386"/>
      <c r="T9" s="533"/>
      <c r="U9" s="299" t="s">
        <v>52</v>
      </c>
      <c r="V9" s="282"/>
      <c r="W9" s="357"/>
      <c r="X9" s="282"/>
      <c r="Y9" s="534"/>
      <c r="Z9" s="535"/>
      <c r="AA9" s="543">
        <v>0</v>
      </c>
      <c r="AC9" s="357"/>
      <c r="AD9" s="282"/>
      <c r="AE9" s="537"/>
      <c r="AG9" s="299" t="s">
        <v>163</v>
      </c>
      <c r="AI9" s="534"/>
    </row>
    <row r="10" spans="1:36" s="299" customFormat="1" ht="12">
      <c r="A10" s="282">
        <v>43452</v>
      </c>
      <c r="B10" s="299" t="s">
        <v>206</v>
      </c>
      <c r="C10" s="299" t="s">
        <v>314</v>
      </c>
      <c r="D10" s="278" t="s">
        <v>483</v>
      </c>
      <c r="E10" s="534">
        <v>173710.36</v>
      </c>
      <c r="F10" s="534">
        <v>173710.36</v>
      </c>
      <c r="G10" s="299" t="s">
        <v>241</v>
      </c>
      <c r="H10" s="299" t="s">
        <v>101</v>
      </c>
      <c r="I10" s="281"/>
      <c r="J10" s="299" t="s">
        <v>34</v>
      </c>
      <c r="K10" s="282">
        <v>43452</v>
      </c>
      <c r="N10" s="462"/>
      <c r="O10" s="286"/>
      <c r="P10" s="286">
        <v>173710.36</v>
      </c>
      <c r="R10" s="288"/>
      <c r="S10" s="386"/>
      <c r="T10" s="533"/>
      <c r="U10" s="299" t="s">
        <v>52</v>
      </c>
      <c r="V10" s="282"/>
      <c r="W10" s="357"/>
      <c r="X10" s="282"/>
      <c r="Y10" s="534"/>
      <c r="Z10" s="535"/>
      <c r="AA10" s="543">
        <v>0</v>
      </c>
      <c r="AC10" s="357"/>
      <c r="AD10" s="282"/>
      <c r="AE10" s="537"/>
      <c r="AG10" s="299" t="s">
        <v>163</v>
      </c>
      <c r="AI10" s="534"/>
    </row>
    <row r="11" spans="1:36" s="486" customFormat="1" ht="12">
      <c r="A11" s="570" t="s">
        <v>321</v>
      </c>
      <c r="B11" s="486" t="s">
        <v>323</v>
      </c>
      <c r="C11" s="486" t="s">
        <v>324</v>
      </c>
      <c r="D11" s="486" t="s">
        <v>487</v>
      </c>
      <c r="E11" s="571">
        <v>529216.75</v>
      </c>
      <c r="F11" s="571">
        <v>529216.75</v>
      </c>
      <c r="G11" s="486" t="s">
        <v>325</v>
      </c>
      <c r="H11" s="540" t="s">
        <v>476</v>
      </c>
      <c r="I11" s="281"/>
      <c r="J11" s="486" t="s">
        <v>34</v>
      </c>
      <c r="K11" s="570" t="s">
        <v>321</v>
      </c>
      <c r="N11" s="572"/>
      <c r="O11" s="481"/>
      <c r="P11" s="481">
        <v>529216.75</v>
      </c>
      <c r="S11" s="573"/>
      <c r="T11" s="574"/>
      <c r="U11" s="486" t="s">
        <v>52</v>
      </c>
      <c r="V11" s="570"/>
      <c r="W11" s="575"/>
      <c r="X11" s="570"/>
      <c r="Y11" s="571"/>
      <c r="Z11" s="576"/>
      <c r="AA11" s="576">
        <v>0</v>
      </c>
      <c r="AC11" s="575"/>
      <c r="AD11" s="570"/>
      <c r="AE11" s="570"/>
      <c r="AG11" s="486" t="s">
        <v>138</v>
      </c>
      <c r="AI11" s="571"/>
    </row>
    <row r="12" spans="1:36" s="299" customFormat="1" ht="12">
      <c r="A12" s="282" t="s">
        <v>574</v>
      </c>
      <c r="B12" s="299" t="s">
        <v>258</v>
      </c>
      <c r="C12" s="299" t="s">
        <v>575</v>
      </c>
      <c r="D12" s="278" t="s">
        <v>582</v>
      </c>
      <c r="E12" s="534">
        <v>792315.51</v>
      </c>
      <c r="F12" s="534">
        <v>792315.51</v>
      </c>
      <c r="G12" s="299" t="s">
        <v>238</v>
      </c>
      <c r="H12" s="278" t="s">
        <v>101</v>
      </c>
      <c r="I12" s="281" t="s">
        <v>80</v>
      </c>
      <c r="J12" s="299" t="s">
        <v>34</v>
      </c>
      <c r="K12" s="282" t="s">
        <v>574</v>
      </c>
      <c r="N12" s="462"/>
      <c r="O12" s="286"/>
      <c r="P12" s="286">
        <v>792315.51</v>
      </c>
      <c r="R12" s="288"/>
      <c r="S12" s="386" t="s">
        <v>579</v>
      </c>
      <c r="T12" s="533" t="s">
        <v>580</v>
      </c>
      <c r="U12" s="299" t="s">
        <v>37</v>
      </c>
      <c r="V12" s="282" t="s">
        <v>574</v>
      </c>
      <c r="W12" s="357"/>
      <c r="X12" s="282"/>
      <c r="Y12" s="534">
        <v>964900</v>
      </c>
      <c r="Z12" s="535">
        <v>250000</v>
      </c>
      <c r="AA12" s="543">
        <v>714900</v>
      </c>
      <c r="AB12" s="299" t="s">
        <v>203</v>
      </c>
      <c r="AC12" s="357" t="s">
        <v>581</v>
      </c>
      <c r="AD12" s="282">
        <v>43637</v>
      </c>
      <c r="AE12" s="537"/>
      <c r="AF12" s="299" t="s">
        <v>226</v>
      </c>
      <c r="AG12" s="299" t="s">
        <v>138</v>
      </c>
      <c r="AI12" s="534"/>
    </row>
    <row r="13" spans="1:36" s="299" customFormat="1" ht="12">
      <c r="A13" s="282" t="s">
        <v>584</v>
      </c>
      <c r="B13" s="299" t="s">
        <v>179</v>
      </c>
      <c r="C13" s="299" t="s">
        <v>589</v>
      </c>
      <c r="D13" s="260" t="str">
        <f>RIGHT(C13,8)</f>
        <v>KC681268</v>
      </c>
      <c r="E13" s="534">
        <v>723065.41</v>
      </c>
      <c r="F13" s="534">
        <v>723065.41</v>
      </c>
      <c r="G13" s="305" t="s">
        <v>41</v>
      </c>
      <c r="H13" s="278" t="s">
        <v>101</v>
      </c>
      <c r="I13" s="281"/>
      <c r="J13" s="299" t="s">
        <v>34</v>
      </c>
      <c r="K13" s="282" t="s">
        <v>584</v>
      </c>
      <c r="N13" s="462"/>
      <c r="O13" s="286"/>
      <c r="P13" s="286">
        <f>+F13</f>
        <v>723065.41</v>
      </c>
      <c r="Q13" s="287"/>
      <c r="R13" s="288"/>
      <c r="S13" s="287" t="s">
        <v>600</v>
      </c>
      <c r="T13" s="287" t="s">
        <v>601</v>
      </c>
      <c r="U13" s="294" t="s">
        <v>37</v>
      </c>
      <c r="V13" s="287" t="s">
        <v>590</v>
      </c>
      <c r="W13" s="357"/>
      <c r="X13" s="282"/>
      <c r="Y13" s="326">
        <v>794900</v>
      </c>
      <c r="Z13" s="535">
        <f>50000+64744.94</f>
        <v>114744.94</v>
      </c>
      <c r="AA13" s="293">
        <f>+Y13-Z13</f>
        <v>680155.06</v>
      </c>
      <c r="AB13" s="282">
        <v>43643</v>
      </c>
      <c r="AC13" s="357" t="s">
        <v>603</v>
      </c>
      <c r="AD13" s="282"/>
      <c r="AE13" s="537"/>
      <c r="AF13" s="287" t="s">
        <v>67</v>
      </c>
      <c r="AG13" s="294" t="s">
        <v>138</v>
      </c>
      <c r="AH13" s="478"/>
      <c r="AJ13" s="534"/>
    </row>
    <row r="14" spans="1:36" s="299" customFormat="1" ht="12">
      <c r="A14" s="282" t="s">
        <v>701</v>
      </c>
      <c r="B14" s="299" t="s">
        <v>83</v>
      </c>
      <c r="C14" s="299" t="s">
        <v>748</v>
      </c>
      <c r="D14" s="278" t="s">
        <v>758</v>
      </c>
      <c r="E14" s="534">
        <v>227701.56</v>
      </c>
      <c r="F14" s="534">
        <v>227701.56</v>
      </c>
      <c r="G14" s="299" t="s">
        <v>41</v>
      </c>
      <c r="H14" s="299" t="s">
        <v>101</v>
      </c>
      <c r="I14" s="281" t="s">
        <v>80</v>
      </c>
      <c r="J14" s="299" t="s">
        <v>34</v>
      </c>
      <c r="K14" s="282" t="s">
        <v>701</v>
      </c>
      <c r="N14" s="462"/>
      <c r="O14" s="286"/>
      <c r="P14" s="286">
        <v>227701.56</v>
      </c>
      <c r="R14" s="288"/>
      <c r="S14" s="386" t="s">
        <v>752</v>
      </c>
      <c r="T14" s="533" t="s">
        <v>754</v>
      </c>
      <c r="U14" s="299" t="s">
        <v>36</v>
      </c>
      <c r="V14" s="282" t="s">
        <v>753</v>
      </c>
      <c r="W14" s="357"/>
      <c r="X14" s="282"/>
      <c r="Y14" s="534">
        <v>207800</v>
      </c>
      <c r="Z14" s="535"/>
      <c r="AA14" s="543">
        <v>207800</v>
      </c>
      <c r="AC14" s="357"/>
      <c r="AD14" s="282"/>
      <c r="AE14" s="537"/>
      <c r="AF14" s="299" t="s">
        <v>167</v>
      </c>
      <c r="AG14" s="299" t="s">
        <v>138</v>
      </c>
      <c r="AI14" s="534"/>
    </row>
    <row r="15" spans="1:36" s="299" customFormat="1" ht="12">
      <c r="A15" s="282" t="s">
        <v>701</v>
      </c>
      <c r="B15" s="299" t="s">
        <v>83</v>
      </c>
      <c r="C15" s="299" t="s">
        <v>749</v>
      </c>
      <c r="D15" s="278" t="s">
        <v>759</v>
      </c>
      <c r="E15" s="534">
        <v>227701.56</v>
      </c>
      <c r="F15" s="534">
        <v>227701.56</v>
      </c>
      <c r="G15" s="299" t="s">
        <v>41</v>
      </c>
      <c r="H15" s="299" t="s">
        <v>101</v>
      </c>
      <c r="I15" s="281" t="s">
        <v>39</v>
      </c>
      <c r="J15" s="299" t="s">
        <v>34</v>
      </c>
      <c r="K15" s="282" t="s">
        <v>701</v>
      </c>
      <c r="N15" s="462"/>
      <c r="O15" s="286"/>
      <c r="P15" s="286">
        <v>227701.56</v>
      </c>
      <c r="R15" s="288"/>
      <c r="S15" s="386" t="s">
        <v>1151</v>
      </c>
      <c r="T15" s="533" t="s">
        <v>1152</v>
      </c>
      <c r="U15" s="299" t="s">
        <v>40</v>
      </c>
      <c r="V15" s="282">
        <v>43733</v>
      </c>
      <c r="W15" s="357"/>
      <c r="X15" s="282"/>
      <c r="Y15" s="534">
        <v>230900</v>
      </c>
      <c r="Z15" s="535"/>
      <c r="AA15" s="543">
        <v>207800</v>
      </c>
      <c r="AC15" s="357"/>
      <c r="AD15" s="282"/>
      <c r="AE15" s="537">
        <v>43739</v>
      </c>
      <c r="AF15" s="299" t="s">
        <v>899</v>
      </c>
      <c r="AG15" s="299" t="s">
        <v>138</v>
      </c>
      <c r="AI15" s="534"/>
    </row>
    <row r="16" spans="1:36" s="299" customFormat="1" ht="12">
      <c r="A16" s="282" t="s">
        <v>701</v>
      </c>
      <c r="B16" s="299" t="s">
        <v>83</v>
      </c>
      <c r="C16" s="299" t="s">
        <v>750</v>
      </c>
      <c r="D16" s="278" t="s">
        <v>760</v>
      </c>
      <c r="E16" s="534">
        <v>227701.56</v>
      </c>
      <c r="F16" s="534">
        <v>227701.56</v>
      </c>
      <c r="G16" s="299" t="s">
        <v>41</v>
      </c>
      <c r="H16" s="299" t="s">
        <v>101</v>
      </c>
      <c r="I16" s="281" t="s">
        <v>80</v>
      </c>
      <c r="J16" s="299" t="s">
        <v>34</v>
      </c>
      <c r="K16" s="282" t="s">
        <v>701</v>
      </c>
      <c r="N16" s="462"/>
      <c r="O16" s="286"/>
      <c r="P16" s="286">
        <v>227701.56</v>
      </c>
      <c r="R16" s="288"/>
      <c r="S16" s="386" t="s">
        <v>751</v>
      </c>
      <c r="T16" s="533" t="s">
        <v>754</v>
      </c>
      <c r="U16" s="299" t="s">
        <v>36</v>
      </c>
      <c r="V16" s="282" t="s">
        <v>753</v>
      </c>
      <c r="W16" s="357"/>
      <c r="X16" s="282"/>
      <c r="Y16" s="534">
        <v>207800</v>
      </c>
      <c r="Z16" s="535"/>
      <c r="AA16" s="543">
        <v>207800</v>
      </c>
      <c r="AC16" s="357"/>
      <c r="AD16" s="282"/>
      <c r="AE16" s="537"/>
      <c r="AF16" s="299" t="s">
        <v>167</v>
      </c>
      <c r="AG16" s="299" t="s">
        <v>138</v>
      </c>
      <c r="AI16" s="534"/>
    </row>
    <row r="17" spans="1:38" s="299" customFormat="1" ht="12">
      <c r="A17" s="282" t="s">
        <v>764</v>
      </c>
      <c r="B17" s="299" t="s">
        <v>773</v>
      </c>
      <c r="C17" s="299" t="s">
        <v>774</v>
      </c>
      <c r="D17" s="278" t="s">
        <v>792</v>
      </c>
      <c r="E17" s="534">
        <v>1067359.6299999999</v>
      </c>
      <c r="F17" s="534">
        <v>1067359.6299999999</v>
      </c>
      <c r="G17" s="299" t="s">
        <v>41</v>
      </c>
      <c r="H17" s="299" t="s">
        <v>101</v>
      </c>
      <c r="I17" s="281" t="s">
        <v>80</v>
      </c>
      <c r="J17" s="299" t="s">
        <v>34</v>
      </c>
      <c r="K17" s="282" t="s">
        <v>764</v>
      </c>
      <c r="N17" s="462"/>
      <c r="O17" s="286"/>
      <c r="P17" s="286">
        <v>1067359.6299999999</v>
      </c>
      <c r="R17" s="288"/>
      <c r="S17" s="386" t="s">
        <v>780</v>
      </c>
      <c r="T17" s="533" t="s">
        <v>781</v>
      </c>
      <c r="U17" s="299" t="s">
        <v>40</v>
      </c>
      <c r="V17" s="282" t="s">
        <v>764</v>
      </c>
      <c r="W17" s="357"/>
      <c r="X17" s="282"/>
      <c r="Y17" s="534">
        <v>1242530</v>
      </c>
      <c r="Z17" s="535">
        <v>150000</v>
      </c>
      <c r="AA17" s="543">
        <v>1092530</v>
      </c>
      <c r="AC17" s="357"/>
      <c r="AD17" s="282"/>
      <c r="AE17" s="537"/>
      <c r="AF17" s="299" t="s">
        <v>193</v>
      </c>
      <c r="AG17" s="299" t="s">
        <v>138</v>
      </c>
      <c r="AI17" s="534"/>
    </row>
    <row r="18" spans="1:38" s="299" customFormat="1" ht="12">
      <c r="A18" s="282" t="s">
        <v>805</v>
      </c>
      <c r="B18" s="299" t="s">
        <v>71</v>
      </c>
      <c r="C18" s="299" t="s">
        <v>814</v>
      </c>
      <c r="D18" s="260" t="str">
        <f>RIGHT(C18,8)</f>
        <v>KH004901</v>
      </c>
      <c r="E18" s="534">
        <v>197156.94</v>
      </c>
      <c r="F18" s="534">
        <v>197156.94</v>
      </c>
      <c r="G18" s="299" t="s">
        <v>168</v>
      </c>
      <c r="H18" s="278" t="s">
        <v>101</v>
      </c>
      <c r="I18" s="281"/>
      <c r="J18" s="299" t="s">
        <v>34</v>
      </c>
      <c r="K18" s="282"/>
      <c r="N18" s="462"/>
      <c r="O18" s="286"/>
      <c r="P18" s="286">
        <f t="shared" ref="P18:P25" si="0">+F18</f>
        <v>197156.94</v>
      </c>
      <c r="Q18" s="287"/>
      <c r="R18" s="288"/>
      <c r="S18" s="386" t="s">
        <v>815</v>
      </c>
      <c r="T18" s="597" t="s">
        <v>816</v>
      </c>
      <c r="U18" s="294" t="s">
        <v>37</v>
      </c>
      <c r="V18" s="282">
        <v>43684</v>
      </c>
      <c r="W18" s="357"/>
      <c r="X18" s="282"/>
      <c r="Y18" s="534">
        <v>214900</v>
      </c>
      <c r="Z18" s="535"/>
      <c r="AA18" s="293">
        <f t="shared" ref="AA18:AA25" si="1">+Y18-Z18</f>
        <v>214900</v>
      </c>
      <c r="AC18" s="357"/>
      <c r="AD18" s="282"/>
      <c r="AE18" s="537"/>
      <c r="AF18" s="299" t="s">
        <v>70</v>
      </c>
      <c r="AG18" s="294" t="s">
        <v>138</v>
      </c>
      <c r="AH18" s="478"/>
      <c r="AJ18" s="534"/>
    </row>
    <row r="19" spans="1:38" s="299" customFormat="1" ht="12">
      <c r="A19" s="282" t="s">
        <v>840</v>
      </c>
      <c r="B19" s="299" t="s">
        <v>164</v>
      </c>
      <c r="C19" s="299" t="s">
        <v>845</v>
      </c>
      <c r="D19" s="260" t="str">
        <f>RIGHT(C19,8)</f>
        <v>KX080977</v>
      </c>
      <c r="E19" s="534">
        <v>435500.01</v>
      </c>
      <c r="F19" s="534">
        <v>435500.01</v>
      </c>
      <c r="G19" s="299" t="s">
        <v>233</v>
      </c>
      <c r="H19" s="278" t="s">
        <v>101</v>
      </c>
      <c r="I19" s="281" t="s">
        <v>69</v>
      </c>
      <c r="J19" s="299" t="s">
        <v>34</v>
      </c>
      <c r="K19" s="282"/>
      <c r="N19" s="462"/>
      <c r="O19" s="286"/>
      <c r="P19" s="286">
        <f t="shared" si="0"/>
        <v>435500.01</v>
      </c>
      <c r="Q19" s="287"/>
      <c r="R19" s="288"/>
      <c r="S19" s="287" t="s">
        <v>851</v>
      </c>
      <c r="T19" s="287" t="s">
        <v>852</v>
      </c>
      <c r="U19" s="287" t="s">
        <v>37</v>
      </c>
      <c r="V19" s="287" t="s">
        <v>849</v>
      </c>
      <c r="W19" s="357"/>
      <c r="X19" s="282"/>
      <c r="Y19" s="326">
        <v>459900</v>
      </c>
      <c r="Z19" s="535"/>
      <c r="AA19" s="293">
        <f t="shared" si="1"/>
        <v>459900</v>
      </c>
      <c r="AC19" s="357"/>
      <c r="AD19" s="282"/>
      <c r="AE19" s="537"/>
      <c r="AF19" s="287" t="s">
        <v>45</v>
      </c>
      <c r="AG19" s="294" t="s">
        <v>138</v>
      </c>
      <c r="AH19" s="478"/>
      <c r="AJ19" s="534"/>
    </row>
    <row r="20" spans="1:38" s="299" customFormat="1" ht="12">
      <c r="A20" s="278" t="s">
        <v>873</v>
      </c>
      <c r="B20" s="278" t="s">
        <v>269</v>
      </c>
      <c r="C20" s="278" t="s">
        <v>878</v>
      </c>
      <c r="D20" s="260" t="str">
        <f>RIGHT(C20,8)</f>
        <v>KY291561</v>
      </c>
      <c r="E20" s="534">
        <v>289688.3</v>
      </c>
      <c r="F20" s="534">
        <v>289688.3</v>
      </c>
      <c r="G20" s="278" t="s">
        <v>41</v>
      </c>
      <c r="H20" s="278" t="s">
        <v>101</v>
      </c>
      <c r="I20" s="281"/>
      <c r="J20" s="299" t="s">
        <v>34</v>
      </c>
      <c r="K20" s="282"/>
      <c r="N20" s="462"/>
      <c r="O20" s="286"/>
      <c r="P20" s="286">
        <f t="shared" si="0"/>
        <v>289688.3</v>
      </c>
      <c r="Q20" s="287"/>
      <c r="R20" s="288"/>
      <c r="S20" s="386" t="s">
        <v>881</v>
      </c>
      <c r="T20" s="533" t="s">
        <v>754</v>
      </c>
      <c r="U20" s="294" t="s">
        <v>36</v>
      </c>
      <c r="V20" s="282">
        <v>43692</v>
      </c>
      <c r="W20" s="357"/>
      <c r="X20" s="282"/>
      <c r="Y20" s="534">
        <v>287900</v>
      </c>
      <c r="Z20" s="535"/>
      <c r="AA20" s="293">
        <f t="shared" si="1"/>
        <v>287900</v>
      </c>
      <c r="AC20" s="357"/>
      <c r="AD20" s="282"/>
      <c r="AE20" s="537"/>
      <c r="AF20" s="299" t="s">
        <v>167</v>
      </c>
      <c r="AG20" s="294" t="s">
        <v>138</v>
      </c>
      <c r="AH20" s="478"/>
      <c r="AJ20" s="534"/>
    </row>
    <row r="21" spans="1:38" s="299" customFormat="1" ht="12">
      <c r="A21" s="278" t="s">
        <v>873</v>
      </c>
      <c r="B21" s="278" t="s">
        <v>209</v>
      </c>
      <c r="C21" s="278" t="s">
        <v>879</v>
      </c>
      <c r="D21" s="260" t="str">
        <f>RIGHT(C21,8)</f>
        <v>KW625656</v>
      </c>
      <c r="E21" s="534">
        <v>760636</v>
      </c>
      <c r="F21" s="534">
        <v>760636</v>
      </c>
      <c r="G21" s="278" t="s">
        <v>880</v>
      </c>
      <c r="H21" s="278" t="s">
        <v>101</v>
      </c>
      <c r="I21" s="281" t="s">
        <v>69</v>
      </c>
      <c r="J21" s="299" t="s">
        <v>34</v>
      </c>
      <c r="K21" s="282"/>
      <c r="N21" s="462"/>
      <c r="O21" s="286"/>
      <c r="P21" s="286">
        <f t="shared" si="0"/>
        <v>760636</v>
      </c>
      <c r="Q21" s="287"/>
      <c r="R21" s="288"/>
      <c r="S21" s="386" t="s">
        <v>896</v>
      </c>
      <c r="T21" s="533" t="s">
        <v>897</v>
      </c>
      <c r="U21" s="287" t="s">
        <v>31</v>
      </c>
      <c r="V21" s="502">
        <v>43700</v>
      </c>
      <c r="W21" s="357"/>
      <c r="X21" s="282"/>
      <c r="Y21" s="534">
        <v>839900</v>
      </c>
      <c r="Z21" s="535"/>
      <c r="AA21" s="293">
        <f t="shared" si="1"/>
        <v>839900</v>
      </c>
      <c r="AC21" s="357"/>
      <c r="AD21" s="282"/>
      <c r="AE21" s="537"/>
      <c r="AF21" s="299" t="s">
        <v>189</v>
      </c>
      <c r="AG21" s="294" t="s">
        <v>138</v>
      </c>
      <c r="AH21" s="478"/>
      <c r="AJ21" s="534"/>
    </row>
    <row r="22" spans="1:38" s="300" customFormat="1" ht="12" customHeight="1">
      <c r="A22" s="278" t="s">
        <v>889</v>
      </c>
      <c r="B22" s="278" t="s">
        <v>71</v>
      </c>
      <c r="C22" s="278" t="s">
        <v>894</v>
      </c>
      <c r="D22" s="260" t="str">
        <f t="shared" ref="D22:D27" si="2">+RIGHT(C22,8)</f>
        <v>KH008392</v>
      </c>
      <c r="E22" s="371">
        <v>197156.94</v>
      </c>
      <c r="F22" s="371">
        <v>197156.94</v>
      </c>
      <c r="G22" s="280" t="s">
        <v>797</v>
      </c>
      <c r="H22" s="278" t="s">
        <v>101</v>
      </c>
      <c r="I22" s="281" t="s">
        <v>80</v>
      </c>
      <c r="J22" s="299" t="s">
        <v>34</v>
      </c>
      <c r="K22" s="282"/>
      <c r="L22" s="283"/>
      <c r="M22" s="284"/>
      <c r="N22" s="468"/>
      <c r="O22" s="282"/>
      <c r="P22" s="286">
        <f t="shared" si="0"/>
        <v>197156.94</v>
      </c>
      <c r="Q22" s="287"/>
      <c r="R22" s="288"/>
      <c r="S22" s="287" t="s">
        <v>913</v>
      </c>
      <c r="T22" s="287" t="s">
        <v>898</v>
      </c>
      <c r="U22" s="287" t="s">
        <v>36</v>
      </c>
      <c r="V22" s="502">
        <v>43705</v>
      </c>
      <c r="W22" s="290"/>
      <c r="X22" s="290"/>
      <c r="Y22" s="326">
        <v>191963</v>
      </c>
      <c r="Z22" s="292"/>
      <c r="AA22" s="293">
        <f t="shared" si="1"/>
        <v>191963</v>
      </c>
      <c r="AB22" s="294"/>
      <c r="AC22" s="294"/>
      <c r="AD22" s="295"/>
      <c r="AE22" s="296"/>
      <c r="AF22" s="287" t="s">
        <v>899</v>
      </c>
      <c r="AG22" s="294" t="s">
        <v>138</v>
      </c>
      <c r="AH22" s="478"/>
      <c r="AI22" s="378"/>
      <c r="AJ22" s="534"/>
    </row>
    <row r="23" spans="1:38" s="300" customFormat="1" ht="12" customHeight="1">
      <c r="A23" s="278" t="s">
        <v>1009</v>
      </c>
      <c r="B23" s="278" t="s">
        <v>765</v>
      </c>
      <c r="C23" s="278" t="s">
        <v>1022</v>
      </c>
      <c r="D23" s="260" t="str">
        <f t="shared" si="2"/>
        <v>KW587234</v>
      </c>
      <c r="E23" s="371">
        <v>696092.48</v>
      </c>
      <c r="F23" s="371">
        <v>696092.48</v>
      </c>
      <c r="G23" s="280" t="s">
        <v>196</v>
      </c>
      <c r="H23" s="278" t="s">
        <v>101</v>
      </c>
      <c r="I23" s="281" t="s">
        <v>80</v>
      </c>
      <c r="J23" s="299" t="s">
        <v>34</v>
      </c>
      <c r="K23" s="282"/>
      <c r="L23" s="283"/>
      <c r="M23" s="284"/>
      <c r="N23" s="468"/>
      <c r="O23" s="282"/>
      <c r="P23" s="286">
        <f t="shared" si="0"/>
        <v>696092.48</v>
      </c>
      <c r="Q23" s="287"/>
      <c r="R23" s="288"/>
      <c r="S23" s="287" t="s">
        <v>1052</v>
      </c>
      <c r="T23" s="287" t="s">
        <v>1024</v>
      </c>
      <c r="U23" s="294" t="s">
        <v>37</v>
      </c>
      <c r="V23" s="282">
        <v>43719</v>
      </c>
      <c r="W23" s="357"/>
      <c r="X23" s="282"/>
      <c r="Y23" s="534">
        <v>809900</v>
      </c>
      <c r="Z23" s="535"/>
      <c r="AA23" s="293">
        <f t="shared" si="1"/>
        <v>809900</v>
      </c>
      <c r="AB23" s="299"/>
      <c r="AC23" s="357"/>
      <c r="AD23" s="282"/>
      <c r="AE23" s="537"/>
      <c r="AF23" s="299" t="s">
        <v>45</v>
      </c>
      <c r="AG23" s="294" t="s">
        <v>138</v>
      </c>
      <c r="AH23" s="478"/>
      <c r="AI23" s="299"/>
      <c r="AJ23" s="534"/>
      <c r="AK23" s="299"/>
      <c r="AL23" s="588">
        <f>+$A$1-A23</f>
        <v>-43719</v>
      </c>
    </row>
    <row r="24" spans="1:38" s="300" customFormat="1" ht="12" customHeight="1">
      <c r="A24" s="278" t="s">
        <v>1156</v>
      </c>
      <c r="B24" s="278" t="s">
        <v>363</v>
      </c>
      <c r="C24" s="278" t="s">
        <v>1159</v>
      </c>
      <c r="D24" s="260" t="str">
        <f t="shared" si="2"/>
        <v>KK256148</v>
      </c>
      <c r="E24" s="598">
        <v>421763.91</v>
      </c>
      <c r="F24" s="598">
        <v>421763.91</v>
      </c>
      <c r="G24" s="280" t="s">
        <v>53</v>
      </c>
      <c r="H24" s="278" t="s">
        <v>101</v>
      </c>
      <c r="I24" s="281"/>
      <c r="J24" s="299" t="s">
        <v>34</v>
      </c>
      <c r="K24" s="282"/>
      <c r="L24" s="283"/>
      <c r="M24" s="284"/>
      <c r="N24" s="468"/>
      <c r="O24" s="282"/>
      <c r="P24" s="286">
        <f t="shared" si="0"/>
        <v>421763.91</v>
      </c>
      <c r="Q24" s="287"/>
      <c r="R24" s="288"/>
      <c r="S24" s="287" t="s">
        <v>1160</v>
      </c>
      <c r="T24" s="287" t="s">
        <v>1161</v>
      </c>
      <c r="U24" s="294" t="s">
        <v>37</v>
      </c>
      <c r="V24" s="282">
        <v>43733</v>
      </c>
      <c r="W24" s="357"/>
      <c r="X24" s="282"/>
      <c r="Y24" s="534">
        <v>449900</v>
      </c>
      <c r="Z24" s="535"/>
      <c r="AA24" s="293">
        <f t="shared" si="1"/>
        <v>449900</v>
      </c>
      <c r="AB24" s="299"/>
      <c r="AC24" s="357"/>
      <c r="AD24" s="282"/>
      <c r="AE24" s="537"/>
      <c r="AF24" s="299" t="s">
        <v>222</v>
      </c>
      <c r="AG24" s="294" t="s">
        <v>138</v>
      </c>
      <c r="AH24" s="478"/>
      <c r="AI24" s="299"/>
      <c r="AJ24" s="534"/>
      <c r="AK24" s="299"/>
      <c r="AL24" s="588">
        <f>+$A$1-A24</f>
        <v>-43733</v>
      </c>
    </row>
    <row r="25" spans="1:38" s="300" customFormat="1" ht="12" customHeight="1">
      <c r="A25" s="278" t="s">
        <v>1196</v>
      </c>
      <c r="B25" s="278" t="s">
        <v>287</v>
      </c>
      <c r="C25" s="278" t="s">
        <v>1210</v>
      </c>
      <c r="D25" s="260" t="str">
        <f t="shared" si="2"/>
        <v>KN856869</v>
      </c>
      <c r="E25" s="598">
        <v>947509.41</v>
      </c>
      <c r="F25" s="598">
        <v>947509.41</v>
      </c>
      <c r="G25" s="280" t="s">
        <v>1211</v>
      </c>
      <c r="H25" s="278" t="s">
        <v>101</v>
      </c>
      <c r="I25" s="281"/>
      <c r="J25" s="299" t="s">
        <v>34</v>
      </c>
      <c r="K25" s="282"/>
      <c r="L25" s="283"/>
      <c r="M25" s="284"/>
      <c r="N25" s="468"/>
      <c r="O25" s="282"/>
      <c r="P25" s="286">
        <f t="shared" si="0"/>
        <v>947509.41</v>
      </c>
      <c r="Q25" s="287"/>
      <c r="R25" s="288"/>
      <c r="S25" s="287" t="s">
        <v>1219</v>
      </c>
      <c r="T25" s="287" t="s">
        <v>1220</v>
      </c>
      <c r="U25" s="360" t="s">
        <v>37</v>
      </c>
      <c r="V25" s="282">
        <v>43736</v>
      </c>
      <c r="W25" s="357"/>
      <c r="X25" s="282"/>
      <c r="Y25" s="534">
        <v>1063500</v>
      </c>
      <c r="Z25" s="535"/>
      <c r="AA25" s="293">
        <f t="shared" si="1"/>
        <v>1063500</v>
      </c>
      <c r="AB25" s="299"/>
      <c r="AC25" s="357"/>
      <c r="AD25" s="282"/>
      <c r="AE25" s="537"/>
      <c r="AF25" s="299" t="s">
        <v>1221</v>
      </c>
      <c r="AG25" s="294" t="s">
        <v>138</v>
      </c>
      <c r="AH25" s="478"/>
      <c r="AI25" s="299"/>
      <c r="AJ25" s="534"/>
      <c r="AK25" s="299"/>
      <c r="AL25" s="588">
        <f>+$A$1-A25</f>
        <v>-43735</v>
      </c>
    </row>
    <row r="26" spans="1:38" s="300" customFormat="1" ht="12" customHeight="1">
      <c r="A26" s="278" t="s">
        <v>1212</v>
      </c>
      <c r="B26" s="278" t="s">
        <v>268</v>
      </c>
      <c r="C26" s="278" t="s">
        <v>1213</v>
      </c>
      <c r="D26" s="260" t="str">
        <f t="shared" si="2"/>
        <v>KN866186</v>
      </c>
      <c r="E26" s="598">
        <v>1016160.51</v>
      </c>
      <c r="F26" s="598">
        <v>1016160.51</v>
      </c>
      <c r="G26" s="280" t="s">
        <v>41</v>
      </c>
      <c r="H26" s="278" t="s">
        <v>101</v>
      </c>
      <c r="I26" s="281" t="s">
        <v>39</v>
      </c>
      <c r="J26" s="299" t="s">
        <v>34</v>
      </c>
      <c r="K26" s="282"/>
      <c r="L26" s="283"/>
      <c r="M26" s="284"/>
      <c r="N26" s="468"/>
      <c r="O26" s="282"/>
      <c r="P26" s="286">
        <f>+F26</f>
        <v>1016160.51</v>
      </c>
      <c r="Q26" s="287"/>
      <c r="R26" s="288"/>
      <c r="S26" s="287" t="s">
        <v>1240</v>
      </c>
      <c r="T26" s="287" t="s">
        <v>1241</v>
      </c>
      <c r="U26" s="360" t="s">
        <v>31</v>
      </c>
      <c r="V26" s="282">
        <v>43738</v>
      </c>
      <c r="W26" s="357"/>
      <c r="X26" s="282"/>
      <c r="Y26" s="534">
        <v>1123500</v>
      </c>
      <c r="Z26" s="535"/>
      <c r="AA26" s="293">
        <f>+Y26-Z26</f>
        <v>1123500</v>
      </c>
      <c r="AB26" s="299"/>
      <c r="AC26" s="357"/>
      <c r="AD26" s="282"/>
      <c r="AE26" s="537">
        <v>43739</v>
      </c>
      <c r="AF26" s="299" t="s">
        <v>45</v>
      </c>
      <c r="AG26" s="294" t="s">
        <v>138</v>
      </c>
      <c r="AH26" s="478"/>
      <c r="AI26" s="299"/>
      <c r="AJ26" s="534"/>
      <c r="AK26" s="299"/>
      <c r="AL26" s="588">
        <f>+$A$1-A26</f>
        <v>-43736</v>
      </c>
    </row>
    <row r="27" spans="1:38" s="300" customFormat="1" ht="12" customHeight="1">
      <c r="A27" s="278" t="s">
        <v>1212</v>
      </c>
      <c r="B27" s="278" t="s">
        <v>248</v>
      </c>
      <c r="C27" s="278" t="s">
        <v>1214</v>
      </c>
      <c r="D27" s="260" t="str">
        <f t="shared" si="2"/>
        <v>KT718061</v>
      </c>
      <c r="E27" s="598">
        <v>428986.75</v>
      </c>
      <c r="F27" s="598">
        <v>428986.75</v>
      </c>
      <c r="G27" s="280" t="s">
        <v>1008</v>
      </c>
      <c r="H27" s="278" t="s">
        <v>101</v>
      </c>
      <c r="I27" s="281"/>
      <c r="J27" s="299" t="s">
        <v>34</v>
      </c>
      <c r="K27" s="282"/>
      <c r="L27" s="283"/>
      <c r="M27" s="284"/>
      <c r="N27" s="468"/>
      <c r="O27" s="282"/>
      <c r="P27" s="286">
        <f>+F27</f>
        <v>428986.75</v>
      </c>
      <c r="Q27" s="287"/>
      <c r="R27" s="288"/>
      <c r="S27" s="287" t="s">
        <v>1409</v>
      </c>
      <c r="T27" s="287" t="s">
        <v>1410</v>
      </c>
      <c r="U27" s="360" t="s">
        <v>1411</v>
      </c>
      <c r="V27" s="282">
        <v>43739</v>
      </c>
      <c r="W27" s="357"/>
      <c r="X27" s="282"/>
      <c r="Y27" s="534">
        <v>441253</v>
      </c>
      <c r="Z27" s="535"/>
      <c r="AA27" s="293">
        <f>+Y27-Z27</f>
        <v>441253</v>
      </c>
      <c r="AB27" s="299"/>
      <c r="AC27" s="357"/>
      <c r="AD27" s="282"/>
      <c r="AE27" s="537"/>
      <c r="AF27" s="299" t="s">
        <v>1412</v>
      </c>
      <c r="AG27" s="294" t="s">
        <v>138</v>
      </c>
      <c r="AH27" s="478"/>
      <c r="AI27" s="299"/>
      <c r="AJ27" s="534"/>
      <c r="AK27" s="299"/>
      <c r="AL27" s="588">
        <f>+$A$1-A27</f>
        <v>-43736</v>
      </c>
    </row>
  </sheetData>
  <autoFilter ref="A3:AJ22" xr:uid="{00000000-0009-0000-0000-000007000000}"/>
  <phoneticPr fontId="81" type="noConversion"/>
  <conditionalFormatting sqref="D28:D1048576 D6:D12 D14:D17">
    <cfRule type="duplicateValues" dxfId="117" priority="5249"/>
    <cfRule type="duplicateValues" dxfId="116" priority="5250"/>
  </conditionalFormatting>
  <conditionalFormatting sqref="D28:D1048576 D6:D12 D14:D17">
    <cfRule type="duplicateValues" dxfId="115" priority="5248"/>
  </conditionalFormatting>
  <conditionalFormatting sqref="D4">
    <cfRule type="duplicateValues" dxfId="114" priority="5226"/>
  </conditionalFormatting>
  <conditionalFormatting sqref="D5">
    <cfRule type="duplicateValues" dxfId="113" priority="894"/>
  </conditionalFormatting>
  <conditionalFormatting sqref="D13">
    <cfRule type="duplicateValues" dxfId="112" priority="815"/>
  </conditionalFormatting>
  <conditionalFormatting sqref="D18">
    <cfRule type="duplicateValues" dxfId="111" priority="744"/>
  </conditionalFormatting>
  <conditionalFormatting sqref="D19">
    <cfRule type="duplicateValues" dxfId="110" priority="709"/>
  </conditionalFormatting>
  <conditionalFormatting sqref="D20">
    <cfRule type="duplicateValues" dxfId="109" priority="697"/>
  </conditionalFormatting>
  <conditionalFormatting sqref="D21">
    <cfRule type="duplicateValues" dxfId="108" priority="650"/>
  </conditionalFormatting>
  <conditionalFormatting sqref="I22">
    <cfRule type="containsText" dxfId="107" priority="575" operator="containsText" text="ENTREGADA">
      <formula>NOT(ISERROR(SEARCH("ENTREGADA",I22)))</formula>
    </cfRule>
    <cfRule type="containsText" dxfId="106" priority="576" operator="containsText" text="ENTREGADA">
      <formula>NOT(ISERROR(SEARCH("ENTREGADA",I22)))</formula>
    </cfRule>
  </conditionalFormatting>
  <conditionalFormatting sqref="D22">
    <cfRule type="duplicateValues" dxfId="105" priority="574"/>
  </conditionalFormatting>
  <conditionalFormatting sqref="AL23">
    <cfRule type="cellIs" dxfId="104" priority="290" operator="greaterThan">
      <formula>365</formula>
    </cfRule>
    <cfRule type="cellIs" dxfId="103" priority="291" operator="equal">
      <formula>365</formula>
    </cfRule>
  </conditionalFormatting>
  <conditionalFormatting sqref="I23">
    <cfRule type="containsText" dxfId="102" priority="277" operator="containsText" text="ENTREGADA">
      <formula>NOT(ISERROR(SEARCH("ENTREGADA",I23)))</formula>
    </cfRule>
    <cfRule type="containsText" dxfId="101" priority="278" operator="containsText" text="ENTREGADA">
      <formula>NOT(ISERROR(SEARCH("ENTREGADA",I23)))</formula>
    </cfRule>
  </conditionalFormatting>
  <conditionalFormatting sqref="D23">
    <cfRule type="duplicateValues" dxfId="100" priority="268"/>
  </conditionalFormatting>
  <conditionalFormatting sqref="I24">
    <cfRule type="containsText" dxfId="99" priority="109" operator="containsText" text="ENTREGADA">
      <formula>NOT(ISERROR(SEARCH("ENTREGADA",I24)))</formula>
    </cfRule>
    <cfRule type="containsText" dxfId="98" priority="110" operator="containsText" text="ENTREGADA">
      <formula>NOT(ISERROR(SEARCH("ENTREGADA",I24)))</formula>
    </cfRule>
  </conditionalFormatting>
  <conditionalFormatting sqref="AL24">
    <cfRule type="cellIs" dxfId="97" priority="99" operator="greaterThan">
      <formula>365</formula>
    </cfRule>
    <cfRule type="cellIs" dxfId="96" priority="100" operator="equal">
      <formula>365</formula>
    </cfRule>
  </conditionalFormatting>
  <conditionalFormatting sqref="D24">
    <cfRule type="duplicateValues" dxfId="95" priority="98"/>
  </conditionalFormatting>
  <conditionalFormatting sqref="D24">
    <cfRule type="duplicateValues" dxfId="94" priority="97"/>
  </conditionalFormatting>
  <conditionalFormatting sqref="I25">
    <cfRule type="containsText" dxfId="93" priority="84" operator="containsText" text="ENTREGADA">
      <formula>NOT(ISERROR(SEARCH("ENTREGADA",I25)))</formula>
    </cfRule>
    <cfRule type="containsText" dxfId="92" priority="85" operator="containsText" text="ENTREGADA">
      <formula>NOT(ISERROR(SEARCH("ENTREGADA",I25)))</formula>
    </cfRule>
  </conditionalFormatting>
  <conditionalFormatting sqref="AL25">
    <cfRule type="cellIs" dxfId="91" priority="74" operator="greaterThan">
      <formula>365</formula>
    </cfRule>
    <cfRule type="cellIs" dxfId="90" priority="75" operator="equal">
      <formula>365</formula>
    </cfRule>
  </conditionalFormatting>
  <conditionalFormatting sqref="D25">
    <cfRule type="duplicateValues" dxfId="89" priority="73"/>
  </conditionalFormatting>
  <conditionalFormatting sqref="D25">
    <cfRule type="duplicateValues" dxfId="88" priority="72"/>
  </conditionalFormatting>
  <conditionalFormatting sqref="I26">
    <cfRule type="containsText" dxfId="87" priority="59" operator="containsText" text="ENTREGADA">
      <formula>NOT(ISERROR(SEARCH("ENTREGADA",I26)))</formula>
    </cfRule>
    <cfRule type="containsText" dxfId="86" priority="60" operator="containsText" text="ENTREGADA">
      <formula>NOT(ISERROR(SEARCH("ENTREGADA",I26)))</formula>
    </cfRule>
  </conditionalFormatting>
  <conditionalFormatting sqref="AL26">
    <cfRule type="cellIs" dxfId="85" priority="49" operator="greaterThan">
      <formula>365</formula>
    </cfRule>
    <cfRule type="cellIs" dxfId="84" priority="50" operator="equal">
      <formula>365</formula>
    </cfRule>
  </conditionalFormatting>
  <conditionalFormatting sqref="D26">
    <cfRule type="duplicateValues" dxfId="83" priority="48"/>
  </conditionalFormatting>
  <conditionalFormatting sqref="D26">
    <cfRule type="duplicateValues" dxfId="82" priority="47"/>
  </conditionalFormatting>
  <conditionalFormatting sqref="I15">
    <cfRule type="containsText" dxfId="81" priority="34" operator="containsText" text="ENTREGADA">
      <formula>NOT(ISERROR(SEARCH("ENTREGADA",I15)))</formula>
    </cfRule>
    <cfRule type="containsText" dxfId="80" priority="35" operator="containsText" text="ENTREGADA">
      <formula>NOT(ISERROR(SEARCH("ENTREGADA",I15)))</formula>
    </cfRule>
  </conditionalFormatting>
  <conditionalFormatting sqref="I27">
    <cfRule type="containsText" dxfId="79" priority="13" operator="containsText" text="ENTREGADA">
      <formula>NOT(ISERROR(SEARCH("ENTREGADA",I27)))</formula>
    </cfRule>
    <cfRule type="containsText" dxfId="78" priority="14" operator="containsText" text="ENTREGADA">
      <formula>NOT(ISERROR(SEARCH("ENTREGADA",I27)))</formula>
    </cfRule>
  </conditionalFormatting>
  <conditionalFormatting sqref="AL27">
    <cfRule type="cellIs" dxfId="77" priority="3" operator="greaterThan">
      <formula>365</formula>
    </cfRule>
    <cfRule type="cellIs" dxfId="76" priority="4" operator="equal">
      <formula>365</formula>
    </cfRule>
  </conditionalFormatting>
  <conditionalFormatting sqref="D27">
    <cfRule type="duplicateValues" dxfId="75" priority="2"/>
  </conditionalFormatting>
  <conditionalFormatting sqref="D27">
    <cfRule type="duplicateValues" dxfId="74" priority="1"/>
  </conditionalFormatting>
  <pageMargins left="0.7" right="0.7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6" tint="0.39997558519241921"/>
  </sheetPr>
  <dimension ref="A1:AM25"/>
  <sheetViews>
    <sheetView zoomScaleNormal="100" workbookViewId="0">
      <pane xSplit="4" ySplit="3" topLeftCell="E4" activePane="bottomRight" state="frozen"/>
      <selection activeCell="C226" sqref="C226"/>
      <selection pane="topRight" activeCell="C226" sqref="C226"/>
      <selection pane="bottomLeft" activeCell="C226" sqref="C226"/>
      <selection pane="bottomRight" activeCell="E22" sqref="E22"/>
    </sheetView>
  </sheetViews>
  <sheetFormatPr baseColWidth="10" defaultRowHeight="12.75"/>
  <cols>
    <col min="1" max="1" width="10.7109375" style="16" customWidth="1"/>
    <col min="2" max="3" width="17.5703125" style="16" customWidth="1"/>
    <col min="4" max="4" width="9.7109375" style="16" bestFit="1" customWidth="1"/>
    <col min="5" max="5" width="14.7109375" style="247" customWidth="1"/>
    <col min="6" max="6" width="21.140625" style="247" customWidth="1"/>
    <col min="7" max="7" width="14.85546875" style="16" customWidth="1"/>
    <col min="8" max="8" width="11.42578125" style="16" customWidth="1"/>
    <col min="9" max="9" width="11" style="281" customWidth="1"/>
    <col min="10" max="10" width="15.42578125" style="16" customWidth="1"/>
    <col min="11" max="11" width="11.5703125" style="16" bestFit="1" customWidth="1"/>
    <col min="12" max="12" width="9.28515625" style="16" customWidth="1"/>
    <col min="13" max="13" width="10.7109375" style="16" customWidth="1"/>
    <col min="14" max="14" width="6.140625" style="16" customWidth="1"/>
    <col min="15" max="15" width="9.5703125" style="16" customWidth="1"/>
    <col min="16" max="16" width="13.140625" style="498" customWidth="1"/>
    <col min="17" max="17" width="10" style="16" customWidth="1"/>
    <col min="18" max="18" width="10.42578125" style="44" customWidth="1"/>
    <col min="19" max="19" width="14.28515625" style="16" customWidth="1"/>
    <col min="20" max="21" width="11.42578125" style="16"/>
    <col min="22" max="22" width="11.5703125" style="211" bestFit="1" customWidth="1"/>
    <col min="23" max="24" width="11.42578125" style="16"/>
    <col min="25" max="27" width="12.42578125" style="247" bestFit="1" customWidth="1"/>
    <col min="28" max="28" width="11.42578125" style="16"/>
    <col min="29" max="29" width="14.7109375" style="16" bestFit="1" customWidth="1"/>
    <col min="30" max="30" width="11.5703125" style="16" bestFit="1" customWidth="1"/>
    <col min="31" max="31" width="11.5703125" style="442" bestFit="1" customWidth="1"/>
    <col min="32" max="32" width="11.5703125" style="16" bestFit="1" customWidth="1"/>
    <col min="33" max="33" width="17.140625" style="16" bestFit="1" customWidth="1"/>
    <col min="34" max="34" width="11.42578125" style="16"/>
    <col min="35" max="35" width="12.42578125" style="16" bestFit="1" customWidth="1"/>
    <col min="36" max="37" width="11.5703125" style="16" bestFit="1" customWidth="1"/>
    <col min="38" max="16384" width="11.42578125" style="16"/>
  </cols>
  <sheetData>
    <row r="1" spans="1:39" s="3" customFormat="1">
      <c r="A1" s="4">
        <f ca="1">TODAY()</f>
        <v>43745</v>
      </c>
      <c r="D1" s="12"/>
      <c r="E1" s="227"/>
      <c r="F1" s="227"/>
      <c r="I1" s="281"/>
      <c r="K1" s="4"/>
      <c r="L1" s="4"/>
      <c r="M1" s="4"/>
      <c r="N1" s="228"/>
      <c r="O1" s="4"/>
      <c r="P1" s="496"/>
      <c r="R1" s="35"/>
      <c r="S1" s="17"/>
      <c r="T1" s="14"/>
      <c r="V1" s="4"/>
      <c r="W1" s="6"/>
      <c r="X1" s="4"/>
      <c r="Y1" s="227"/>
      <c r="Z1" s="230"/>
      <c r="AA1" s="230"/>
      <c r="AC1" s="6"/>
      <c r="AD1" s="4"/>
      <c r="AE1" s="42"/>
      <c r="AI1" s="227"/>
    </row>
    <row r="2" spans="1:39" s="3" customFormat="1">
      <c r="A2" s="4" t="s">
        <v>49</v>
      </c>
      <c r="D2" s="12"/>
      <c r="E2" s="227"/>
      <c r="F2" s="227"/>
      <c r="I2" s="281"/>
      <c r="J2" s="18" t="s">
        <v>0</v>
      </c>
      <c r="K2" s="4"/>
      <c r="L2" s="231"/>
      <c r="M2" s="231"/>
      <c r="N2" s="231"/>
      <c r="O2" s="231"/>
      <c r="P2" s="496"/>
      <c r="Q2" s="18"/>
      <c r="R2" s="35"/>
      <c r="S2" s="17"/>
      <c r="T2" s="14"/>
      <c r="V2" s="4"/>
      <c r="W2" s="6"/>
      <c r="X2" s="4"/>
      <c r="Y2" s="227"/>
      <c r="Z2" s="230"/>
      <c r="AA2" s="230"/>
      <c r="AC2" s="6"/>
      <c r="AD2" s="4"/>
      <c r="AE2" s="42"/>
      <c r="AI2" s="227"/>
      <c r="AJ2" s="3" t="s">
        <v>1</v>
      </c>
    </row>
    <row r="3" spans="1:39" s="31" customFormat="1" ht="31.5" customHeight="1">
      <c r="A3" s="19" t="s">
        <v>2</v>
      </c>
      <c r="B3" s="20" t="s">
        <v>3</v>
      </c>
      <c r="C3" s="20" t="s">
        <v>4</v>
      </c>
      <c r="D3" s="20" t="s">
        <v>51</v>
      </c>
      <c r="E3" s="167" t="s">
        <v>5</v>
      </c>
      <c r="F3" s="167" t="s">
        <v>43</v>
      </c>
      <c r="G3" s="20" t="s">
        <v>6</v>
      </c>
      <c r="H3" s="20" t="s">
        <v>7</v>
      </c>
      <c r="I3" s="20" t="s">
        <v>8</v>
      </c>
      <c r="J3" s="21" t="s">
        <v>9</v>
      </c>
      <c r="K3" s="22" t="s">
        <v>10</v>
      </c>
      <c r="L3" s="21" t="s">
        <v>11</v>
      </c>
      <c r="M3" s="21" t="s">
        <v>12</v>
      </c>
      <c r="N3" s="24" t="s">
        <v>13</v>
      </c>
      <c r="O3" s="25" t="s">
        <v>14</v>
      </c>
      <c r="P3" s="497" t="s">
        <v>15</v>
      </c>
      <c r="Q3" s="21" t="s">
        <v>16</v>
      </c>
      <c r="R3" s="36" t="s">
        <v>17</v>
      </c>
      <c r="S3" s="27" t="s">
        <v>50</v>
      </c>
      <c r="T3" s="28" t="s">
        <v>18</v>
      </c>
      <c r="U3" s="26" t="s">
        <v>19</v>
      </c>
      <c r="V3" s="29" t="s">
        <v>20</v>
      </c>
      <c r="W3" s="30" t="s">
        <v>21</v>
      </c>
      <c r="X3" s="29" t="s">
        <v>22</v>
      </c>
      <c r="Y3" s="169" t="s">
        <v>23</v>
      </c>
      <c r="Z3" s="169" t="s">
        <v>24</v>
      </c>
      <c r="AA3" s="169" t="s">
        <v>25</v>
      </c>
      <c r="AB3" s="26" t="s">
        <v>46</v>
      </c>
      <c r="AC3" s="30" t="s">
        <v>26</v>
      </c>
      <c r="AD3" s="29" t="s">
        <v>27</v>
      </c>
      <c r="AE3" s="41" t="s">
        <v>28</v>
      </c>
      <c r="AF3" s="26" t="s">
        <v>42</v>
      </c>
      <c r="AG3" s="26" t="s">
        <v>47</v>
      </c>
      <c r="AH3" s="26" t="s">
        <v>29</v>
      </c>
      <c r="AI3" s="169"/>
      <c r="AJ3" s="26" t="s">
        <v>30</v>
      </c>
    </row>
    <row r="4" spans="1:39" s="544" customFormat="1" ht="12">
      <c r="A4" s="544" t="s">
        <v>378</v>
      </c>
      <c r="B4" s="544" t="s">
        <v>387</v>
      </c>
      <c r="C4" s="544" t="s">
        <v>389</v>
      </c>
      <c r="D4" s="544" t="s">
        <v>393</v>
      </c>
      <c r="E4" s="545">
        <v>81000</v>
      </c>
      <c r="F4" s="545">
        <v>81000</v>
      </c>
      <c r="G4" s="544" t="s">
        <v>63</v>
      </c>
      <c r="H4" s="544" t="s">
        <v>101</v>
      </c>
      <c r="I4" s="488" t="s">
        <v>80</v>
      </c>
      <c r="J4" s="544" t="s">
        <v>142</v>
      </c>
      <c r="K4" s="544" t="s">
        <v>77</v>
      </c>
      <c r="P4" s="578">
        <v>81000</v>
      </c>
      <c r="Q4" s="544" t="s">
        <v>496</v>
      </c>
      <c r="S4" s="544" t="s">
        <v>391</v>
      </c>
      <c r="T4" s="544" t="s">
        <v>392</v>
      </c>
      <c r="U4" s="544" t="s">
        <v>40</v>
      </c>
      <c r="V4" s="579">
        <v>43554</v>
      </c>
      <c r="Y4" s="545">
        <v>105000</v>
      </c>
      <c r="Z4" s="545"/>
      <c r="AA4" s="545">
        <v>105000</v>
      </c>
      <c r="AE4" s="579"/>
      <c r="AF4" s="544" t="s">
        <v>339</v>
      </c>
      <c r="AG4" s="544" t="s">
        <v>143</v>
      </c>
    </row>
    <row r="5" spans="1:39" s="544" customFormat="1" ht="12">
      <c r="A5" s="544" t="s">
        <v>409</v>
      </c>
      <c r="B5" s="544" t="s">
        <v>385</v>
      </c>
      <c r="C5" s="544" t="s">
        <v>412</v>
      </c>
      <c r="D5" s="544" t="s">
        <v>434</v>
      </c>
      <c r="E5" s="545">
        <v>230000</v>
      </c>
      <c r="F5" s="545">
        <v>230000</v>
      </c>
      <c r="G5" s="544" t="s">
        <v>63</v>
      </c>
      <c r="H5" s="544" t="s">
        <v>101</v>
      </c>
      <c r="I5" s="488" t="s">
        <v>80</v>
      </c>
      <c r="J5" s="544" t="s">
        <v>142</v>
      </c>
      <c r="K5" s="544" t="s">
        <v>147</v>
      </c>
      <c r="P5" s="578">
        <v>230000</v>
      </c>
      <c r="Q5" s="544" t="s">
        <v>496</v>
      </c>
      <c r="S5" s="544" t="s">
        <v>431</v>
      </c>
      <c r="T5" s="544" t="s">
        <v>432</v>
      </c>
      <c r="U5" s="544" t="s">
        <v>31</v>
      </c>
      <c r="V5" s="579"/>
      <c r="Y5" s="545">
        <v>260000</v>
      </c>
      <c r="Z5" s="545"/>
      <c r="AA5" s="545">
        <v>260000</v>
      </c>
      <c r="AE5" s="579"/>
      <c r="AF5" s="544" t="s">
        <v>232</v>
      </c>
      <c r="AG5" s="544" t="s">
        <v>143</v>
      </c>
    </row>
    <row r="6" spans="1:39" s="528" customFormat="1" ht="12">
      <c r="A6" s="528" t="s">
        <v>378</v>
      </c>
      <c r="B6" s="528" t="s">
        <v>387</v>
      </c>
      <c r="C6" s="528" t="s">
        <v>389</v>
      </c>
      <c r="D6" s="528" t="s">
        <v>393</v>
      </c>
      <c r="E6" s="531">
        <v>81000</v>
      </c>
      <c r="F6" s="531">
        <v>81000</v>
      </c>
      <c r="G6" s="528" t="s">
        <v>63</v>
      </c>
      <c r="H6" s="528" t="s">
        <v>101</v>
      </c>
      <c r="I6" s="281" t="s">
        <v>80</v>
      </c>
      <c r="J6" s="528" t="s">
        <v>142</v>
      </c>
      <c r="K6" s="528" t="s">
        <v>77</v>
      </c>
      <c r="P6" s="577">
        <v>81000</v>
      </c>
      <c r="R6" s="529"/>
      <c r="S6" s="528" t="s">
        <v>500</v>
      </c>
      <c r="T6" s="528" t="s">
        <v>501</v>
      </c>
      <c r="U6" s="528" t="s">
        <v>40</v>
      </c>
      <c r="V6" s="530">
        <v>43622</v>
      </c>
      <c r="Y6" s="531">
        <v>115000</v>
      </c>
      <c r="Z6" s="531"/>
      <c r="AA6" s="531">
        <v>115000</v>
      </c>
      <c r="AE6" s="532"/>
      <c r="AF6" s="528" t="s">
        <v>194</v>
      </c>
      <c r="AG6" s="528" t="s">
        <v>143</v>
      </c>
      <c r="AL6" s="528">
        <v>71</v>
      </c>
    </row>
    <row r="7" spans="1:39" s="528" customFormat="1" ht="12">
      <c r="A7" s="528" t="s">
        <v>511</v>
      </c>
      <c r="B7" s="528" t="s">
        <v>564</v>
      </c>
      <c r="C7" s="528" t="s">
        <v>565</v>
      </c>
      <c r="D7" s="528" t="s">
        <v>586</v>
      </c>
      <c r="E7" s="531">
        <v>195000</v>
      </c>
      <c r="F7" s="531">
        <v>195000</v>
      </c>
      <c r="G7" s="528" t="s">
        <v>63</v>
      </c>
      <c r="H7" s="528" t="s">
        <v>101</v>
      </c>
      <c r="I7" s="281" t="s">
        <v>80</v>
      </c>
      <c r="J7" s="528" t="s">
        <v>142</v>
      </c>
      <c r="K7" s="528" t="s">
        <v>229</v>
      </c>
      <c r="P7" s="577">
        <v>195000</v>
      </c>
      <c r="R7" s="529"/>
      <c r="S7" s="287" t="s">
        <v>591</v>
      </c>
      <c r="T7" s="528" t="s">
        <v>583</v>
      </c>
      <c r="U7" s="528" t="s">
        <v>31</v>
      </c>
      <c r="V7" s="530">
        <v>43643</v>
      </c>
      <c r="Y7" s="531">
        <v>205000</v>
      </c>
      <c r="Z7" s="531">
        <v>203500</v>
      </c>
      <c r="AA7" s="531">
        <v>1500</v>
      </c>
      <c r="AB7" s="528" t="s">
        <v>197</v>
      </c>
      <c r="AC7" s="528" t="s">
        <v>585</v>
      </c>
      <c r="AD7" s="528">
        <v>43641</v>
      </c>
      <c r="AE7" s="532"/>
      <c r="AF7" s="528" t="s">
        <v>228</v>
      </c>
      <c r="AG7" s="528" t="s">
        <v>143</v>
      </c>
      <c r="AL7" s="528">
        <v>13</v>
      </c>
    </row>
    <row r="8" spans="1:39" s="528" customFormat="1" ht="12">
      <c r="A8" s="528" t="s">
        <v>509</v>
      </c>
      <c r="B8" s="528" t="s">
        <v>559</v>
      </c>
      <c r="C8" s="528" t="s">
        <v>560</v>
      </c>
      <c r="D8" s="528" t="s">
        <v>596</v>
      </c>
      <c r="E8" s="531">
        <v>146500</v>
      </c>
      <c r="F8" s="531">
        <v>146500</v>
      </c>
      <c r="G8" s="528" t="s">
        <v>63</v>
      </c>
      <c r="H8" s="528" t="s">
        <v>101</v>
      </c>
      <c r="I8" s="281" t="s">
        <v>80</v>
      </c>
      <c r="J8" s="528" t="s">
        <v>142</v>
      </c>
      <c r="K8" s="528" t="s">
        <v>75</v>
      </c>
      <c r="P8" s="577">
        <v>146500</v>
      </c>
      <c r="R8" s="529"/>
      <c r="S8" s="528" t="s">
        <v>592</v>
      </c>
      <c r="T8" s="528" t="s">
        <v>593</v>
      </c>
      <c r="U8" s="528" t="s">
        <v>31</v>
      </c>
      <c r="V8" s="530">
        <v>43643</v>
      </c>
      <c r="Y8" s="531">
        <v>170000</v>
      </c>
      <c r="Z8" s="531"/>
      <c r="AA8" s="531">
        <v>170000</v>
      </c>
      <c r="AE8" s="532"/>
      <c r="AF8" s="528" t="s">
        <v>267</v>
      </c>
      <c r="AG8" s="528" t="s">
        <v>143</v>
      </c>
      <c r="AL8" s="528">
        <v>18</v>
      </c>
    </row>
    <row r="9" spans="1:39" s="528" customFormat="1" ht="12">
      <c r="A9" s="528" t="s">
        <v>569</v>
      </c>
      <c r="B9" s="528" t="s">
        <v>576</v>
      </c>
      <c r="C9" s="528" t="s">
        <v>577</v>
      </c>
      <c r="D9" s="528" t="s">
        <v>597</v>
      </c>
      <c r="E9" s="531">
        <v>550000</v>
      </c>
      <c r="F9" s="531">
        <v>550000</v>
      </c>
      <c r="G9" s="528" t="s">
        <v>63</v>
      </c>
      <c r="H9" s="528" t="s">
        <v>101</v>
      </c>
      <c r="I9" s="281" t="s">
        <v>80</v>
      </c>
      <c r="J9" s="528" t="s">
        <v>142</v>
      </c>
      <c r="K9" s="528" t="s">
        <v>270</v>
      </c>
      <c r="P9" s="577">
        <v>550000</v>
      </c>
      <c r="R9" s="529"/>
      <c r="S9" s="528" t="s">
        <v>594</v>
      </c>
      <c r="T9" s="528" t="s">
        <v>595</v>
      </c>
      <c r="U9" s="528" t="s">
        <v>31</v>
      </c>
      <c r="V9" s="530">
        <v>43643</v>
      </c>
      <c r="Y9" s="531">
        <v>587500</v>
      </c>
      <c r="Z9" s="531"/>
      <c r="AA9" s="531">
        <v>587500</v>
      </c>
      <c r="AE9" s="532"/>
      <c r="AF9" s="528" t="s">
        <v>194</v>
      </c>
      <c r="AG9" s="528" t="s">
        <v>143</v>
      </c>
      <c r="AL9" s="528">
        <v>10</v>
      </c>
    </row>
    <row r="10" spans="1:39" s="528" customFormat="1" ht="12">
      <c r="A10" s="528" t="s">
        <v>511</v>
      </c>
      <c r="B10" s="528" t="s">
        <v>126</v>
      </c>
      <c r="C10" s="528" t="s">
        <v>563</v>
      </c>
      <c r="D10" s="528" t="s">
        <v>648</v>
      </c>
      <c r="E10" s="531">
        <v>95000</v>
      </c>
      <c r="F10" s="531">
        <v>95000</v>
      </c>
      <c r="G10" s="528" t="s">
        <v>63</v>
      </c>
      <c r="H10" s="528" t="s">
        <v>101</v>
      </c>
      <c r="I10" s="281" t="s">
        <v>80</v>
      </c>
      <c r="J10" s="528" t="s">
        <v>142</v>
      </c>
      <c r="K10" s="528" t="s">
        <v>77</v>
      </c>
      <c r="P10" s="577">
        <v>95000</v>
      </c>
      <c r="R10" s="529"/>
      <c r="S10" s="528" t="s">
        <v>636</v>
      </c>
      <c r="T10" s="528" t="s">
        <v>637</v>
      </c>
      <c r="U10" s="528" t="s">
        <v>40</v>
      </c>
      <c r="V10" s="530">
        <v>43645</v>
      </c>
      <c r="Y10" s="531">
        <v>110000</v>
      </c>
      <c r="Z10" s="531"/>
      <c r="AA10" s="531">
        <v>110000</v>
      </c>
      <c r="AE10" s="532"/>
      <c r="AF10" s="528" t="s">
        <v>299</v>
      </c>
      <c r="AG10" s="528" t="s">
        <v>143</v>
      </c>
      <c r="AL10" s="528">
        <v>18</v>
      </c>
    </row>
    <row r="11" spans="1:39" s="528" customFormat="1" ht="12">
      <c r="A11" s="528" t="s">
        <v>590</v>
      </c>
      <c r="B11" s="528" t="s">
        <v>626</v>
      </c>
      <c r="C11" s="528" t="s">
        <v>627</v>
      </c>
      <c r="D11" s="528" t="s">
        <v>649</v>
      </c>
      <c r="E11" s="531">
        <v>240000</v>
      </c>
      <c r="F11" s="531">
        <v>240000</v>
      </c>
      <c r="G11" s="528" t="s">
        <v>63</v>
      </c>
      <c r="H11" s="528" t="s">
        <v>101</v>
      </c>
      <c r="I11" s="281" t="s">
        <v>80</v>
      </c>
      <c r="J11" s="528" t="s">
        <v>142</v>
      </c>
      <c r="K11" s="528" t="s">
        <v>147</v>
      </c>
      <c r="P11" s="577">
        <v>240000</v>
      </c>
      <c r="R11" s="529"/>
      <c r="S11" s="528" t="s">
        <v>641</v>
      </c>
      <c r="T11" s="528" t="s">
        <v>642</v>
      </c>
      <c r="U11" s="528" t="s">
        <v>31</v>
      </c>
      <c r="V11" s="530">
        <v>43643</v>
      </c>
      <c r="Y11" s="531">
        <v>265000</v>
      </c>
      <c r="Z11" s="531"/>
      <c r="AA11" s="531">
        <v>265000</v>
      </c>
      <c r="AE11" s="532"/>
      <c r="AF11" s="528" t="s">
        <v>267</v>
      </c>
      <c r="AG11" s="528" t="s">
        <v>143</v>
      </c>
      <c r="AL11" s="528">
        <v>4</v>
      </c>
    </row>
    <row r="12" spans="1:39" s="528" customFormat="1" ht="12">
      <c r="A12" s="528" t="s">
        <v>590</v>
      </c>
      <c r="B12" s="528" t="s">
        <v>630</v>
      </c>
      <c r="C12" s="528" t="s">
        <v>631</v>
      </c>
      <c r="D12" s="528" t="s">
        <v>650</v>
      </c>
      <c r="E12" s="531">
        <v>140000</v>
      </c>
      <c r="F12" s="531">
        <v>140000</v>
      </c>
      <c r="G12" s="528" t="s">
        <v>63</v>
      </c>
      <c r="H12" s="528" t="s">
        <v>101</v>
      </c>
      <c r="I12" s="281" t="s">
        <v>80</v>
      </c>
      <c r="J12" s="528" t="s">
        <v>142</v>
      </c>
      <c r="K12" s="528" t="s">
        <v>76</v>
      </c>
      <c r="P12" s="577">
        <v>140000</v>
      </c>
      <c r="R12" s="529"/>
      <c r="S12" s="528" t="s">
        <v>638</v>
      </c>
      <c r="T12" s="528" t="s">
        <v>639</v>
      </c>
      <c r="U12" s="528" t="s">
        <v>40</v>
      </c>
      <c r="V12" s="530">
        <v>43644</v>
      </c>
      <c r="Y12" s="531">
        <v>155000</v>
      </c>
      <c r="Z12" s="531"/>
      <c r="AA12" s="531">
        <v>155000</v>
      </c>
      <c r="AE12" s="532"/>
      <c r="AF12" s="528" t="s">
        <v>640</v>
      </c>
      <c r="AG12" s="528" t="s">
        <v>143</v>
      </c>
      <c r="AL12" s="528">
        <v>4</v>
      </c>
    </row>
    <row r="13" spans="1:39" s="528" customFormat="1" ht="12">
      <c r="A13" s="536" t="s">
        <v>846</v>
      </c>
      <c r="B13" s="536" t="s">
        <v>855</v>
      </c>
      <c r="C13" s="536" t="s">
        <v>856</v>
      </c>
      <c r="D13" s="350" t="str">
        <f t="shared" ref="D13:D25" si="0">+RIGHT(C13,8)</f>
        <v>F0695319</v>
      </c>
      <c r="E13" s="580">
        <v>30449.9</v>
      </c>
      <c r="F13" s="580">
        <v>30449.9</v>
      </c>
      <c r="G13" s="352" t="s">
        <v>63</v>
      </c>
      <c r="H13" s="278" t="s">
        <v>101</v>
      </c>
      <c r="I13" s="281"/>
      <c r="J13" s="352" t="s">
        <v>142</v>
      </c>
      <c r="K13" s="472">
        <v>2015</v>
      </c>
      <c r="L13" s="489"/>
      <c r="M13" s="490"/>
      <c r="N13" s="282"/>
      <c r="O13" s="286"/>
      <c r="P13" s="286">
        <f>F13+O13</f>
        <v>30449.9</v>
      </c>
      <c r="Q13" s="287"/>
      <c r="R13" s="288"/>
      <c r="S13" s="287" t="s">
        <v>859</v>
      </c>
      <c r="T13" s="287" t="s">
        <v>860</v>
      </c>
      <c r="U13" s="294" t="s">
        <v>31</v>
      </c>
      <c r="V13" s="282">
        <v>43687</v>
      </c>
      <c r="W13" s="355"/>
      <c r="X13" s="356"/>
      <c r="Y13" s="326">
        <v>31363.38</v>
      </c>
      <c r="Z13" s="309"/>
      <c r="AA13" s="293">
        <f>+Y13-Z13</f>
        <v>31363.38</v>
      </c>
      <c r="AB13" s="294"/>
      <c r="AC13" s="357"/>
      <c r="AD13" s="282"/>
      <c r="AE13" s="296"/>
      <c r="AF13" s="287" t="s">
        <v>448</v>
      </c>
      <c r="AG13" s="294" t="s">
        <v>143</v>
      </c>
      <c r="AH13" s="478"/>
      <c r="AI13" s="294"/>
      <c r="AJ13" s="358"/>
      <c r="AK13" s="359"/>
      <c r="AL13" s="299">
        <f ca="1">$A$1-A13</f>
        <v>58</v>
      </c>
      <c r="AM13" s="278"/>
    </row>
    <row r="14" spans="1:39" s="528" customFormat="1" ht="12">
      <c r="A14" s="528" t="s">
        <v>764</v>
      </c>
      <c r="B14" s="528" t="s">
        <v>861</v>
      </c>
      <c r="C14" s="528" t="s">
        <v>862</v>
      </c>
      <c r="D14" s="350" t="str">
        <f t="shared" si="0"/>
        <v>ED607240</v>
      </c>
      <c r="E14" s="531">
        <v>120000</v>
      </c>
      <c r="F14" s="531">
        <v>120000</v>
      </c>
      <c r="G14" s="352" t="s">
        <v>63</v>
      </c>
      <c r="H14" s="278" t="s">
        <v>101</v>
      </c>
      <c r="I14" s="281"/>
      <c r="J14" s="352" t="s">
        <v>142</v>
      </c>
      <c r="K14" s="528" t="s">
        <v>76</v>
      </c>
      <c r="P14" s="286">
        <f>F14+O14</f>
        <v>120000</v>
      </c>
      <c r="R14" s="529"/>
      <c r="S14" s="528" t="s">
        <v>863</v>
      </c>
      <c r="T14" s="528" t="s">
        <v>864</v>
      </c>
      <c r="U14" s="294" t="s">
        <v>31</v>
      </c>
      <c r="V14" s="530">
        <v>43685</v>
      </c>
      <c r="Y14" s="531">
        <v>161000</v>
      </c>
      <c r="Z14" s="531"/>
      <c r="AA14" s="531">
        <v>165886</v>
      </c>
      <c r="AE14" s="532"/>
      <c r="AF14" s="528" t="s">
        <v>216</v>
      </c>
      <c r="AG14" s="294" t="s">
        <v>143</v>
      </c>
    </row>
    <row r="15" spans="1:39" s="528" customFormat="1" ht="12">
      <c r="A15" s="528" t="s">
        <v>753</v>
      </c>
      <c r="B15" s="528" t="s">
        <v>762</v>
      </c>
      <c r="C15" s="528" t="s">
        <v>763</v>
      </c>
      <c r="D15" s="350" t="str">
        <f t="shared" si="0"/>
        <v>GR307817</v>
      </c>
      <c r="E15" s="351">
        <v>295000</v>
      </c>
      <c r="F15" s="351">
        <v>295000</v>
      </c>
      <c r="G15" s="352" t="s">
        <v>63</v>
      </c>
      <c r="H15" s="278" t="s">
        <v>101</v>
      </c>
      <c r="I15" s="281" t="s">
        <v>895</v>
      </c>
      <c r="J15" s="352" t="s">
        <v>142</v>
      </c>
      <c r="K15" s="499" t="s">
        <v>237</v>
      </c>
      <c r="L15" s="489"/>
      <c r="M15" s="490"/>
      <c r="N15" s="282"/>
      <c r="O15" s="286"/>
      <c r="P15" s="286">
        <f>F15+O15</f>
        <v>295000</v>
      </c>
      <c r="Q15" s="287"/>
      <c r="R15" s="288"/>
      <c r="S15" s="287" t="s">
        <v>890</v>
      </c>
      <c r="T15" s="287" t="s">
        <v>891</v>
      </c>
      <c r="U15" s="294" t="s">
        <v>31</v>
      </c>
      <c r="V15" s="282">
        <v>43699</v>
      </c>
      <c r="W15" s="355"/>
      <c r="X15" s="356"/>
      <c r="Y15" s="326">
        <v>315000</v>
      </c>
      <c r="Z15" s="309"/>
      <c r="AA15" s="293">
        <f>+Y15-Z15</f>
        <v>315000</v>
      </c>
      <c r="AB15" s="294"/>
      <c r="AC15" s="357"/>
      <c r="AD15" s="282"/>
      <c r="AE15" s="296"/>
      <c r="AF15" s="287" t="s">
        <v>232</v>
      </c>
      <c r="AG15" s="294" t="s">
        <v>143</v>
      </c>
      <c r="AH15" s="478"/>
      <c r="AI15" s="294"/>
      <c r="AJ15" s="358"/>
      <c r="AK15" s="359"/>
      <c r="AL15" s="299">
        <f ca="1">$A$1-A15</f>
        <v>69</v>
      </c>
      <c r="AM15" s="278"/>
    </row>
    <row r="16" spans="1:39" s="528" customFormat="1" ht="12">
      <c r="A16" s="536" t="s">
        <v>961</v>
      </c>
      <c r="B16" s="536" t="s">
        <v>1064</v>
      </c>
      <c r="C16" s="536" t="s">
        <v>1077</v>
      </c>
      <c r="D16" s="350" t="str">
        <f t="shared" si="0"/>
        <v>JK150549</v>
      </c>
      <c r="E16" s="534">
        <v>269000</v>
      </c>
      <c r="F16" s="534">
        <v>269000</v>
      </c>
      <c r="G16" s="352" t="s">
        <v>63</v>
      </c>
      <c r="H16" s="278" t="s">
        <v>101</v>
      </c>
      <c r="I16" s="281" t="s">
        <v>80</v>
      </c>
      <c r="J16" s="352" t="s">
        <v>142</v>
      </c>
      <c r="K16" s="472" t="s">
        <v>270</v>
      </c>
      <c r="L16" s="489"/>
      <c r="M16" s="490"/>
      <c r="N16" s="282"/>
      <c r="O16" s="286"/>
      <c r="P16" s="286">
        <f>F16+O16</f>
        <v>269000</v>
      </c>
      <c r="Q16" s="287"/>
      <c r="R16" s="288"/>
      <c r="S16" s="287" t="s">
        <v>1217</v>
      </c>
      <c r="T16" s="287" t="s">
        <v>1218</v>
      </c>
      <c r="U16" s="294" t="s">
        <v>31</v>
      </c>
      <c r="V16" s="282" t="s">
        <v>1212</v>
      </c>
      <c r="W16" s="355"/>
      <c r="X16" s="356"/>
      <c r="Y16" s="326">
        <v>315000</v>
      </c>
      <c r="Z16" s="309"/>
      <c r="AA16" s="293">
        <f>+Y16-Z16</f>
        <v>315000</v>
      </c>
      <c r="AB16" s="294"/>
      <c r="AC16" s="357"/>
      <c r="AD16" s="282"/>
      <c r="AE16" s="296"/>
      <c r="AF16" s="287" t="s">
        <v>232</v>
      </c>
      <c r="AG16" s="294" t="s">
        <v>143</v>
      </c>
      <c r="AH16" s="478"/>
      <c r="AI16" s="294"/>
      <c r="AJ16" s="358"/>
      <c r="AK16" s="359"/>
      <c r="AL16" s="590"/>
    </row>
    <row r="17" spans="1:38" s="528" customFormat="1" ht="12">
      <c r="A17" s="536" t="s">
        <v>1089</v>
      </c>
      <c r="B17" s="536" t="s">
        <v>1103</v>
      </c>
      <c r="C17" s="536" t="s">
        <v>1108</v>
      </c>
      <c r="D17" s="350" t="str">
        <f t="shared" si="0"/>
        <v>JT165920</v>
      </c>
      <c r="E17" s="534">
        <v>355000</v>
      </c>
      <c r="F17" s="534">
        <v>355000</v>
      </c>
      <c r="G17" s="352" t="s">
        <v>63</v>
      </c>
      <c r="H17" s="278" t="s">
        <v>101</v>
      </c>
      <c r="I17" s="281" t="s">
        <v>80</v>
      </c>
      <c r="J17" s="352" t="s">
        <v>142</v>
      </c>
      <c r="K17" s="472" t="s">
        <v>270</v>
      </c>
      <c r="L17" s="489"/>
      <c r="M17" s="490"/>
      <c r="N17" s="282"/>
      <c r="O17" s="286"/>
      <c r="P17" s="286">
        <f>F17+O17</f>
        <v>355000</v>
      </c>
      <c r="Q17" s="287"/>
      <c r="R17" s="288"/>
      <c r="S17" s="287" t="s">
        <v>1320</v>
      </c>
      <c r="T17" s="287" t="s">
        <v>1321</v>
      </c>
      <c r="U17" s="294" t="s">
        <v>31</v>
      </c>
      <c r="V17" s="282">
        <v>43738</v>
      </c>
      <c r="W17" s="355"/>
      <c r="X17" s="356"/>
      <c r="Y17" s="326">
        <v>360000</v>
      </c>
      <c r="Z17" s="309"/>
      <c r="AA17" s="293">
        <f>+Y17-Z17</f>
        <v>360000</v>
      </c>
      <c r="AB17" s="294"/>
      <c r="AC17" s="357"/>
      <c r="AD17" s="282"/>
      <c r="AE17" s="296"/>
      <c r="AF17" s="287" t="s">
        <v>1310</v>
      </c>
      <c r="AG17" s="294" t="s">
        <v>143</v>
      </c>
      <c r="AH17" s="478"/>
      <c r="AI17" s="294"/>
      <c r="AJ17" s="358"/>
      <c r="AK17" s="359"/>
      <c r="AL17" s="590"/>
    </row>
    <row r="18" spans="1:38" s="528" customFormat="1" ht="12">
      <c r="A18" s="536" t="s">
        <v>1042</v>
      </c>
      <c r="B18" s="536" t="s">
        <v>901</v>
      </c>
      <c r="C18" s="536" t="s">
        <v>1078</v>
      </c>
      <c r="D18" s="350" t="str">
        <f t="shared" si="0"/>
        <v>GB090812</v>
      </c>
      <c r="E18" s="534">
        <v>135000</v>
      </c>
      <c r="F18" s="534">
        <v>135000</v>
      </c>
      <c r="G18" s="352" t="s">
        <v>63</v>
      </c>
      <c r="H18" s="278" t="s">
        <v>101</v>
      </c>
      <c r="I18" s="281" t="s">
        <v>80</v>
      </c>
      <c r="J18" s="352" t="s">
        <v>142</v>
      </c>
      <c r="K18" s="472" t="s">
        <v>237</v>
      </c>
      <c r="L18" s="489"/>
      <c r="M18" s="490"/>
      <c r="N18" s="282"/>
      <c r="O18" s="286"/>
      <c r="P18" s="286">
        <f t="shared" ref="P18:P24" si="1">F18+O18</f>
        <v>135000</v>
      </c>
      <c r="Q18" s="287"/>
      <c r="R18" s="288"/>
      <c r="S18" s="287" t="s">
        <v>1349</v>
      </c>
      <c r="T18" s="287" t="s">
        <v>1350</v>
      </c>
      <c r="U18" s="294" t="s">
        <v>40</v>
      </c>
      <c r="V18" s="282">
        <v>43738</v>
      </c>
      <c r="W18" s="355"/>
      <c r="X18" s="356"/>
      <c r="Y18" s="326">
        <v>170000</v>
      </c>
      <c r="Z18" s="309"/>
      <c r="AA18" s="293">
        <f t="shared" ref="AA18:AA24" si="2">+Y18-Z18</f>
        <v>170000</v>
      </c>
      <c r="AB18" s="294"/>
      <c r="AC18" s="357"/>
      <c r="AD18" s="282"/>
      <c r="AE18" s="296"/>
      <c r="AF18" s="287" t="s">
        <v>195</v>
      </c>
      <c r="AG18" s="294" t="s">
        <v>143</v>
      </c>
      <c r="AH18" s="478"/>
      <c r="AI18" s="294"/>
      <c r="AJ18" s="358"/>
      <c r="AK18" s="359"/>
      <c r="AL18" s="590"/>
    </row>
    <row r="19" spans="1:38" s="528" customFormat="1" ht="12">
      <c r="A19" s="536" t="s">
        <v>1114</v>
      </c>
      <c r="B19" s="536" t="s">
        <v>1370</v>
      </c>
      <c r="C19" s="536" t="s">
        <v>1371</v>
      </c>
      <c r="D19" s="350" t="str">
        <f t="shared" si="0"/>
        <v>H0132068</v>
      </c>
      <c r="E19" s="534">
        <v>400000</v>
      </c>
      <c r="F19" s="534">
        <v>400000</v>
      </c>
      <c r="G19" s="352" t="s">
        <v>63</v>
      </c>
      <c r="H19" s="278" t="s">
        <v>101</v>
      </c>
      <c r="I19" s="281" t="s">
        <v>39</v>
      </c>
      <c r="J19" s="352" t="s">
        <v>142</v>
      </c>
      <c r="K19" s="472" t="s">
        <v>75</v>
      </c>
      <c r="L19" s="607"/>
      <c r="M19" s="490"/>
      <c r="N19" s="282"/>
      <c r="O19" s="286"/>
      <c r="P19" s="286">
        <f t="shared" si="1"/>
        <v>400000</v>
      </c>
      <c r="Q19" s="287"/>
      <c r="R19" s="288"/>
      <c r="S19" s="287" t="s">
        <v>1392</v>
      </c>
      <c r="T19" s="287" t="s">
        <v>1393</v>
      </c>
      <c r="U19" s="294" t="s">
        <v>37</v>
      </c>
      <c r="V19" s="282">
        <v>43731</v>
      </c>
      <c r="W19" s="355"/>
      <c r="X19" s="356"/>
      <c r="Y19" s="326">
        <v>450000</v>
      </c>
      <c r="Z19" s="292"/>
      <c r="AA19" s="293">
        <f t="shared" si="2"/>
        <v>450000</v>
      </c>
      <c r="AB19" s="294"/>
      <c r="AC19" s="357"/>
      <c r="AD19" s="282"/>
      <c r="AE19" s="296">
        <v>43736</v>
      </c>
      <c r="AF19" s="287" t="s">
        <v>194</v>
      </c>
      <c r="AG19" s="294" t="s">
        <v>143</v>
      </c>
      <c r="AH19" s="478"/>
      <c r="AI19" s="294"/>
      <c r="AJ19" s="608"/>
      <c r="AK19" s="359"/>
      <c r="AL19" s="590"/>
    </row>
    <row r="20" spans="1:38" s="528" customFormat="1" ht="12">
      <c r="A20" s="536" t="s">
        <v>1144</v>
      </c>
      <c r="B20" s="536" t="s">
        <v>1376</v>
      </c>
      <c r="C20" s="536" t="s">
        <v>1377</v>
      </c>
      <c r="D20" s="350" t="str">
        <f t="shared" si="0"/>
        <v>HL900118</v>
      </c>
      <c r="E20" s="534">
        <v>270000</v>
      </c>
      <c r="F20" s="534">
        <v>270000</v>
      </c>
      <c r="G20" s="352" t="s">
        <v>63</v>
      </c>
      <c r="H20" s="278" t="s">
        <v>101</v>
      </c>
      <c r="I20" s="281"/>
      <c r="J20" s="352" t="s">
        <v>142</v>
      </c>
      <c r="K20" s="472" t="s">
        <v>75</v>
      </c>
      <c r="L20" s="607"/>
      <c r="M20" s="490"/>
      <c r="N20" s="282"/>
      <c r="O20" s="286"/>
      <c r="P20" s="286">
        <f t="shared" si="1"/>
        <v>270000</v>
      </c>
      <c r="Q20" s="287"/>
      <c r="R20" s="288"/>
      <c r="S20" s="287" t="s">
        <v>1394</v>
      </c>
      <c r="T20" s="287" t="s">
        <v>1395</v>
      </c>
      <c r="U20" s="294" t="s">
        <v>31</v>
      </c>
      <c r="V20" s="282" t="s">
        <v>1196</v>
      </c>
      <c r="W20" s="355"/>
      <c r="X20" s="356"/>
      <c r="Y20" s="326">
        <v>290000</v>
      </c>
      <c r="Z20" s="292"/>
      <c r="AA20" s="293">
        <f t="shared" si="2"/>
        <v>290000</v>
      </c>
      <c r="AB20" s="294"/>
      <c r="AC20" s="357"/>
      <c r="AD20" s="282"/>
      <c r="AE20" s="296"/>
      <c r="AF20" s="287" t="s">
        <v>1111</v>
      </c>
      <c r="AG20" s="294" t="s">
        <v>143</v>
      </c>
      <c r="AH20" s="478"/>
      <c r="AI20" s="294"/>
      <c r="AJ20" s="608"/>
      <c r="AK20" s="359"/>
      <c r="AL20" s="590"/>
    </row>
    <row r="21" spans="1:38" s="528" customFormat="1" ht="12">
      <c r="A21" s="536" t="s">
        <v>1196</v>
      </c>
      <c r="B21" s="536" t="s">
        <v>1380</v>
      </c>
      <c r="C21" s="536" t="s">
        <v>1381</v>
      </c>
      <c r="D21" s="350" t="str">
        <f t="shared" si="0"/>
        <v>GW512772</v>
      </c>
      <c r="E21" s="534">
        <v>210000</v>
      </c>
      <c r="F21" s="534">
        <v>210000</v>
      </c>
      <c r="G21" s="352" t="s">
        <v>63</v>
      </c>
      <c r="H21" s="278" t="s">
        <v>101</v>
      </c>
      <c r="I21" s="281" t="s">
        <v>39</v>
      </c>
      <c r="J21" s="352" t="s">
        <v>142</v>
      </c>
      <c r="K21" s="472" t="s">
        <v>75</v>
      </c>
      <c r="L21" s="607"/>
      <c r="M21" s="490"/>
      <c r="N21" s="282"/>
      <c r="O21" s="286"/>
      <c r="P21" s="286">
        <f t="shared" si="1"/>
        <v>210000</v>
      </c>
      <c r="Q21" s="287"/>
      <c r="R21" s="288"/>
      <c r="S21" s="287" t="s">
        <v>1396</v>
      </c>
      <c r="T21" s="287" t="s">
        <v>1397</v>
      </c>
      <c r="U21" s="294" t="s">
        <v>31</v>
      </c>
      <c r="V21" s="282" t="s">
        <v>1212</v>
      </c>
      <c r="W21" s="355"/>
      <c r="X21" s="356"/>
      <c r="Y21" s="326">
        <v>235000</v>
      </c>
      <c r="Z21" s="292"/>
      <c r="AA21" s="293">
        <f t="shared" si="2"/>
        <v>235000</v>
      </c>
      <c r="AB21" s="294"/>
      <c r="AC21" s="357"/>
      <c r="AD21" s="282"/>
      <c r="AE21" s="296">
        <v>43740</v>
      </c>
      <c r="AF21" s="287" t="s">
        <v>228</v>
      </c>
      <c r="AG21" s="294" t="s">
        <v>143</v>
      </c>
      <c r="AH21" s="478"/>
      <c r="AI21" s="294"/>
      <c r="AJ21" s="608"/>
      <c r="AK21" s="359"/>
      <c r="AL21" s="590"/>
    </row>
    <row r="22" spans="1:38" s="528" customFormat="1" ht="12">
      <c r="A22" s="536" t="s">
        <v>1242</v>
      </c>
      <c r="B22" s="536" t="s">
        <v>1384</v>
      </c>
      <c r="C22" s="536" t="s">
        <v>1385</v>
      </c>
      <c r="D22" s="350" t="str">
        <f t="shared" si="0"/>
        <v>K2081489</v>
      </c>
      <c r="E22" s="534">
        <v>800000</v>
      </c>
      <c r="F22" s="534">
        <v>800000</v>
      </c>
      <c r="G22" s="352" t="s">
        <v>63</v>
      </c>
      <c r="H22" s="278" t="s">
        <v>101</v>
      </c>
      <c r="I22" s="281"/>
      <c r="J22" s="352" t="s">
        <v>142</v>
      </c>
      <c r="K22" s="472" t="s">
        <v>75</v>
      </c>
      <c r="L22" s="607"/>
      <c r="M22" s="490"/>
      <c r="N22" s="282"/>
      <c r="O22" s="286"/>
      <c r="P22" s="286">
        <f t="shared" si="1"/>
        <v>800000</v>
      </c>
      <c r="Q22" s="287"/>
      <c r="R22" s="288"/>
      <c r="S22" s="287" t="s">
        <v>1398</v>
      </c>
      <c r="T22" s="287" t="s">
        <v>1399</v>
      </c>
      <c r="U22" s="294" t="s">
        <v>31</v>
      </c>
      <c r="V22" s="282">
        <v>43738</v>
      </c>
      <c r="W22" s="355"/>
      <c r="X22" s="356"/>
      <c r="Y22" s="326">
        <v>840000</v>
      </c>
      <c r="Z22" s="292"/>
      <c r="AA22" s="293">
        <f t="shared" si="2"/>
        <v>840000</v>
      </c>
      <c r="AB22" s="294"/>
      <c r="AC22" s="357"/>
      <c r="AD22" s="282"/>
      <c r="AE22" s="296"/>
      <c r="AF22" s="287" t="s">
        <v>232</v>
      </c>
      <c r="AG22" s="294" t="s">
        <v>143</v>
      </c>
      <c r="AH22" s="478"/>
      <c r="AI22" s="294"/>
      <c r="AJ22" s="608"/>
      <c r="AK22" s="359"/>
      <c r="AL22" s="590"/>
    </row>
    <row r="23" spans="1:38" s="528" customFormat="1" ht="12">
      <c r="A23" s="536" t="s">
        <v>1242</v>
      </c>
      <c r="B23" s="536" t="s">
        <v>1386</v>
      </c>
      <c r="C23" s="536" t="s">
        <v>1387</v>
      </c>
      <c r="D23" s="350" t="str">
        <f t="shared" si="0"/>
        <v>JM046794</v>
      </c>
      <c r="E23" s="534">
        <v>400000</v>
      </c>
      <c r="F23" s="534">
        <v>400000</v>
      </c>
      <c r="G23" s="352" t="s">
        <v>63</v>
      </c>
      <c r="H23" s="278" t="s">
        <v>101</v>
      </c>
      <c r="I23" s="281"/>
      <c r="J23" s="352" t="s">
        <v>142</v>
      </c>
      <c r="K23" s="472" t="s">
        <v>75</v>
      </c>
      <c r="L23" s="607"/>
      <c r="M23" s="490"/>
      <c r="N23" s="282"/>
      <c r="O23" s="286"/>
      <c r="P23" s="286">
        <f t="shared" si="1"/>
        <v>400000</v>
      </c>
      <c r="Q23" s="287"/>
      <c r="R23" s="288"/>
      <c r="S23" s="287" t="s">
        <v>1400</v>
      </c>
      <c r="T23" s="287" t="s">
        <v>1401</v>
      </c>
      <c r="U23" s="294" t="s">
        <v>31</v>
      </c>
      <c r="V23" s="282">
        <v>43738</v>
      </c>
      <c r="W23" s="355"/>
      <c r="X23" s="356"/>
      <c r="Y23" s="326">
        <v>430000</v>
      </c>
      <c r="Z23" s="292"/>
      <c r="AA23" s="293">
        <f t="shared" si="2"/>
        <v>430000</v>
      </c>
      <c r="AB23" s="294"/>
      <c r="AC23" s="357"/>
      <c r="AD23" s="282"/>
      <c r="AE23" s="296"/>
      <c r="AF23" s="287" t="s">
        <v>640</v>
      </c>
      <c r="AG23" s="294" t="s">
        <v>143</v>
      </c>
      <c r="AH23" s="478"/>
      <c r="AI23" s="294"/>
      <c r="AJ23" s="608"/>
      <c r="AK23" s="359"/>
      <c r="AL23" s="590"/>
    </row>
    <row r="24" spans="1:38" s="528" customFormat="1" ht="12">
      <c r="A24" s="536" t="s">
        <v>1053</v>
      </c>
      <c r="B24" s="536" t="s">
        <v>1055</v>
      </c>
      <c r="C24" s="536" t="s">
        <v>1066</v>
      </c>
      <c r="D24" s="350" t="str">
        <f t="shared" si="0"/>
        <v>DT726968</v>
      </c>
      <c r="E24" s="534">
        <v>150000</v>
      </c>
      <c r="F24" s="534">
        <v>150000</v>
      </c>
      <c r="G24" s="352" t="s">
        <v>63</v>
      </c>
      <c r="H24" s="278" t="s">
        <v>101</v>
      </c>
      <c r="I24" s="281" t="s">
        <v>80</v>
      </c>
      <c r="J24" s="352" t="s">
        <v>142</v>
      </c>
      <c r="K24" s="472" t="s">
        <v>75</v>
      </c>
      <c r="L24" s="489"/>
      <c r="M24" s="490"/>
      <c r="N24" s="282"/>
      <c r="O24" s="286"/>
      <c r="P24" s="286">
        <f t="shared" si="1"/>
        <v>150000</v>
      </c>
      <c r="Q24" s="287"/>
      <c r="R24" s="288"/>
      <c r="S24" s="287" t="s">
        <v>1423</v>
      </c>
      <c r="T24" s="287" t="s">
        <v>1424</v>
      </c>
      <c r="U24" s="294" t="s">
        <v>37</v>
      </c>
      <c r="V24" s="282">
        <v>43740</v>
      </c>
      <c r="W24" s="355"/>
      <c r="X24" s="356"/>
      <c r="Y24" s="326">
        <v>180000</v>
      </c>
      <c r="Z24" s="309"/>
      <c r="AA24" s="293">
        <f t="shared" si="2"/>
        <v>180000</v>
      </c>
      <c r="AB24" s="294"/>
      <c r="AC24" s="357"/>
      <c r="AD24" s="282"/>
      <c r="AE24" s="296"/>
      <c r="AF24" s="287" t="s">
        <v>1111</v>
      </c>
      <c r="AG24" s="294" t="s">
        <v>143</v>
      </c>
      <c r="AH24" s="478"/>
      <c r="AI24" s="294"/>
      <c r="AJ24" s="358"/>
      <c r="AK24" s="359"/>
      <c r="AL24" s="590"/>
    </row>
    <row r="25" spans="1:38" s="528" customFormat="1" ht="12">
      <c r="A25" s="536" t="s">
        <v>854</v>
      </c>
      <c r="B25" s="536" t="s">
        <v>857</v>
      </c>
      <c r="C25" s="536" t="s">
        <v>858</v>
      </c>
      <c r="D25" s="350" t="str">
        <f t="shared" si="0"/>
        <v>CK733260</v>
      </c>
      <c r="E25" s="534">
        <v>90000</v>
      </c>
      <c r="F25" s="534">
        <v>90000</v>
      </c>
      <c r="G25" s="352" t="s">
        <v>63</v>
      </c>
      <c r="H25" s="278" t="s">
        <v>101</v>
      </c>
      <c r="I25" s="281" t="s">
        <v>44</v>
      </c>
      <c r="J25" s="352" t="s">
        <v>142</v>
      </c>
      <c r="K25" s="472">
        <v>2012</v>
      </c>
      <c r="L25" s="489"/>
      <c r="M25" s="490"/>
      <c r="N25" s="282"/>
      <c r="O25" s="286"/>
      <c r="P25" s="286">
        <f>F25+O25</f>
        <v>90000</v>
      </c>
      <c r="Q25" s="287"/>
      <c r="R25" s="288"/>
      <c r="S25" s="287" t="s">
        <v>1429</v>
      </c>
      <c r="T25" s="287" t="s">
        <v>1430</v>
      </c>
      <c r="U25" s="294" t="s">
        <v>37</v>
      </c>
      <c r="V25" s="282">
        <v>43740</v>
      </c>
      <c r="W25" s="355"/>
      <c r="X25" s="356"/>
      <c r="Y25" s="326">
        <v>125000</v>
      </c>
      <c r="Z25" s="309"/>
      <c r="AA25" s="293">
        <f>+Y25-Z25</f>
        <v>125000</v>
      </c>
      <c r="AB25" s="294"/>
      <c r="AC25" s="357"/>
      <c r="AD25" s="282"/>
      <c r="AE25" s="296"/>
      <c r="AF25" s="287" t="s">
        <v>1431</v>
      </c>
      <c r="AG25" s="294" t="s">
        <v>143</v>
      </c>
      <c r="AH25" s="478"/>
      <c r="AI25" s="294"/>
      <c r="AJ25" s="358"/>
      <c r="AK25" s="359"/>
      <c r="AL25" s="590"/>
    </row>
  </sheetData>
  <autoFilter ref="A3:AK3" xr:uid="{00000000-0009-0000-0000-000008000000}"/>
  <conditionalFormatting sqref="I1:I2 I26:I1048576 I4:I12">
    <cfRule type="containsText" dxfId="73" priority="577" operator="containsText" text="BODY">
      <formula>NOT(ISERROR(SEARCH("BODY",I1)))</formula>
    </cfRule>
    <cfRule type="containsText" dxfId="72" priority="578" operator="containsText" text="ENTREGADA">
      <formula>NOT(ISERROR(SEARCH("ENTREGADA",I1)))</formula>
    </cfRule>
    <cfRule type="containsText" dxfId="71" priority="579" operator="containsText" text="ATLACOMULCO">
      <formula>NOT(ISERROR(SEARCH("ATLACOMULCO",I1)))</formula>
    </cfRule>
    <cfRule type="containsText" dxfId="70" priority="580" operator="containsText" text="MITSU">
      <formula>NOT(ISERROR(SEARCH("MITSU",I1)))</formula>
    </cfRule>
    <cfRule type="containsText" dxfId="69" priority="581" operator="containsText" text="ATLACOMULCO">
      <formula>NOT(ISERROR(SEARCH("ATLACOMULCO",I1)))</formula>
    </cfRule>
    <cfRule type="containsText" dxfId="68" priority="582" operator="containsText" text="FIAT">
      <formula>NOT(ISERROR(SEARCH("FIAT",I1)))</formula>
    </cfRule>
    <cfRule type="containsText" dxfId="67" priority="583" operator="containsText" text="P1">
      <formula>NOT(ISERROR(SEARCH("P1",I1)))</formula>
    </cfRule>
    <cfRule type="containsText" dxfId="66" priority="584" operator="containsText" text="P3">
      <formula>NOT(ISERROR(SEARCH("P3",I1)))</formula>
    </cfRule>
    <cfRule type="containsText" dxfId="65" priority="585" operator="containsText" text="SALA">
      <formula>NOT(ISERROR(SEARCH("SALA",I1)))</formula>
    </cfRule>
    <cfRule type="containsText" dxfId="64" priority="586" operator="containsText" text="TENANCINGO">
      <formula>NOT(ISERROR(SEARCH("TENANCINGO",I1)))</formula>
    </cfRule>
    <cfRule type="containsText" dxfId="63" priority="587" operator="containsText" text="LERMA">
      <formula>NOT(ISERROR(SEARCH("LERMA",I1)))</formula>
    </cfRule>
  </conditionalFormatting>
  <conditionalFormatting sqref="D13">
    <cfRule type="duplicateValues" dxfId="62" priority="529"/>
  </conditionalFormatting>
  <conditionalFormatting sqref="D14">
    <cfRule type="duplicateValues" dxfId="61" priority="517"/>
  </conditionalFormatting>
  <conditionalFormatting sqref="D15">
    <cfRule type="duplicateValues" dxfId="60" priority="470"/>
  </conditionalFormatting>
  <conditionalFormatting sqref="I16">
    <cfRule type="containsText" dxfId="59" priority="235" operator="containsText" text="ENTREGADA">
      <formula>NOT(ISERROR(SEARCH("ENTREGADA",I16)))</formula>
    </cfRule>
    <cfRule type="containsText" dxfId="58" priority="236" operator="containsText" text="ENTREGADA">
      <formula>NOT(ISERROR(SEARCH("ENTREGADA",I16)))</formula>
    </cfRule>
  </conditionalFormatting>
  <conditionalFormatting sqref="AL16">
    <cfRule type="cellIs" dxfId="57" priority="225" operator="greaterThan">
      <formula>365</formula>
    </cfRule>
    <cfRule type="cellIs" dxfId="56" priority="226" operator="equal">
      <formula>365</formula>
    </cfRule>
  </conditionalFormatting>
  <conditionalFormatting sqref="D16">
    <cfRule type="duplicateValues" dxfId="55" priority="224"/>
  </conditionalFormatting>
  <conditionalFormatting sqref="D16">
    <cfRule type="duplicateValues" dxfId="54" priority="223"/>
  </conditionalFormatting>
  <conditionalFormatting sqref="I17">
    <cfRule type="containsText" dxfId="53" priority="185" operator="containsText" text="ENTREGADA">
      <formula>NOT(ISERROR(SEARCH("ENTREGADA",I17)))</formula>
    </cfRule>
    <cfRule type="containsText" dxfId="52" priority="186" operator="containsText" text="ENTREGADA">
      <formula>NOT(ISERROR(SEARCH("ENTREGADA",I17)))</formula>
    </cfRule>
  </conditionalFormatting>
  <conditionalFormatting sqref="AL17">
    <cfRule type="cellIs" dxfId="51" priority="175" operator="greaterThan">
      <formula>365</formula>
    </cfRule>
    <cfRule type="cellIs" dxfId="50" priority="176" operator="equal">
      <formula>365</formula>
    </cfRule>
  </conditionalFormatting>
  <conditionalFormatting sqref="D17">
    <cfRule type="duplicateValues" dxfId="49" priority="174"/>
  </conditionalFormatting>
  <conditionalFormatting sqref="D17">
    <cfRule type="duplicateValues" dxfId="48" priority="173"/>
  </conditionalFormatting>
  <conditionalFormatting sqref="I18">
    <cfRule type="containsText" dxfId="47" priority="160" operator="containsText" text="ENTREGADA">
      <formula>NOT(ISERROR(SEARCH("ENTREGADA",I18)))</formula>
    </cfRule>
    <cfRule type="containsText" dxfId="46" priority="161" operator="containsText" text="ENTREGADA">
      <formula>NOT(ISERROR(SEARCH("ENTREGADA",I18)))</formula>
    </cfRule>
  </conditionalFormatting>
  <conditionalFormatting sqref="AL18">
    <cfRule type="cellIs" dxfId="45" priority="150" operator="greaterThan">
      <formula>365</formula>
    </cfRule>
    <cfRule type="cellIs" dxfId="44" priority="151" operator="equal">
      <formula>365</formula>
    </cfRule>
  </conditionalFormatting>
  <conditionalFormatting sqref="D18">
    <cfRule type="duplicateValues" dxfId="43" priority="149"/>
  </conditionalFormatting>
  <conditionalFormatting sqref="D18">
    <cfRule type="duplicateValues" dxfId="42" priority="148"/>
  </conditionalFormatting>
  <conditionalFormatting sqref="I19">
    <cfRule type="containsText" dxfId="41" priority="135" operator="containsText" text="ENTREGADA">
      <formula>NOT(ISERROR(SEARCH("ENTREGADA",I19)))</formula>
    </cfRule>
    <cfRule type="containsText" dxfId="40" priority="136" operator="containsText" text="ENTREGADA">
      <formula>NOT(ISERROR(SEARCH("ENTREGADA",I19)))</formula>
    </cfRule>
  </conditionalFormatting>
  <conditionalFormatting sqref="AL19">
    <cfRule type="cellIs" dxfId="39" priority="125" operator="greaterThan">
      <formula>365</formula>
    </cfRule>
    <cfRule type="cellIs" dxfId="38" priority="126" operator="equal">
      <formula>365</formula>
    </cfRule>
  </conditionalFormatting>
  <conditionalFormatting sqref="D19">
    <cfRule type="duplicateValues" dxfId="37" priority="124"/>
  </conditionalFormatting>
  <conditionalFormatting sqref="D19">
    <cfRule type="duplicateValues" dxfId="36" priority="123"/>
  </conditionalFormatting>
  <conditionalFormatting sqref="I20">
    <cfRule type="containsText" dxfId="35" priority="110" operator="containsText" text="ENTREGADA">
      <formula>NOT(ISERROR(SEARCH("ENTREGADA",I20)))</formula>
    </cfRule>
    <cfRule type="containsText" dxfId="34" priority="111" operator="containsText" text="ENTREGADA">
      <formula>NOT(ISERROR(SEARCH("ENTREGADA",I20)))</formula>
    </cfRule>
  </conditionalFormatting>
  <conditionalFormatting sqref="AL20">
    <cfRule type="cellIs" dxfId="33" priority="100" operator="greaterThan">
      <formula>365</formula>
    </cfRule>
    <cfRule type="cellIs" dxfId="32" priority="101" operator="equal">
      <formula>365</formula>
    </cfRule>
  </conditionalFormatting>
  <conditionalFormatting sqref="D20">
    <cfRule type="duplicateValues" dxfId="31" priority="99"/>
  </conditionalFormatting>
  <conditionalFormatting sqref="I21">
    <cfRule type="containsText" dxfId="30" priority="86" operator="containsText" text="ENTREGADA">
      <formula>NOT(ISERROR(SEARCH("ENTREGADA",I21)))</formula>
    </cfRule>
    <cfRule type="containsText" dxfId="29" priority="87" operator="containsText" text="ENTREGADA">
      <formula>NOT(ISERROR(SEARCH("ENTREGADA",I21)))</formula>
    </cfRule>
  </conditionalFormatting>
  <conditionalFormatting sqref="AL21">
    <cfRule type="cellIs" dxfId="28" priority="76" operator="greaterThan">
      <formula>365</formula>
    </cfRule>
    <cfRule type="cellIs" dxfId="27" priority="77" operator="equal">
      <formula>365</formula>
    </cfRule>
  </conditionalFormatting>
  <conditionalFormatting sqref="D21">
    <cfRule type="duplicateValues" dxfId="26" priority="75"/>
  </conditionalFormatting>
  <conditionalFormatting sqref="I22:I23">
    <cfRule type="containsText" dxfId="25" priority="62" operator="containsText" text="ENTREGADA">
      <formula>NOT(ISERROR(SEARCH("ENTREGADA",I22)))</formula>
    </cfRule>
    <cfRule type="containsText" dxfId="24" priority="63" operator="containsText" text="ENTREGADA">
      <formula>NOT(ISERROR(SEARCH("ENTREGADA",I22)))</formula>
    </cfRule>
  </conditionalFormatting>
  <conditionalFormatting sqref="AL22:AL23">
    <cfRule type="cellIs" dxfId="23" priority="52" operator="greaterThan">
      <formula>365</formula>
    </cfRule>
    <cfRule type="cellIs" dxfId="22" priority="53" operator="equal">
      <formula>365</formula>
    </cfRule>
  </conditionalFormatting>
  <conditionalFormatting sqref="D22:D23">
    <cfRule type="duplicateValues" dxfId="21" priority="51"/>
  </conditionalFormatting>
  <conditionalFormatting sqref="I24">
    <cfRule type="containsText" dxfId="20" priority="38" operator="containsText" text="ENTREGADA">
      <formula>NOT(ISERROR(SEARCH("ENTREGADA",I24)))</formula>
    </cfRule>
    <cfRule type="containsText" dxfId="19" priority="39" operator="containsText" text="ENTREGADA">
      <formula>NOT(ISERROR(SEARCH("ENTREGADA",I24)))</formula>
    </cfRule>
  </conditionalFormatting>
  <conditionalFormatting sqref="AL24">
    <cfRule type="cellIs" dxfId="18" priority="28" operator="greaterThan">
      <formula>365</formula>
    </cfRule>
    <cfRule type="cellIs" dxfId="17" priority="29" operator="equal">
      <formula>365</formula>
    </cfRule>
  </conditionalFormatting>
  <conditionalFormatting sqref="D24">
    <cfRule type="duplicateValues" dxfId="16" priority="27"/>
  </conditionalFormatting>
  <conditionalFormatting sqref="D24">
    <cfRule type="duplicateValues" dxfId="15" priority="26"/>
  </conditionalFormatting>
  <conditionalFormatting sqref="I25">
    <cfRule type="containsText" dxfId="14" priority="13" operator="containsText" text="ENTREGADA">
      <formula>NOT(ISERROR(SEARCH("ENTREGADA",I25)))</formula>
    </cfRule>
    <cfRule type="containsText" dxfId="13" priority="14" operator="containsText" text="ENTREGADA">
      <formula>NOT(ISERROR(SEARCH("ENTREGADA",I25)))</formula>
    </cfRule>
  </conditionalFormatting>
  <conditionalFormatting sqref="AL25">
    <cfRule type="cellIs" dxfId="12" priority="3" operator="greaterThan">
      <formula>365</formula>
    </cfRule>
    <cfRule type="cellIs" dxfId="11" priority="4" operator="equal">
      <formula>365</formula>
    </cfRule>
  </conditionalFormatting>
  <conditionalFormatting sqref="D25">
    <cfRule type="duplicateValues" dxfId="10" priority="2"/>
  </conditionalFormatting>
  <conditionalFormatting sqref="D25">
    <cfRule type="duplicateValues" dxfId="9" priority="1"/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FCA</vt:lpstr>
      <vt:lpstr>ALFA</vt:lpstr>
      <vt:lpstr>RESUMEN</vt:lpstr>
      <vt:lpstr>COMPRAS </vt:lpstr>
      <vt:lpstr>CF CRED</vt:lpstr>
      <vt:lpstr> FIVE BAN</vt:lpstr>
      <vt:lpstr>BBVA</vt:lpstr>
      <vt:lpstr>INTERCAM</vt:lpstr>
      <vt:lpstr>SEMIN</vt:lpstr>
      <vt:lpstr>PROPIAS PAGADAS</vt:lpstr>
      <vt:lpstr>PAG.FIV.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Plan-Piso</dc:creator>
  <cp:lastModifiedBy>Toshiba</cp:lastModifiedBy>
  <cp:lastPrinted>2019-10-03T21:15:15Z</cp:lastPrinted>
  <dcterms:created xsi:type="dcterms:W3CDTF">2013-10-04T23:34:41Z</dcterms:created>
  <dcterms:modified xsi:type="dcterms:W3CDTF">2019-10-07T18:00:40Z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24b440e5-7552-40ae-aa92-9584849bd1da</vt:lpwstr>
  </property>
</Properties>
</file>