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wid\Documents\University\Second Year (Level 5)\Business Analytics\Coursework\"/>
    </mc:Choice>
  </mc:AlternateContent>
  <xr:revisionPtr revIDLastSave="0" documentId="13_ncr:1_{639D733F-3B49-4E94-893E-15C86F9CF1B4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Task 1 - Graph Data" sheetId="1" r:id="rId1"/>
    <sheet name="Task 2 - IC Forecast" sheetId="2" r:id="rId2"/>
    <sheet name="Task 3 - More Methods" sheetId="3" r:id="rId3"/>
    <sheet name="Task 3 - Holt's Method" sheetId="5" r:id="rId4"/>
    <sheet name="Task 4 - Least Squares Method" sheetId="4" r:id="rId5"/>
  </sheets>
  <definedNames>
    <definedName name="solver_adj" localSheetId="3" hidden="1">'Task 3 - Holt''s Method'!$C$2:$C$3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'Task 3 - Holt''s Method'!$C$2:$C$3</definedName>
    <definedName name="solver_lhs2" localSheetId="3" hidden="1">'Task 3 - Holt''s Method'!$C$2:$C$3</definedName>
    <definedName name="solver_lhs3" localSheetId="3" hidden="1">'Task 3 - Holt''s Method'!$E$19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'Task 3 - Holt''s Method'!$N$14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4" l="1"/>
  <c r="L60" i="4"/>
  <c r="K60" i="4"/>
  <c r="L59" i="4"/>
  <c r="K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M59" i="4" s="1"/>
  <c r="N49" i="4"/>
  <c r="M49" i="4"/>
  <c r="N48" i="4"/>
  <c r="M48" i="4"/>
  <c r="N47" i="4"/>
  <c r="M47" i="4"/>
  <c r="N46" i="4"/>
  <c r="M46" i="4"/>
  <c r="N45" i="4"/>
  <c r="M45" i="4"/>
  <c r="N44" i="4"/>
  <c r="N60" i="4" s="1"/>
  <c r="M44" i="4"/>
  <c r="M60" i="4" s="1"/>
  <c r="D8" i="5"/>
  <c r="F18" i="5"/>
  <c r="T15" i="2"/>
  <c r="H111" i="3"/>
  <c r="F111" i="3"/>
  <c r="F95" i="3"/>
  <c r="F79" i="3"/>
  <c r="H63" i="3"/>
  <c r="F63" i="3"/>
  <c r="H31" i="3"/>
  <c r="H47" i="3"/>
  <c r="G47" i="3"/>
  <c r="F47" i="3"/>
  <c r="G31" i="3"/>
  <c r="F31" i="3"/>
  <c r="H15" i="3"/>
  <c r="G15" i="3"/>
  <c r="F15" i="3"/>
  <c r="V31" i="3"/>
  <c r="V15" i="3"/>
  <c r="W15" i="3"/>
  <c r="X15" i="3"/>
  <c r="X47" i="3"/>
  <c r="W47" i="3"/>
  <c r="V47" i="3"/>
  <c r="X31" i="3"/>
  <c r="W31" i="3"/>
  <c r="AS60" i="3"/>
  <c r="AT60" i="3"/>
  <c r="AU60" i="3"/>
  <c r="AT35" i="3"/>
  <c r="AU47" i="3"/>
  <c r="AT47" i="3"/>
  <c r="AS47" i="3"/>
  <c r="AK47" i="3"/>
  <c r="AM15" i="3"/>
  <c r="AN15" i="3"/>
  <c r="AO15" i="3"/>
  <c r="AM24" i="3"/>
  <c r="AN24" i="3"/>
  <c r="AO24" i="3"/>
  <c r="AL5" i="3"/>
  <c r="AN6" i="3"/>
  <c r="D7" i="5"/>
  <c r="X83" i="2"/>
  <c r="X6" i="2"/>
  <c r="D15" i="2"/>
  <c r="L15" i="2"/>
  <c r="L8" i="2"/>
  <c r="L7" i="2"/>
  <c r="D4" i="2"/>
  <c r="AU55" i="3"/>
  <c r="AU56" i="3"/>
  <c r="AT55" i="3"/>
  <c r="AT56" i="3"/>
  <c r="AS55" i="3"/>
  <c r="AS56" i="3"/>
  <c r="AR55" i="3"/>
  <c r="AR56" i="3"/>
  <c r="AU59" i="3"/>
  <c r="AT59" i="3"/>
  <c r="AS59" i="3"/>
  <c r="AR59" i="3"/>
  <c r="AR58" i="3"/>
  <c r="AU58" i="3" s="1"/>
  <c r="AR57" i="3"/>
  <c r="AU57" i="3" s="1"/>
  <c r="N59" i="4" l="1"/>
  <c r="M61" i="4" s="1"/>
  <c r="O61" i="4" s="1"/>
  <c r="E7" i="5"/>
  <c r="F8" i="5" s="1"/>
  <c r="G8" i="5" s="1"/>
  <c r="E8" i="5"/>
  <c r="D9" i="5" s="1"/>
  <c r="E9" i="5" s="1"/>
  <c r="F10" i="5" s="1"/>
  <c r="G10" i="5" s="1"/>
  <c r="AS57" i="3"/>
  <c r="AT57" i="3"/>
  <c r="AS58" i="3"/>
  <c r="AT58" i="3"/>
  <c r="J8" i="5" l="1"/>
  <c r="H8" i="5"/>
  <c r="I8" i="5"/>
  <c r="F9" i="5"/>
  <c r="G9" i="5" s="1"/>
  <c r="J9" i="5" s="1"/>
  <c r="D10" i="5"/>
  <c r="E10" i="5" s="1"/>
  <c r="D11" i="5" s="1"/>
  <c r="J10" i="5"/>
  <c r="H10" i="5"/>
  <c r="I10" i="5"/>
  <c r="E61" i="4"/>
  <c r="G59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44" i="4"/>
  <c r="F59" i="4"/>
  <c r="D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21" i="4"/>
  <c r="C40" i="4"/>
  <c r="C39" i="4"/>
  <c r="C38" i="4"/>
  <c r="D36" i="4"/>
  <c r="E36" i="4"/>
  <c r="F36" i="4"/>
  <c r="D37" i="4"/>
  <c r="E37" i="4"/>
  <c r="F37" i="4"/>
  <c r="C37" i="4"/>
  <c r="C36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1" i="4"/>
  <c r="AK21" i="3"/>
  <c r="AL21" i="3" s="1"/>
  <c r="AK24" i="3"/>
  <c r="AK23" i="3"/>
  <c r="AL23" i="3" s="1"/>
  <c r="AK22" i="3"/>
  <c r="AL22" i="3" s="1"/>
  <c r="AK61" i="3"/>
  <c r="AJ61" i="3"/>
  <c r="AJ60" i="3"/>
  <c r="AK60" i="3"/>
  <c r="AJ62" i="3"/>
  <c r="AM59" i="3"/>
  <c r="AL59" i="3"/>
  <c r="AM58" i="3"/>
  <c r="AL58" i="3"/>
  <c r="AM57" i="3"/>
  <c r="AL57" i="3"/>
  <c r="AM56" i="3"/>
  <c r="AL56" i="3"/>
  <c r="AM55" i="3"/>
  <c r="AL55" i="3"/>
  <c r="AJ48" i="3"/>
  <c r="AK48" i="3"/>
  <c r="AJ47" i="3"/>
  <c r="AJ49" i="3"/>
  <c r="AM36" i="3"/>
  <c r="AM37" i="3"/>
  <c r="AM38" i="3"/>
  <c r="AM39" i="3"/>
  <c r="AM40" i="3"/>
  <c r="AM41" i="3"/>
  <c r="AM42" i="3"/>
  <c r="AM43" i="3"/>
  <c r="AM44" i="3"/>
  <c r="AM45" i="3"/>
  <c r="AM46" i="3"/>
  <c r="AM35" i="3"/>
  <c r="AL36" i="3"/>
  <c r="AL37" i="3"/>
  <c r="AL38" i="3"/>
  <c r="AL39" i="3"/>
  <c r="AL40" i="3"/>
  <c r="AL41" i="3"/>
  <c r="AL42" i="3"/>
  <c r="AL43" i="3"/>
  <c r="AL44" i="3"/>
  <c r="AL45" i="3"/>
  <c r="AL46" i="3"/>
  <c r="AL35" i="3"/>
  <c r="AK6" i="3"/>
  <c r="AL6" i="3" s="1"/>
  <c r="AK7" i="3"/>
  <c r="AL7" i="3" s="1"/>
  <c r="AK8" i="3"/>
  <c r="AL8" i="3" s="1"/>
  <c r="AK9" i="3"/>
  <c r="AL9" i="3" s="1"/>
  <c r="AK10" i="3"/>
  <c r="AL10" i="3" s="1"/>
  <c r="AK11" i="3"/>
  <c r="AL11" i="3" s="1"/>
  <c r="AK12" i="3"/>
  <c r="AL12" i="3" s="1"/>
  <c r="AK13" i="3"/>
  <c r="AL13" i="3" s="1"/>
  <c r="AK14" i="3"/>
  <c r="AL14" i="3" s="1"/>
  <c r="AK15" i="3"/>
  <c r="AK5" i="3"/>
  <c r="T47" i="3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39" i="3"/>
  <c r="U39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T22" i="3"/>
  <c r="U22" i="3" s="1"/>
  <c r="T15" i="3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5" i="3"/>
  <c r="U5" i="3" s="1"/>
  <c r="D111" i="3"/>
  <c r="D107" i="3"/>
  <c r="E107" i="3" s="1"/>
  <c r="D108" i="3"/>
  <c r="E108" i="3" s="1"/>
  <c r="D109" i="3"/>
  <c r="E109" i="3" s="1"/>
  <c r="D110" i="3"/>
  <c r="E110" i="3" s="1"/>
  <c r="D106" i="3"/>
  <c r="E106" i="3" s="1"/>
  <c r="D95" i="3"/>
  <c r="D90" i="3"/>
  <c r="E90" i="3" s="1"/>
  <c r="D91" i="3"/>
  <c r="E91" i="3" s="1"/>
  <c r="D92" i="3"/>
  <c r="E92" i="3" s="1"/>
  <c r="D93" i="3"/>
  <c r="E93" i="3" s="1"/>
  <c r="D94" i="3"/>
  <c r="E94" i="3" s="1"/>
  <c r="D89" i="3"/>
  <c r="E89" i="3" s="1"/>
  <c r="D79" i="3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2" i="3"/>
  <c r="E72" i="3" s="1"/>
  <c r="D47" i="3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38" i="3"/>
  <c r="E38" i="3" s="1"/>
  <c r="D31" i="3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21" i="3"/>
  <c r="E21" i="3" s="1"/>
  <c r="D63" i="3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15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67" i="2"/>
  <c r="U67" i="2" s="1"/>
  <c r="T51" i="2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35" i="2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" i="2"/>
  <c r="U3" i="2" s="1"/>
  <c r="M8" i="2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M7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E4" i="2"/>
  <c r="H9" i="5" l="1"/>
  <c r="I9" i="5"/>
  <c r="F11" i="5"/>
  <c r="G11" i="5" s="1"/>
  <c r="E11" i="5"/>
  <c r="D12" i="5" s="1"/>
  <c r="X3" i="2"/>
  <c r="W3" i="2"/>
  <c r="V3" i="2"/>
  <c r="X67" i="2"/>
  <c r="W67" i="2"/>
  <c r="V67" i="2"/>
  <c r="AO22" i="3"/>
  <c r="AM22" i="3"/>
  <c r="AN22" i="3"/>
  <c r="AO23" i="3"/>
  <c r="AN23" i="3"/>
  <c r="AM23" i="3"/>
  <c r="AO21" i="3"/>
  <c r="AM21" i="3"/>
  <c r="AN21" i="3"/>
  <c r="AO9" i="3"/>
  <c r="AM9" i="3"/>
  <c r="AN9" i="3"/>
  <c r="AO8" i="3"/>
  <c r="AM8" i="3"/>
  <c r="AN8" i="3"/>
  <c r="AN7" i="3"/>
  <c r="AO7" i="3"/>
  <c r="AM7" i="3"/>
  <c r="AO6" i="3"/>
  <c r="AM6" i="3"/>
  <c r="AO5" i="3"/>
  <c r="AM5" i="3"/>
  <c r="AN5" i="3"/>
  <c r="AO10" i="3"/>
  <c r="AN10" i="3"/>
  <c r="AM10" i="3"/>
  <c r="AO14" i="3"/>
  <c r="AN14" i="3"/>
  <c r="AM14" i="3"/>
  <c r="AN11" i="3"/>
  <c r="AO11" i="3"/>
  <c r="AM11" i="3"/>
  <c r="AO13" i="3"/>
  <c r="AM13" i="3"/>
  <c r="AN13" i="3"/>
  <c r="AO12" i="3"/>
  <c r="AN12" i="3"/>
  <c r="AM12" i="3"/>
  <c r="W23" i="3"/>
  <c r="X23" i="3"/>
  <c r="V23" i="3"/>
  <c r="X46" i="3"/>
  <c r="W46" i="3"/>
  <c r="V46" i="3"/>
  <c r="W39" i="3"/>
  <c r="X39" i="3"/>
  <c r="V39" i="3"/>
  <c r="X8" i="3"/>
  <c r="V8" i="3"/>
  <c r="W8" i="3"/>
  <c r="X45" i="3"/>
  <c r="V45" i="3"/>
  <c r="W45" i="3"/>
  <c r="W7" i="3"/>
  <c r="X7" i="3"/>
  <c r="V7" i="3"/>
  <c r="X44" i="3"/>
  <c r="V44" i="3"/>
  <c r="W44" i="3"/>
  <c r="X6" i="3"/>
  <c r="W6" i="3"/>
  <c r="V6" i="3"/>
  <c r="W43" i="3"/>
  <c r="X43" i="3"/>
  <c r="V43" i="3"/>
  <c r="X42" i="3"/>
  <c r="W42" i="3"/>
  <c r="V42" i="3"/>
  <c r="X22" i="3"/>
  <c r="W22" i="3"/>
  <c r="V22" i="3"/>
  <c r="X41" i="3"/>
  <c r="W41" i="3"/>
  <c r="V41" i="3"/>
  <c r="X40" i="3"/>
  <c r="V40" i="3"/>
  <c r="W40" i="3"/>
  <c r="X10" i="3"/>
  <c r="V10" i="3"/>
  <c r="W10" i="3"/>
  <c r="X30" i="3"/>
  <c r="W30" i="3"/>
  <c r="V30" i="3"/>
  <c r="X29" i="3"/>
  <c r="V29" i="3"/>
  <c r="W29" i="3"/>
  <c r="X28" i="3"/>
  <c r="V28" i="3"/>
  <c r="W28" i="3"/>
  <c r="X5" i="3"/>
  <c r="V5" i="3"/>
  <c r="W5" i="3"/>
  <c r="W27" i="3"/>
  <c r="X27" i="3"/>
  <c r="V27" i="3"/>
  <c r="X14" i="3"/>
  <c r="W14" i="3"/>
  <c r="V14" i="3"/>
  <c r="X26" i="3"/>
  <c r="W26" i="3"/>
  <c r="V26" i="3"/>
  <c r="X13" i="3"/>
  <c r="W13" i="3"/>
  <c r="V13" i="3"/>
  <c r="X25" i="3"/>
  <c r="V25" i="3"/>
  <c r="W25" i="3"/>
  <c r="W11" i="3"/>
  <c r="X11" i="3"/>
  <c r="V11" i="3"/>
  <c r="X9" i="3"/>
  <c r="V9" i="3"/>
  <c r="W9" i="3"/>
  <c r="X12" i="3"/>
  <c r="V12" i="3"/>
  <c r="W12" i="3"/>
  <c r="X24" i="3"/>
  <c r="V24" i="3"/>
  <c r="W24" i="3"/>
  <c r="H25" i="3"/>
  <c r="F25" i="3"/>
  <c r="G25" i="3"/>
  <c r="H78" i="3"/>
  <c r="F78" i="3"/>
  <c r="G78" i="3"/>
  <c r="H109" i="3"/>
  <c r="F109" i="3"/>
  <c r="G109" i="3"/>
  <c r="G72" i="3"/>
  <c r="F72" i="3"/>
  <c r="H72" i="3"/>
  <c r="G107" i="3"/>
  <c r="H107" i="3"/>
  <c r="F107" i="3"/>
  <c r="H57" i="3"/>
  <c r="G57" i="3"/>
  <c r="F57" i="3"/>
  <c r="H22" i="3"/>
  <c r="F22" i="3"/>
  <c r="G22" i="3"/>
  <c r="G75" i="3"/>
  <c r="H75" i="3"/>
  <c r="F75" i="3"/>
  <c r="H13" i="3"/>
  <c r="F13" i="3"/>
  <c r="G13" i="3"/>
  <c r="H108" i="3"/>
  <c r="F108" i="3"/>
  <c r="G108" i="3"/>
  <c r="H76" i="3"/>
  <c r="F76" i="3"/>
  <c r="G76" i="3"/>
  <c r="G58" i="3"/>
  <c r="H58" i="3"/>
  <c r="F58" i="3"/>
  <c r="H74" i="3"/>
  <c r="G74" i="3"/>
  <c r="F74" i="3"/>
  <c r="G27" i="3"/>
  <c r="H27" i="3"/>
  <c r="F27" i="3"/>
  <c r="F110" i="3"/>
  <c r="H110" i="3"/>
  <c r="G110" i="3"/>
  <c r="H4" i="3"/>
  <c r="F4" i="3"/>
  <c r="G4" i="3"/>
  <c r="G59" i="3"/>
  <c r="H59" i="3"/>
  <c r="F59" i="3"/>
  <c r="H38" i="3"/>
  <c r="F38" i="3"/>
  <c r="G38" i="3"/>
  <c r="H73" i="3"/>
  <c r="F73" i="3"/>
  <c r="G73" i="3"/>
  <c r="H5" i="3"/>
  <c r="F5" i="3"/>
  <c r="G5" i="3"/>
  <c r="H60" i="3"/>
  <c r="F60" i="3"/>
  <c r="G60" i="3"/>
  <c r="H46" i="3"/>
  <c r="G46" i="3"/>
  <c r="F46" i="3"/>
  <c r="H6" i="3"/>
  <c r="G6" i="3"/>
  <c r="F6" i="3"/>
  <c r="H89" i="3"/>
  <c r="F89" i="3"/>
  <c r="G89" i="3"/>
  <c r="G55" i="3"/>
  <c r="H55" i="3"/>
  <c r="F55" i="3"/>
  <c r="H56" i="3"/>
  <c r="F56" i="3"/>
  <c r="G56" i="3"/>
  <c r="H61" i="3"/>
  <c r="F61" i="3"/>
  <c r="G61" i="3"/>
  <c r="H45" i="3"/>
  <c r="F45" i="3"/>
  <c r="G45" i="3"/>
  <c r="G7" i="3"/>
  <c r="H7" i="3"/>
  <c r="F7" i="3"/>
  <c r="G62" i="3"/>
  <c r="H62" i="3"/>
  <c r="F62" i="3"/>
  <c r="G44" i="3"/>
  <c r="H44" i="3"/>
  <c r="F44" i="3"/>
  <c r="H94" i="3"/>
  <c r="G94" i="3"/>
  <c r="F94" i="3"/>
  <c r="F106" i="3"/>
  <c r="H106" i="3"/>
  <c r="G106" i="3"/>
  <c r="H93" i="3"/>
  <c r="F93" i="3"/>
  <c r="G93" i="3"/>
  <c r="H92" i="3"/>
  <c r="F92" i="3"/>
  <c r="G92" i="3"/>
  <c r="H14" i="3"/>
  <c r="G14" i="3"/>
  <c r="F14" i="3"/>
  <c r="H77" i="3"/>
  <c r="F77" i="3"/>
  <c r="G77" i="3"/>
  <c r="G23" i="3"/>
  <c r="H23" i="3"/>
  <c r="F23" i="3"/>
  <c r="H42" i="3"/>
  <c r="G42" i="3"/>
  <c r="F42" i="3"/>
  <c r="H10" i="3"/>
  <c r="F10" i="3"/>
  <c r="G10" i="3"/>
  <c r="H30" i="3"/>
  <c r="F30" i="3"/>
  <c r="G30" i="3"/>
  <c r="H41" i="3"/>
  <c r="F41" i="3"/>
  <c r="G41" i="3"/>
  <c r="G91" i="3"/>
  <c r="H91" i="3"/>
  <c r="F91" i="3"/>
  <c r="H26" i="3"/>
  <c r="F26" i="3"/>
  <c r="G26" i="3"/>
  <c r="H24" i="3"/>
  <c r="G24" i="3"/>
  <c r="F24" i="3"/>
  <c r="H8" i="3"/>
  <c r="F8" i="3"/>
  <c r="G8" i="3"/>
  <c r="H21" i="3"/>
  <c r="F21" i="3"/>
  <c r="G21" i="3"/>
  <c r="G11" i="3"/>
  <c r="H11" i="3"/>
  <c r="F11" i="3"/>
  <c r="H29" i="3"/>
  <c r="F29" i="3"/>
  <c r="G29" i="3"/>
  <c r="G40" i="3"/>
  <c r="H40" i="3"/>
  <c r="F40" i="3"/>
  <c r="H90" i="3"/>
  <c r="G90" i="3"/>
  <c r="F90" i="3"/>
  <c r="G43" i="3"/>
  <c r="H43" i="3"/>
  <c r="F43" i="3"/>
  <c r="H9" i="3"/>
  <c r="F9" i="3"/>
  <c r="G9" i="3"/>
  <c r="H12" i="3"/>
  <c r="G12" i="3"/>
  <c r="F12" i="3"/>
  <c r="H28" i="3"/>
  <c r="G28" i="3"/>
  <c r="F28" i="3"/>
  <c r="G39" i="3"/>
  <c r="H39" i="3"/>
  <c r="F39" i="3"/>
  <c r="P14" i="2"/>
  <c r="N14" i="2"/>
  <c r="O14" i="2"/>
  <c r="H7" i="2"/>
  <c r="F7" i="2"/>
  <c r="G7" i="2"/>
  <c r="P7" i="2"/>
  <c r="N7" i="2"/>
  <c r="O7" i="2"/>
  <c r="P13" i="2"/>
  <c r="O13" i="2"/>
  <c r="N13" i="2"/>
  <c r="H6" i="2"/>
  <c r="F6" i="2"/>
  <c r="G6" i="2"/>
  <c r="P12" i="2"/>
  <c r="N12" i="2"/>
  <c r="O12" i="2"/>
  <c r="P11" i="2"/>
  <c r="O11" i="2"/>
  <c r="N11" i="2"/>
  <c r="H14" i="2"/>
  <c r="F14" i="2"/>
  <c r="G14" i="2"/>
  <c r="P10" i="2"/>
  <c r="O10" i="2"/>
  <c r="N10" i="2"/>
  <c r="H9" i="2"/>
  <c r="F9" i="2"/>
  <c r="G9" i="2"/>
  <c r="H13" i="2"/>
  <c r="F13" i="2"/>
  <c r="G13" i="2"/>
  <c r="P9" i="2"/>
  <c r="O9" i="2"/>
  <c r="N9" i="2"/>
  <c r="H12" i="2"/>
  <c r="F12" i="2"/>
  <c r="G12" i="2"/>
  <c r="P8" i="2"/>
  <c r="O8" i="2"/>
  <c r="N8" i="2"/>
  <c r="H8" i="2"/>
  <c r="F8" i="2"/>
  <c r="G8" i="2"/>
  <c r="H4" i="2"/>
  <c r="G4" i="2"/>
  <c r="F4" i="2"/>
  <c r="H11" i="2"/>
  <c r="F11" i="2"/>
  <c r="G11" i="2"/>
  <c r="H5" i="2"/>
  <c r="F5" i="2"/>
  <c r="G5" i="2"/>
  <c r="H10" i="2"/>
  <c r="F10" i="2"/>
  <c r="G10" i="2"/>
  <c r="T4" i="2"/>
  <c r="U4" i="2" s="1"/>
  <c r="AM47" i="3"/>
  <c r="AL48" i="3"/>
  <c r="AM48" i="3"/>
  <c r="AL47" i="3"/>
  <c r="AL61" i="3"/>
  <c r="AM61" i="3"/>
  <c r="AL60" i="3"/>
  <c r="AM60" i="3"/>
  <c r="T68" i="2"/>
  <c r="U68" i="2" s="1"/>
  <c r="U19" i="2"/>
  <c r="U84" i="2"/>
  <c r="U83" i="2"/>
  <c r="U52" i="2"/>
  <c r="U51" i="2"/>
  <c r="U36" i="2"/>
  <c r="U35" i="2"/>
  <c r="U20" i="2"/>
  <c r="J11" i="5" l="1"/>
  <c r="I11" i="5"/>
  <c r="H11" i="5"/>
  <c r="F12" i="5"/>
  <c r="G12" i="5" s="1"/>
  <c r="E12" i="5"/>
  <c r="D13" i="5" s="1"/>
  <c r="P15" i="2"/>
  <c r="X35" i="2"/>
  <c r="V35" i="2"/>
  <c r="W35" i="2"/>
  <c r="X52" i="2"/>
  <c r="W52" i="2"/>
  <c r="V52" i="2"/>
  <c r="X36" i="2"/>
  <c r="W36" i="2"/>
  <c r="V36" i="2"/>
  <c r="X19" i="2"/>
  <c r="W19" i="2"/>
  <c r="V19" i="2"/>
  <c r="F15" i="2"/>
  <c r="X4" i="2"/>
  <c r="V4" i="2"/>
  <c r="W4" i="2"/>
  <c r="X84" i="2"/>
  <c r="W84" i="2"/>
  <c r="V84" i="2"/>
  <c r="G15" i="2"/>
  <c r="X51" i="2"/>
  <c r="V51" i="2"/>
  <c r="W51" i="2"/>
  <c r="X68" i="2"/>
  <c r="W68" i="2"/>
  <c r="V68" i="2"/>
  <c r="W83" i="2"/>
  <c r="V83" i="2"/>
  <c r="X20" i="2"/>
  <c r="W20" i="2"/>
  <c r="V20" i="2"/>
  <c r="G63" i="3"/>
  <c r="G79" i="3"/>
  <c r="H79" i="3"/>
  <c r="G95" i="3"/>
  <c r="H95" i="3"/>
  <c r="G111" i="3"/>
  <c r="H15" i="2"/>
  <c r="O15" i="2"/>
  <c r="N15" i="2"/>
  <c r="T5" i="2"/>
  <c r="T6" i="2" s="1"/>
  <c r="U6" i="2" s="1"/>
  <c r="AJ50" i="3"/>
  <c r="AJ51" i="3" s="1"/>
  <c r="AQ35" i="3" s="1"/>
  <c r="AR35" i="3" s="1"/>
  <c r="AJ63" i="3"/>
  <c r="AJ64" i="3" s="1"/>
  <c r="AQ60" i="3" s="1"/>
  <c r="T69" i="2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U85" i="2"/>
  <c r="U53" i="2"/>
  <c r="U37" i="2"/>
  <c r="U21" i="2"/>
  <c r="J12" i="5" l="1"/>
  <c r="I12" i="5"/>
  <c r="H12" i="5"/>
  <c r="F13" i="5"/>
  <c r="G13" i="5" s="1"/>
  <c r="E13" i="5"/>
  <c r="D14" i="5" s="1"/>
  <c r="X53" i="2"/>
  <c r="W53" i="2"/>
  <c r="V53" i="2"/>
  <c r="X85" i="2"/>
  <c r="W85" i="2"/>
  <c r="V85" i="2"/>
  <c r="X37" i="2"/>
  <c r="W37" i="2"/>
  <c r="V37" i="2"/>
  <c r="W6" i="2"/>
  <c r="V6" i="2"/>
  <c r="X21" i="2"/>
  <c r="V21" i="2"/>
  <c r="W21" i="2"/>
  <c r="AU35" i="3"/>
  <c r="AS35" i="3"/>
  <c r="AQ45" i="3"/>
  <c r="AR45" i="3" s="1"/>
  <c r="AQ42" i="3"/>
  <c r="AR42" i="3" s="1"/>
  <c r="AQ41" i="3"/>
  <c r="AR41" i="3" s="1"/>
  <c r="AQ47" i="3"/>
  <c r="AQ46" i="3"/>
  <c r="AR46" i="3" s="1"/>
  <c r="T7" i="2"/>
  <c r="U7" i="2" s="1"/>
  <c r="U5" i="2"/>
  <c r="AQ44" i="3"/>
  <c r="AR44" i="3" s="1"/>
  <c r="AQ36" i="3"/>
  <c r="AR36" i="3" s="1"/>
  <c r="AQ39" i="3"/>
  <c r="AR39" i="3" s="1"/>
  <c r="AQ43" i="3"/>
  <c r="AR43" i="3" s="1"/>
  <c r="AQ38" i="3"/>
  <c r="AR38" i="3" s="1"/>
  <c r="AQ40" i="3"/>
  <c r="AR40" i="3" s="1"/>
  <c r="AQ37" i="3"/>
  <c r="AR37" i="3" s="1"/>
  <c r="AQ56" i="3"/>
  <c r="AQ57" i="3"/>
  <c r="AQ58" i="3"/>
  <c r="AQ59" i="3"/>
  <c r="AQ55" i="3"/>
  <c r="U69" i="2"/>
  <c r="U86" i="2"/>
  <c r="U70" i="2"/>
  <c r="U54" i="2"/>
  <c r="U38" i="2"/>
  <c r="U22" i="2"/>
  <c r="J13" i="5" l="1"/>
  <c r="I13" i="5"/>
  <c r="H13" i="5"/>
  <c r="F14" i="5"/>
  <c r="G14" i="5" s="1"/>
  <c r="E14" i="5"/>
  <c r="D15" i="5" s="1"/>
  <c r="X22" i="2"/>
  <c r="W22" i="2"/>
  <c r="V22" i="2"/>
  <c r="X54" i="2"/>
  <c r="W54" i="2"/>
  <c r="V54" i="2"/>
  <c r="X69" i="2"/>
  <c r="W69" i="2"/>
  <c r="V69" i="2"/>
  <c r="X7" i="2"/>
  <c r="W7" i="2"/>
  <c r="V7" i="2"/>
  <c r="X38" i="2"/>
  <c r="V38" i="2"/>
  <c r="W38" i="2"/>
  <c r="X70" i="2"/>
  <c r="V70" i="2"/>
  <c r="W70" i="2"/>
  <c r="X86" i="2"/>
  <c r="W86" i="2"/>
  <c r="V86" i="2"/>
  <c r="X5" i="2"/>
  <c r="W5" i="2"/>
  <c r="V5" i="2"/>
  <c r="AS38" i="3"/>
  <c r="AT38" i="3"/>
  <c r="AU38" i="3"/>
  <c r="AU36" i="3"/>
  <c r="AT36" i="3"/>
  <c r="AS36" i="3"/>
  <c r="AS46" i="3"/>
  <c r="AU46" i="3"/>
  <c r="AT46" i="3"/>
  <c r="AT43" i="3"/>
  <c r="AU43" i="3"/>
  <c r="AS43" i="3"/>
  <c r="AU45" i="3"/>
  <c r="AS45" i="3"/>
  <c r="AT45" i="3"/>
  <c r="AU44" i="3"/>
  <c r="AS44" i="3"/>
  <c r="AT44" i="3"/>
  <c r="AU41" i="3"/>
  <c r="AT41" i="3"/>
  <c r="AS41" i="3"/>
  <c r="AT39" i="3"/>
  <c r="AU39" i="3"/>
  <c r="AS39" i="3"/>
  <c r="AS42" i="3"/>
  <c r="AT42" i="3"/>
  <c r="AU42" i="3"/>
  <c r="AU40" i="3"/>
  <c r="AS40" i="3"/>
  <c r="AT40" i="3"/>
  <c r="AU37" i="3"/>
  <c r="AS37" i="3"/>
  <c r="AT37" i="3"/>
  <c r="T8" i="2"/>
  <c r="U8" i="2" s="1"/>
  <c r="U87" i="2"/>
  <c r="U71" i="2"/>
  <c r="U55" i="2"/>
  <c r="U39" i="2"/>
  <c r="U23" i="2"/>
  <c r="I14" i="5" l="1"/>
  <c r="H14" i="5"/>
  <c r="J14" i="5"/>
  <c r="F15" i="5"/>
  <c r="G15" i="5" s="1"/>
  <c r="E15" i="5"/>
  <c r="D16" i="5" s="1"/>
  <c r="X8" i="2"/>
  <c r="W8" i="2"/>
  <c r="V8" i="2"/>
  <c r="X87" i="2"/>
  <c r="V87" i="2"/>
  <c r="W87" i="2"/>
  <c r="X39" i="2"/>
  <c r="W39" i="2"/>
  <c r="V39" i="2"/>
  <c r="X71" i="2"/>
  <c r="W71" i="2"/>
  <c r="V71" i="2"/>
  <c r="X23" i="2"/>
  <c r="W23" i="2"/>
  <c r="V23" i="2"/>
  <c r="X55" i="2"/>
  <c r="W55" i="2"/>
  <c r="V55" i="2"/>
  <c r="T9" i="2"/>
  <c r="T10" i="2" s="1"/>
  <c r="U10" i="2" s="1"/>
  <c r="U88" i="2"/>
  <c r="U72" i="2"/>
  <c r="U56" i="2"/>
  <c r="U40" i="2"/>
  <c r="U24" i="2"/>
  <c r="I15" i="5" l="1"/>
  <c r="H15" i="5"/>
  <c r="J15" i="5"/>
  <c r="F16" i="5"/>
  <c r="G16" i="5" s="1"/>
  <c r="E16" i="5"/>
  <c r="D17" i="5" s="1"/>
  <c r="X56" i="2"/>
  <c r="V56" i="2"/>
  <c r="W56" i="2"/>
  <c r="X40" i="2"/>
  <c r="W40" i="2"/>
  <c r="V40" i="2"/>
  <c r="X10" i="2"/>
  <c r="W10" i="2"/>
  <c r="V10" i="2"/>
  <c r="X72" i="2"/>
  <c r="W72" i="2"/>
  <c r="V72" i="2"/>
  <c r="T11" i="2"/>
  <c r="U11" i="2" s="1"/>
  <c r="X24" i="2"/>
  <c r="W24" i="2"/>
  <c r="V24" i="2"/>
  <c r="X88" i="2"/>
  <c r="W88" i="2"/>
  <c r="V88" i="2"/>
  <c r="U9" i="2"/>
  <c r="U89" i="2"/>
  <c r="U73" i="2"/>
  <c r="U57" i="2"/>
  <c r="U41" i="2"/>
  <c r="U25" i="2"/>
  <c r="H16" i="5" l="1"/>
  <c r="J16" i="5"/>
  <c r="I16" i="5"/>
  <c r="F17" i="5"/>
  <c r="G17" i="5" s="1"/>
  <c r="E17" i="5"/>
  <c r="X11" i="2"/>
  <c r="V11" i="2"/>
  <c r="W11" i="2"/>
  <c r="T12" i="2"/>
  <c r="T13" i="2" s="1"/>
  <c r="X9" i="2"/>
  <c r="W9" i="2"/>
  <c r="V9" i="2"/>
  <c r="X25" i="2"/>
  <c r="W25" i="2"/>
  <c r="V25" i="2"/>
  <c r="X57" i="2"/>
  <c r="W57" i="2"/>
  <c r="V57" i="2"/>
  <c r="X89" i="2"/>
  <c r="W89" i="2"/>
  <c r="V89" i="2"/>
  <c r="X41" i="2"/>
  <c r="W41" i="2"/>
  <c r="V41" i="2"/>
  <c r="X73" i="2"/>
  <c r="W73" i="2"/>
  <c r="V73" i="2"/>
  <c r="U90" i="2"/>
  <c r="U74" i="2"/>
  <c r="U58" i="2"/>
  <c r="U42" i="2"/>
  <c r="U26" i="2"/>
  <c r="H17" i="5" l="1"/>
  <c r="H18" i="5" s="1"/>
  <c r="J17" i="5"/>
  <c r="J18" i="5" s="1"/>
  <c r="I17" i="5"/>
  <c r="I18" i="5" s="1"/>
  <c r="X26" i="2"/>
  <c r="W26" i="2"/>
  <c r="V26" i="2"/>
  <c r="X42" i="2"/>
  <c r="W42" i="2"/>
  <c r="V42" i="2"/>
  <c r="X74" i="2"/>
  <c r="W74" i="2"/>
  <c r="V74" i="2"/>
  <c r="X90" i="2"/>
  <c r="W90" i="2"/>
  <c r="V90" i="2"/>
  <c r="U12" i="2"/>
  <c r="X58" i="2"/>
  <c r="V58" i="2"/>
  <c r="W58" i="2"/>
  <c r="U91" i="2"/>
  <c r="U75" i="2"/>
  <c r="U59" i="2"/>
  <c r="U43" i="2"/>
  <c r="U27" i="2"/>
  <c r="T14" i="2"/>
  <c r="U13" i="2"/>
  <c r="X91" i="2" l="1"/>
  <c r="W91" i="2"/>
  <c r="V91" i="2"/>
  <c r="X59" i="2"/>
  <c r="W59" i="2"/>
  <c r="V59" i="2"/>
  <c r="X75" i="2"/>
  <c r="W75" i="2"/>
  <c r="V75" i="2"/>
  <c r="X12" i="2"/>
  <c r="V12" i="2"/>
  <c r="W12" i="2"/>
  <c r="X13" i="2"/>
  <c r="V13" i="2"/>
  <c r="W13" i="2"/>
  <c r="X27" i="2"/>
  <c r="W27" i="2"/>
  <c r="V27" i="2"/>
  <c r="X43" i="2"/>
  <c r="V43" i="2"/>
  <c r="W43" i="2"/>
  <c r="U92" i="2"/>
  <c r="U76" i="2"/>
  <c r="U60" i="2"/>
  <c r="U14" i="2"/>
  <c r="U44" i="2"/>
  <c r="U28" i="2"/>
  <c r="X28" i="2" l="1"/>
  <c r="W28" i="2"/>
  <c r="V28" i="2"/>
  <c r="X14" i="2"/>
  <c r="X15" i="2" s="1"/>
  <c r="V14" i="2"/>
  <c r="W14" i="2"/>
  <c r="V15" i="2"/>
  <c r="X44" i="2"/>
  <c r="W44" i="2"/>
  <c r="V44" i="2"/>
  <c r="X76" i="2"/>
  <c r="V76" i="2"/>
  <c r="W76" i="2"/>
  <c r="W15" i="2"/>
  <c r="X60" i="2"/>
  <c r="W60" i="2"/>
  <c r="V60" i="2"/>
  <c r="X92" i="2"/>
  <c r="W92" i="2"/>
  <c r="V92" i="2"/>
  <c r="U93" i="2"/>
  <c r="U77" i="2"/>
  <c r="U61" i="2"/>
  <c r="U45" i="2"/>
  <c r="U29" i="2"/>
  <c r="X29" i="2" l="1"/>
  <c r="W29" i="2"/>
  <c r="V29" i="2"/>
  <c r="X45" i="2"/>
  <c r="W45" i="2"/>
  <c r="V45" i="2"/>
  <c r="X93" i="2"/>
  <c r="W93" i="2"/>
  <c r="V93" i="2"/>
  <c r="X61" i="2"/>
  <c r="W61" i="2"/>
  <c r="V61" i="2"/>
  <c r="X77" i="2"/>
  <c r="W77" i="2"/>
  <c r="V77" i="2"/>
  <c r="U94" i="2"/>
  <c r="U78" i="2"/>
  <c r="U62" i="2"/>
  <c r="U46" i="2"/>
  <c r="U30" i="2"/>
  <c r="X94" i="2" l="1"/>
  <c r="X95" i="2" s="1"/>
  <c r="W94" i="2"/>
  <c r="V94" i="2"/>
  <c r="X62" i="2"/>
  <c r="X63" i="2" s="1"/>
  <c r="W62" i="2"/>
  <c r="W79" i="2" s="1"/>
  <c r="V62" i="2"/>
  <c r="V79" i="2" s="1"/>
  <c r="X30" i="2"/>
  <c r="X31" i="2" s="1"/>
  <c r="W30" i="2"/>
  <c r="V30" i="2"/>
  <c r="V31" i="2" s="1"/>
  <c r="X46" i="2"/>
  <c r="X47" i="2" s="1"/>
  <c r="W46" i="2"/>
  <c r="W63" i="2" s="1"/>
  <c r="V46" i="2"/>
  <c r="V63" i="2" s="1"/>
  <c r="X78" i="2"/>
  <c r="X79" i="2" s="1"/>
  <c r="W78" i="2"/>
  <c r="W95" i="2" s="1"/>
  <c r="V78" i="2"/>
  <c r="V95" i="2" s="1"/>
  <c r="W31" i="2" l="1"/>
  <c r="W47" i="2"/>
  <c r="V47" i="2"/>
</calcChain>
</file>

<file path=xl/sharedStrings.xml><?xml version="1.0" encoding="utf-8"?>
<sst xmlns="http://schemas.openxmlformats.org/spreadsheetml/2006/main" count="349" uniqueCount="82">
  <si>
    <t>Neonatal critical care</t>
  </si>
  <si>
    <t>Year</t>
  </si>
  <si>
    <t>Intensive Care</t>
  </si>
  <si>
    <t>High Dependency</t>
  </si>
  <si>
    <t>Special Care</t>
  </si>
  <si>
    <t xml:space="preserve">Data Source: https://www.isdscotland.org/health-topics/maternity-and-births/births/  </t>
  </si>
  <si>
    <t>Forecast Error</t>
  </si>
  <si>
    <t>|Forecast Error / Actual |</t>
  </si>
  <si>
    <t>Intensive Care (Actual)</t>
  </si>
  <si>
    <t>Naïve (Forecast)</t>
  </si>
  <si>
    <t>MA(4) (Forecast)</t>
  </si>
  <si>
    <t>#Assumption Forecast (F1) = Actual (A1)</t>
  </si>
  <si>
    <t>#High value of Constant more appropriate due to high amount of variability in the data</t>
  </si>
  <si>
    <t>#Exponential Smoothing Notes:</t>
  </si>
  <si>
    <t>#As a result, a value of 1 is the most appropriate, which would make the forecasts the same as if done via the Naïve method</t>
  </si>
  <si>
    <t>Exponential Smoothing [α = 0.5] (Forecast)</t>
  </si>
  <si>
    <t>Exponential Smoothing [α = 0.7] (Forecast)</t>
  </si>
  <si>
    <t>Exponential Smoothing [α = 0.3] (Forecast)</t>
  </si>
  <si>
    <t>Exponential Smoothing [α = 0.9] (Forecast)</t>
  </si>
  <si>
    <t>Exponential Smoothing [α = 0.95] (Forecast)</t>
  </si>
  <si>
    <t>Exponential Smoothing [α = 1] (Forecast)</t>
  </si>
  <si>
    <t>MA(3) (Forecast)</t>
  </si>
  <si>
    <t>MA(5) (Forecast)</t>
  </si>
  <si>
    <t>MA(6) (Forecast)</t>
  </si>
  <si>
    <t>MA(7) (Forecast)</t>
  </si>
  <si>
    <t>MA(2) (Forecast)</t>
  </si>
  <si>
    <t>Simple Mean (Forecast)</t>
  </si>
  <si>
    <t>WMA(2) (Forecast)</t>
  </si>
  <si>
    <t>WMA(3) (Forecast)</t>
  </si>
  <si>
    <t>WMA(4) (Forecast)</t>
  </si>
  <si>
    <t>Weights</t>
  </si>
  <si>
    <t>Naïve With Trend (Forecast)</t>
  </si>
  <si>
    <r>
      <t>tA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</si>
  <si>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</si>
  <si>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t>n =</t>
  </si>
  <si>
    <t>Least Squares Method (Forecast)</t>
  </si>
  <si>
    <t>Year (t)</t>
  </si>
  <si>
    <t>Totals:</t>
  </si>
  <si>
    <t>Averages: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</si>
  <si>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</si>
  <si>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</si>
  <si>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</si>
  <si>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</si>
  <si>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</si>
  <si>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</si>
  <si>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</si>
  <si>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</si>
  <si>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</si>
  <si>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</si>
  <si>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</si>
  <si>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</si>
  <si>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</si>
  <si>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</si>
  <si>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Unknown</t>
  </si>
  <si>
    <t>Mothers Smoking</t>
  </si>
  <si>
    <t>Gestational age &lt; 37 weeks</t>
  </si>
  <si>
    <t>NHS Board of Residence (i)</t>
  </si>
  <si>
    <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 xml:space="preserve"> y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</si>
  <si>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</si>
  <si>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r>
      <t>Mothers Smoking (x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</si>
  <si>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r>
      <t>Gestational age &lt; 37 weeks (y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</si>
  <si>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t>NHS Board of Residence</t>
  </si>
  <si>
    <t>b1 =</t>
  </si>
  <si>
    <t>b0 =</t>
  </si>
  <si>
    <t>Regression Line</t>
  </si>
  <si>
    <t>Estimate Gestational Age &lt; 37 weeks (ŷ)</t>
  </si>
  <si>
    <r>
      <t>(y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 xml:space="preserve"> - </t>
    </r>
    <r>
      <rPr>
        <b/>
        <i/>
        <sz val="11"/>
        <color theme="1"/>
        <rFont val="Calibri"/>
        <family val="2"/>
      </rPr>
      <t>ȳ)</t>
    </r>
    <r>
      <rPr>
        <b/>
        <i/>
        <vertAlign val="superscript"/>
        <sz val="11"/>
        <color theme="1"/>
        <rFont val="Calibri"/>
        <family val="2"/>
      </rPr>
      <t>2</t>
    </r>
  </si>
  <si>
    <t>Average:</t>
  </si>
  <si>
    <r>
      <t>(y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 xml:space="preserve"> - </t>
    </r>
    <r>
      <rPr>
        <b/>
        <i/>
        <sz val="11"/>
        <color theme="1"/>
        <rFont val="Calibri"/>
        <family val="2"/>
      </rPr>
      <t>ŷ</t>
    </r>
    <r>
      <rPr>
        <b/>
        <i/>
        <vertAlign val="subscript"/>
        <sz val="11"/>
        <color theme="1"/>
        <rFont val="Calibri"/>
        <family val="2"/>
      </rPr>
      <t>i</t>
    </r>
    <r>
      <rPr>
        <b/>
        <i/>
        <sz val="11"/>
        <color theme="1"/>
        <rFont val="Calibri"/>
        <family val="2"/>
      </rPr>
      <t>)</t>
    </r>
    <r>
      <rPr>
        <b/>
        <i/>
        <vertAlign val="superscript"/>
        <sz val="11"/>
        <color theme="1"/>
        <rFont val="Calibri"/>
        <family val="2"/>
      </rPr>
      <t>2</t>
    </r>
  </si>
  <si>
    <t>#Good fit to the data!</t>
  </si>
  <si>
    <r>
      <t>Coefficient of determination (R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</si>
  <si>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t>Squared Forecast Error</t>
  </si>
  <si>
    <t>|Forecast Error|</t>
  </si>
  <si>
    <t>MSE</t>
  </si>
  <si>
    <t>MAD</t>
  </si>
  <si>
    <t>MAPE</t>
  </si>
  <si>
    <t>Level</t>
  </si>
  <si>
    <t>Trend</t>
  </si>
  <si>
    <t>Holt's Method (Forecast)</t>
  </si>
  <si>
    <t>Alpha:</t>
  </si>
  <si>
    <t>Beta:</t>
  </si>
  <si>
    <t>Premature Babies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</si>
</sst>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Courier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vertAlign val="superscript"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</font>
    <font>
      <i/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24">
    <xf numFmtId="0" fontId="0" fillId="0" borderId="0" xfId="0"/>
    <xf numFmtId="0" fontId="0" fillId="0" borderId="0" xfId="0"/>
    <xf numFmtId="3" fontId="0" fillId="0" borderId="0" xfId="0" applyNumberFormat="1"/>
    <xf numFmtId="3" fontId="2" fillId="0" borderId="1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3" fontId="4" fillId="0" borderId="0" xfId="0" applyNumberFormat="1" applyFont="1" applyAlignment="1" applyProtection="1">
      <alignment horizontal="right"/>
      <protection locked="0"/>
    </xf>
    <xf numFmtId="3" fontId="4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/>
    <xf numFmtId="0" fontId="3" fillId="0" borderId="3" xfId="0" applyNumberFormat="1" applyFont="1" applyFill="1" applyBorder="1" applyAlignment="1" applyProtection="1">
      <alignment horizontal="left" wrapText="1"/>
      <protection locked="0"/>
    </xf>
    <xf numFmtId="3" fontId="2" fillId="0" borderId="4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13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0" fillId="5" borderId="1" xfId="0" applyFill="1" applyBorder="1"/>
    <xf numFmtId="0" fontId="2" fillId="0" borderId="9" xfId="0" applyFont="1" applyFill="1" applyBorder="1" applyAlignment="1">
      <alignment horizontal="left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3" fontId="0" fillId="0" borderId="1" xfId="0" applyNumberFormat="1" applyBorder="1"/>
    <xf numFmtId="3" fontId="0" fillId="3" borderId="18" xfId="0" applyNumberFormat="1" applyFill="1" applyBorder="1"/>
    <xf numFmtId="10" fontId="0" fillId="0" borderId="1" xfId="0" applyNumberFormat="1" applyBorder="1"/>
    <xf numFmtId="3" fontId="0" fillId="5" borderId="1" xfId="0" applyNumberFormat="1" applyFill="1" applyBorder="1"/>
    <xf numFmtId="10" fontId="0" fillId="5" borderId="1" xfId="0" applyNumberFormat="1" applyFill="1" applyBorder="1"/>
    <xf numFmtId="3" fontId="0" fillId="6" borderId="9" xfId="0" applyNumberFormat="1" applyFill="1" applyBorder="1"/>
    <xf numFmtId="3" fontId="0" fillId="3" borderId="1" xfId="0" applyNumberFormat="1" applyFill="1" applyBorder="1"/>
    <xf numFmtId="0" fontId="9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9" xfId="0" applyFill="1" applyBorder="1"/>
    <xf numFmtId="3" fontId="0" fillId="0" borderId="1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8" fillId="0" borderId="0" xfId="0" applyFont="1" applyFill="1" applyBorder="1"/>
    <xf numFmtId="10" fontId="0" fillId="0" borderId="0" xfId="0" applyNumberFormat="1" applyFill="1" applyBorder="1"/>
    <xf numFmtId="0" fontId="0" fillId="0" borderId="0" xfId="0" applyFill="1"/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0" fillId="0" borderId="1" xfId="0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3" fontId="2" fillId="0" borderId="24" xfId="0" applyNumberFormat="1" applyFont="1" applyFill="1" applyBorder="1" applyAlignment="1">
      <alignment horizontal="right"/>
    </xf>
    <xf numFmtId="0" fontId="8" fillId="0" borderId="3" xfId="0" applyFont="1" applyFill="1" applyBorder="1"/>
    <xf numFmtId="0" fontId="0" fillId="7" borderId="6" xfId="0" applyFill="1" applyBorder="1"/>
    <xf numFmtId="0" fontId="0" fillId="7" borderId="1" xfId="0" applyFill="1" applyBorder="1"/>
    <xf numFmtId="0" fontId="8" fillId="0" borderId="21" xfId="0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0" fillId="8" borderId="1" xfId="0" applyFill="1" applyBorder="1"/>
    <xf numFmtId="0" fontId="0" fillId="8" borderId="6" xfId="0" applyFill="1" applyBorder="1"/>
    <xf numFmtId="0" fontId="8" fillId="9" borderId="20" xfId="0" applyFont="1" applyFill="1" applyBorder="1" applyAlignment="1">
      <alignment horizontal="center"/>
    </xf>
    <xf numFmtId="164" fontId="8" fillId="9" borderId="4" xfId="0" applyNumberFormat="1" applyFont="1" applyFill="1" applyBorder="1" applyAlignment="1">
      <alignment horizontal="center"/>
    </xf>
    <xf numFmtId="164" fontId="8" fillId="9" borderId="5" xfId="0" applyNumberFormat="1" applyFont="1" applyFill="1" applyBorder="1" applyAlignment="1">
      <alignment horizontal="center"/>
    </xf>
    <xf numFmtId="3" fontId="0" fillId="8" borderId="1" xfId="0" applyNumberFormat="1" applyFill="1" applyBorder="1"/>
    <xf numFmtId="3" fontId="0" fillId="7" borderId="1" xfId="0" applyNumberFormat="1" applyFill="1" applyBorder="1"/>
    <xf numFmtId="0" fontId="0" fillId="3" borderId="9" xfId="0" applyFill="1" applyBorder="1"/>
    <xf numFmtId="0" fontId="12" fillId="0" borderId="3" xfId="0" applyFont="1" applyBorder="1"/>
    <xf numFmtId="3" fontId="2" fillId="0" borderId="0" xfId="0" applyNumberFormat="1" applyFont="1" applyFill="1" applyBorder="1" applyAlignment="1">
      <alignment horizontal="right"/>
    </xf>
    <xf numFmtId="3" fontId="0" fillId="0" borderId="24" xfId="0" applyNumberFormat="1" applyBorder="1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/>
    <xf numFmtId="3" fontId="4" fillId="0" borderId="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8" fillId="0" borderId="25" xfId="0" applyFont="1" applyBorder="1" applyAlignment="1">
      <alignment horizontal="center" vertical="center" wrapText="1"/>
    </xf>
    <xf numFmtId="3" fontId="4" fillId="0" borderId="9" xfId="0" applyNumberFormat="1" applyFont="1" applyBorder="1" applyAlignment="1" applyProtection="1">
      <alignment horizontal="right"/>
      <protection locked="0"/>
    </xf>
    <xf numFmtId="3" fontId="2" fillId="0" borderId="9" xfId="0" applyNumberFormat="1" applyFont="1" applyBorder="1"/>
    <xf numFmtId="0" fontId="4" fillId="0" borderId="9" xfId="0" applyFont="1" applyBorder="1" applyAlignment="1">
      <alignment horizontal="right"/>
    </xf>
    <xf numFmtId="0" fontId="8" fillId="0" borderId="3" xfId="0" applyNumberFormat="1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>
      <alignment horizontal="right"/>
    </xf>
    <xf numFmtId="3" fontId="4" fillId="0" borderId="24" xfId="0" applyNumberFormat="1" applyFont="1" applyBorder="1" applyAlignment="1" applyProtection="1">
      <alignment horizontal="right"/>
      <protection locked="0"/>
    </xf>
    <xf numFmtId="3" fontId="0" fillId="0" borderId="9" xfId="0" applyNumberFormat="1" applyBorder="1"/>
    <xf numFmtId="3" fontId="4" fillId="0" borderId="27" xfId="0" applyNumberFormat="1" applyFont="1" applyBorder="1" applyAlignment="1" applyProtection="1">
      <alignment horizontal="right"/>
      <protection locked="0"/>
    </xf>
    <xf numFmtId="3" fontId="2" fillId="0" borderId="27" xfId="0" applyNumberFormat="1" applyFont="1" applyBorder="1"/>
    <xf numFmtId="0" fontId="0" fillId="0" borderId="27" xfId="0" applyBorder="1"/>
    <xf numFmtId="3" fontId="0" fillId="0" borderId="27" xfId="0" applyNumberFormat="1" applyBorder="1"/>
    <xf numFmtId="3" fontId="0" fillId="7" borderId="12" xfId="0" applyNumberFormat="1" applyFill="1" applyBorder="1"/>
    <xf numFmtId="3" fontId="0" fillId="8" borderId="6" xfId="0" applyNumberFormat="1" applyFill="1" applyBorder="1"/>
    <xf numFmtId="0" fontId="0" fillId="0" borderId="24" xfId="0" applyBorder="1"/>
    <xf numFmtId="4" fontId="0" fillId="0" borderId="9" xfId="0" applyNumberFormat="1" applyBorder="1"/>
    <xf numFmtId="3" fontId="0" fillId="8" borderId="26" xfId="0" applyNumberFormat="1" applyFill="1" applyBorder="1"/>
    <xf numFmtId="3" fontId="0" fillId="7" borderId="6" xfId="0" applyNumberFormat="1" applyFill="1" applyBorder="1"/>
    <xf numFmtId="4" fontId="0" fillId="7" borderId="1" xfId="0" applyNumberFormat="1" applyFill="1" applyBorder="1"/>
    <xf numFmtId="0" fontId="16" fillId="0" borderId="0" xfId="0" applyFont="1"/>
    <xf numFmtId="165" fontId="8" fillId="9" borderId="6" xfId="0" applyNumberFormat="1" applyFont="1" applyFill="1" applyBorder="1" applyAlignment="1">
      <alignment horizontal="center"/>
    </xf>
    <xf numFmtId="3" fontId="0" fillId="4" borderId="1" xfId="0" applyNumberFormat="1" applyFill="1" applyBorder="1"/>
    <xf numFmtId="10" fontId="0" fillId="10" borderId="6" xfId="0" applyNumberFormat="1" applyFill="1" applyBorder="1"/>
    <xf numFmtId="3" fontId="0" fillId="4" borderId="26" xfId="0" applyNumberFormat="1" applyFill="1" applyBorder="1"/>
    <xf numFmtId="0" fontId="8" fillId="5" borderId="1" xfId="0" applyFont="1" applyFill="1" applyBorder="1"/>
    <xf numFmtId="0" fontId="0" fillId="5" borderId="18" xfId="0" applyFill="1" applyBorder="1"/>
    <xf numFmtId="3" fontId="0" fillId="4" borderId="30" xfId="0" applyNumberFormat="1" applyFill="1" applyBorder="1"/>
    <xf numFmtId="3" fontId="0" fillId="4" borderId="24" xfId="0" applyNumberFormat="1" applyFill="1" applyBorder="1"/>
    <xf numFmtId="10" fontId="0" fillId="10" borderId="31" xfId="0" applyNumberFormat="1" applyFill="1" applyBorder="1"/>
    <xf numFmtId="3" fontId="0" fillId="5" borderId="9" xfId="0" applyNumberFormat="1" applyFill="1" applyBorder="1"/>
    <xf numFmtId="3" fontId="2" fillId="0" borderId="32" xfId="0" applyNumberFormat="1" applyFont="1" applyFill="1" applyBorder="1" applyAlignment="1">
      <alignment horizontal="right"/>
    </xf>
    <xf numFmtId="3" fontId="2" fillId="0" borderId="18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2" fontId="0" fillId="7" borderId="6" xfId="0" applyNumberFormat="1" applyFill="1" applyBorder="1"/>
    <xf numFmtId="0" fontId="8" fillId="0" borderId="33" xfId="0" applyFont="1" applyBorder="1"/>
    <xf numFmtId="3" fontId="0" fillId="8" borderId="31" xfId="0" applyNumberFormat="1" applyFill="1" applyBorder="1"/>
    <xf numFmtId="0" fontId="8" fillId="9" borderId="26" xfId="0" applyFont="1" applyFill="1" applyBorder="1" applyAlignment="1">
      <alignment horizontal="center"/>
    </xf>
    <xf numFmtId="164" fontId="8" fillId="9" borderId="6" xfId="0" applyNumberFormat="1" applyFont="1" applyFill="1" applyBorder="1" applyAlignment="1">
      <alignment horizontal="center"/>
    </xf>
    <xf numFmtId="164" fontId="8" fillId="9" borderId="26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E937DF09-EA4E-45B0-9789-094A5806F987}"/>
    <cellStyle name="Normal 3" xfId="2" xr:uid="{BBAD8C24-82C0-4609-8EF1-ADED323BB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Critical Care - </a:t>
            </a:r>
            <a:r>
              <a:rPr lang="en-GB" i="1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1 - Graph Data'!$C$24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Data'!$C$25:$C$36</c:f>
              <c:numCache>
                <c:formatCode>#,##0</c:formatCode>
                <c:ptCount val="12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4B3-AD48-B7966EE6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102560"/>
        <c:axId val="1635111296"/>
      </c:bar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0.</a:t>
            </a:r>
            <a:r>
              <a:rPr lang="en-GB" baseline="0"/>
              <a:t>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Forecast'!$S$18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Forecast'!$R$19:$R$31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Forecast'!$S$19:$S$31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5-4403-A747-F2396A91D300}"/>
            </c:ext>
          </c:extLst>
        </c:ser>
        <c:ser>
          <c:idx val="1"/>
          <c:order val="1"/>
          <c:tx>
            <c:strRef>
              <c:f>'Task 2 - IC Forecast'!$T$18</c:f>
              <c:strCache>
                <c:ptCount val="1"/>
                <c:pt idx="0">
                  <c:v>Exponential Smoothing [α = 0.7]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Forecast'!$R$19:$R$31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Forecast'!$T$19:$T$31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849.59999999999991</c:v>
                </c:pt>
                <c:pt idx="3">
                  <c:v>891.88</c:v>
                </c:pt>
                <c:pt idx="4">
                  <c:v>922.7639999999999</c:v>
                </c:pt>
                <c:pt idx="5">
                  <c:v>1111.2292</c:v>
                </c:pt>
                <c:pt idx="6">
                  <c:v>1182.46876</c:v>
                </c:pt>
                <c:pt idx="7">
                  <c:v>1330.540628</c:v>
                </c:pt>
                <c:pt idx="8">
                  <c:v>1487.6621884000001</c:v>
                </c:pt>
                <c:pt idx="9">
                  <c:v>1526.39865652</c:v>
                </c:pt>
                <c:pt idx="10">
                  <c:v>1469.4195969560001</c:v>
                </c:pt>
                <c:pt idx="11">
                  <c:v>1411.7258790868</c:v>
                </c:pt>
                <c:pt idx="12">
                  <c:v>1330.0177637260399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5-4403-A747-F2396A91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0.</a:t>
            </a:r>
            <a:r>
              <a:rPr lang="en-GB" baseline="0"/>
              <a:t>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Forecast'!$S$34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Forecast'!$R$35:$R$47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Forecast'!$S$35:$S$47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2-4949-84F2-92C91235F5C2}"/>
            </c:ext>
          </c:extLst>
        </c:ser>
        <c:ser>
          <c:idx val="1"/>
          <c:order val="1"/>
          <c:tx>
            <c:strRef>
              <c:f>'Task 2 - IC Forecast'!$T$34</c:f>
              <c:strCache>
                <c:ptCount val="1"/>
                <c:pt idx="0">
                  <c:v>Exponential Smoothing [α = 0.3]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Forecast'!$R$35:$R$47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Forecast'!$T$35:$T$47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838.4</c:v>
                </c:pt>
                <c:pt idx="3">
                  <c:v>859.88</c:v>
                </c:pt>
                <c:pt idx="4">
                  <c:v>882.71599999999989</c:v>
                </c:pt>
                <c:pt idx="5">
                  <c:v>975.50119999999993</c:v>
                </c:pt>
                <c:pt idx="6">
                  <c:v>1046.7508399999999</c:v>
                </c:pt>
                <c:pt idx="7">
                  <c:v>1150.9255879999998</c:v>
                </c:pt>
                <c:pt idx="8">
                  <c:v>1272.1479115999998</c:v>
                </c:pt>
                <c:pt idx="9">
                  <c:v>1353.4035381199997</c:v>
                </c:pt>
                <c:pt idx="10">
                  <c:v>1380.8824766839998</c:v>
                </c:pt>
                <c:pt idx="11">
                  <c:v>1382.7177336787997</c:v>
                </c:pt>
                <c:pt idx="12">
                  <c:v>1356.4024135751597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2-4949-84F2-92C91235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0.</a:t>
            </a:r>
            <a:r>
              <a:rPr lang="en-GB" baseline="0"/>
              <a:t>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Forecast'!$S$50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Forecast'!$R$51:$R$63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Forecast'!$S$51:$S$63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A7B-BF79-E44D4C0D507A}"/>
            </c:ext>
          </c:extLst>
        </c:ser>
        <c:ser>
          <c:idx val="1"/>
          <c:order val="1"/>
          <c:tx>
            <c:strRef>
              <c:f>'Task 2 - IC Forecast'!$T$50</c:f>
              <c:strCache>
                <c:ptCount val="1"/>
                <c:pt idx="0">
                  <c:v>Exponential Smoothing [α = 0.9]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Forecast'!$R$51:$R$63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Forecast'!$T$51:$T$63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855.2</c:v>
                </c:pt>
                <c:pt idx="3">
                  <c:v>904.52</c:v>
                </c:pt>
                <c:pt idx="4">
                  <c:v>932.85199999999998</c:v>
                </c:pt>
                <c:pt idx="5">
                  <c:v>1166.0852</c:v>
                </c:pt>
                <c:pt idx="6">
                  <c:v>1208.30852</c:v>
                </c:pt>
                <c:pt idx="7">
                  <c:v>1375.4308520000002</c:v>
                </c:pt>
                <c:pt idx="8">
                  <c:v>1537.0430852</c:v>
                </c:pt>
                <c:pt idx="9">
                  <c:v>1542.4043085200001</c:v>
                </c:pt>
                <c:pt idx="10">
                  <c:v>1454.7404308519999</c:v>
                </c:pt>
                <c:pt idx="11">
                  <c:v>1393.7740430852</c:v>
                </c:pt>
                <c:pt idx="12">
                  <c:v>1304.87740430852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5-4A7B-BF79-E44D4C0D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0.</a:t>
            </a:r>
            <a:r>
              <a:rPr lang="en-GB" baseline="0"/>
              <a:t>95)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Forecast'!$S$66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Forecast'!$R$67:$R$79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Forecast'!$S$67:$S$79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2-45B8-8C32-4E03A62320E1}"/>
            </c:ext>
          </c:extLst>
        </c:ser>
        <c:ser>
          <c:idx val="1"/>
          <c:order val="1"/>
          <c:tx>
            <c:strRef>
              <c:f>'Task 2 - IC Forecast'!$T$66</c:f>
              <c:strCache>
                <c:ptCount val="1"/>
                <c:pt idx="0">
                  <c:v>Exponential Smoothing [α = 0.95]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Forecast'!$R$67:$R$79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Forecast'!$T$67:$T$79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856.59999999999991</c:v>
                </c:pt>
                <c:pt idx="3">
                  <c:v>907.33</c:v>
                </c:pt>
                <c:pt idx="4">
                  <c:v>934.56650000000002</c:v>
                </c:pt>
                <c:pt idx="5">
                  <c:v>1179.1283249999999</c:v>
                </c:pt>
                <c:pt idx="6">
                  <c:v>1211.30641625</c:v>
                </c:pt>
                <c:pt idx="7">
                  <c:v>1384.8653208124999</c:v>
                </c:pt>
                <c:pt idx="8">
                  <c:v>1546.493266040625</c:v>
                </c:pt>
                <c:pt idx="9">
                  <c:v>1543.1746633020311</c:v>
                </c:pt>
                <c:pt idx="10">
                  <c:v>1449.9087331651017</c:v>
                </c:pt>
                <c:pt idx="11">
                  <c:v>1390.145436658255</c:v>
                </c:pt>
                <c:pt idx="12">
                  <c:v>1299.7572718329129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2-45B8-8C32-4E03A623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</a:t>
            </a:r>
            <a:r>
              <a:rPr lang="en-GB" baseline="0"/>
              <a:t>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Forecast'!$S$82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Forecast'!$R$83:$R$95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Forecast'!$S$83:$S$95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1-40D5-BCD6-D0A8B20E859A}"/>
            </c:ext>
          </c:extLst>
        </c:ser>
        <c:ser>
          <c:idx val="1"/>
          <c:order val="1"/>
          <c:tx>
            <c:strRef>
              <c:f>'Task 2 - IC Forecast'!$T$82</c:f>
              <c:strCache>
                <c:ptCount val="1"/>
                <c:pt idx="0">
                  <c:v>Exponential Smoothing [α = 1]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Forecast'!$R$83:$R$95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Forecast'!$T$83:$T$95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858</c:v>
                </c:pt>
                <c:pt idx="3">
                  <c:v>910</c:v>
                </c:pt>
                <c:pt idx="4">
                  <c:v>936</c:v>
                </c:pt>
                <c:pt idx="5">
                  <c:v>1192</c:v>
                </c:pt>
                <c:pt idx="6">
                  <c:v>1213</c:v>
                </c:pt>
                <c:pt idx="7">
                  <c:v>1394</c:v>
                </c:pt>
                <c:pt idx="8">
                  <c:v>1555</c:v>
                </c:pt>
                <c:pt idx="9">
                  <c:v>1543</c:v>
                </c:pt>
                <c:pt idx="10">
                  <c:v>1445</c:v>
                </c:pt>
                <c:pt idx="11">
                  <c:v>1387</c:v>
                </c:pt>
                <c:pt idx="12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1-40D5-BCD6-D0A8B20E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Naïve</a:t>
            </a:r>
            <a:r>
              <a:rPr lang="en-GB" baseline="0"/>
              <a:t>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Forecast'!$C$2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Forecast'!$B$3:$B$15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Forecast'!$C$3:$C$15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8-42A2-9B7F-EBF6B7728166}"/>
            </c:ext>
          </c:extLst>
        </c:ser>
        <c:ser>
          <c:idx val="1"/>
          <c:order val="1"/>
          <c:tx>
            <c:strRef>
              <c:f>'Task 2 - IC Forecast'!$D$2</c:f>
              <c:strCache>
                <c:ptCount val="1"/>
                <c:pt idx="0">
                  <c:v>Naïve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Forecast'!$B$3:$B$15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Forecast'!$D$3:$D$15</c:f>
              <c:numCache>
                <c:formatCode>#,##0</c:formatCode>
                <c:ptCount val="13"/>
                <c:pt idx="1">
                  <c:v>830</c:v>
                </c:pt>
                <c:pt idx="2">
                  <c:v>858</c:v>
                </c:pt>
                <c:pt idx="3">
                  <c:v>910</c:v>
                </c:pt>
                <c:pt idx="4">
                  <c:v>936</c:v>
                </c:pt>
                <c:pt idx="5">
                  <c:v>1192</c:v>
                </c:pt>
                <c:pt idx="6">
                  <c:v>1213</c:v>
                </c:pt>
                <c:pt idx="7">
                  <c:v>1394</c:v>
                </c:pt>
                <c:pt idx="8">
                  <c:v>1555</c:v>
                </c:pt>
                <c:pt idx="9">
                  <c:v>1543</c:v>
                </c:pt>
                <c:pt idx="10">
                  <c:v>1445</c:v>
                </c:pt>
                <c:pt idx="11">
                  <c:v>1387</c:v>
                </c:pt>
                <c:pt idx="12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8-42A2-9B7F-EBF6B772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432048"/>
        <c:axId val="1741433712"/>
      </c:lineChart>
      <c:catAx>
        <c:axId val="1741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33712"/>
        <c:crosses val="autoZero"/>
        <c:auto val="1"/>
        <c:lblAlgn val="ctr"/>
        <c:lblOffset val="100"/>
        <c:noMultiLvlLbl val="0"/>
      </c:catAx>
      <c:valAx>
        <c:axId val="1741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 Care </a:t>
            </a:r>
            <a:r>
              <a:rPr lang="en-GB" baseline="0"/>
              <a:t>- Moving Average Forecast (4 Year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Forecast'!$K$2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Forecast'!$J$3:$J$15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Forecast'!$K$3:$K$15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D-4C9D-A825-7B6C44864C39}"/>
            </c:ext>
          </c:extLst>
        </c:ser>
        <c:ser>
          <c:idx val="1"/>
          <c:order val="1"/>
          <c:tx>
            <c:strRef>
              <c:f>'Task 2 - IC Forecast'!$L$2</c:f>
              <c:strCache>
                <c:ptCount val="1"/>
                <c:pt idx="0">
                  <c:v>MA(4)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Forecast'!$J$3:$J$15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Forecast'!$L$3:$L$15</c:f>
              <c:numCache>
                <c:formatCode>#,##0</c:formatCode>
                <c:ptCount val="13"/>
                <c:pt idx="4">
                  <c:v>883.5</c:v>
                </c:pt>
                <c:pt idx="5">
                  <c:v>974</c:v>
                </c:pt>
                <c:pt idx="6">
                  <c:v>1062.75</c:v>
                </c:pt>
                <c:pt idx="7">
                  <c:v>1183.75</c:v>
                </c:pt>
                <c:pt idx="8">
                  <c:v>1338.5</c:v>
                </c:pt>
                <c:pt idx="9">
                  <c:v>1426.25</c:v>
                </c:pt>
                <c:pt idx="10">
                  <c:v>1484.25</c:v>
                </c:pt>
                <c:pt idx="11">
                  <c:v>1482.5</c:v>
                </c:pt>
                <c:pt idx="12">
                  <c:v>1417.5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D-4C9D-A825-7B6C4486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24032"/>
        <c:axId val="1785146080"/>
      </c:lineChart>
      <c:catAx>
        <c:axId val="17851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46080"/>
        <c:crosses val="autoZero"/>
        <c:auto val="1"/>
        <c:lblAlgn val="ctr"/>
        <c:lblOffset val="100"/>
        <c:noMultiLvlLbl val="0"/>
      </c:catAx>
      <c:valAx>
        <c:axId val="1785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All Forecasts</a:t>
            </a:r>
            <a:r>
              <a:rPr lang="en-GB" baseline="0"/>
              <a:t> Methods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Forecast'!$AJ$2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Forecast'!$AJ$3:$AJ$15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CC2-A577-13A97B78D10A}"/>
            </c:ext>
          </c:extLst>
        </c:ser>
        <c:ser>
          <c:idx val="1"/>
          <c:order val="1"/>
          <c:tx>
            <c:strRef>
              <c:f>'Task 2 - IC Forecast'!$AK$2</c:f>
              <c:strCache>
                <c:ptCount val="1"/>
                <c:pt idx="0">
                  <c:v>Naïve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Forecast'!$AK$3:$AK$15</c:f>
              <c:numCache>
                <c:formatCode>#,##0</c:formatCode>
                <c:ptCount val="13"/>
                <c:pt idx="1">
                  <c:v>830</c:v>
                </c:pt>
                <c:pt idx="2">
                  <c:v>858</c:v>
                </c:pt>
                <c:pt idx="3">
                  <c:v>910</c:v>
                </c:pt>
                <c:pt idx="4">
                  <c:v>936</c:v>
                </c:pt>
                <c:pt idx="5">
                  <c:v>1192</c:v>
                </c:pt>
                <c:pt idx="6">
                  <c:v>1213</c:v>
                </c:pt>
                <c:pt idx="7">
                  <c:v>1394</c:v>
                </c:pt>
                <c:pt idx="8">
                  <c:v>1555</c:v>
                </c:pt>
                <c:pt idx="9">
                  <c:v>1543</c:v>
                </c:pt>
                <c:pt idx="10">
                  <c:v>1445</c:v>
                </c:pt>
                <c:pt idx="11">
                  <c:v>1387</c:v>
                </c:pt>
                <c:pt idx="12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CC2-A577-13A97B78D10A}"/>
            </c:ext>
          </c:extLst>
        </c:ser>
        <c:ser>
          <c:idx val="2"/>
          <c:order val="2"/>
          <c:tx>
            <c:strRef>
              <c:f>'Task 2 - IC Forecast'!$AL$2</c:f>
              <c:strCache>
                <c:ptCount val="1"/>
                <c:pt idx="0">
                  <c:v>MA(4) (Forecast)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Forecast'!$AL$3:$AL$15</c:f>
              <c:numCache>
                <c:formatCode>#,##0</c:formatCode>
                <c:ptCount val="13"/>
                <c:pt idx="4">
                  <c:v>883.5</c:v>
                </c:pt>
                <c:pt idx="5">
                  <c:v>974</c:v>
                </c:pt>
                <c:pt idx="6">
                  <c:v>1062.75</c:v>
                </c:pt>
                <c:pt idx="7">
                  <c:v>1183.75</c:v>
                </c:pt>
                <c:pt idx="8">
                  <c:v>1338.5</c:v>
                </c:pt>
                <c:pt idx="9">
                  <c:v>1426.25</c:v>
                </c:pt>
                <c:pt idx="10">
                  <c:v>1484.25</c:v>
                </c:pt>
                <c:pt idx="11">
                  <c:v>1482.5</c:v>
                </c:pt>
                <c:pt idx="12">
                  <c:v>1417.5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D-4CC2-A577-13A97B78D10A}"/>
            </c:ext>
          </c:extLst>
        </c:ser>
        <c:ser>
          <c:idx val="3"/>
          <c:order val="3"/>
          <c:tx>
            <c:strRef>
              <c:f>'Task 2 - IC Forecast'!$AM$2</c:f>
              <c:strCache>
                <c:ptCount val="1"/>
                <c:pt idx="0">
                  <c:v>Exponential Smoothing [α = 0.5] (Forecast)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Forecast'!$AM$3:$AM$15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844</c:v>
                </c:pt>
                <c:pt idx="3">
                  <c:v>877</c:v>
                </c:pt>
                <c:pt idx="4">
                  <c:v>906.5</c:v>
                </c:pt>
                <c:pt idx="5">
                  <c:v>1049.25</c:v>
                </c:pt>
                <c:pt idx="6">
                  <c:v>1131.125</c:v>
                </c:pt>
                <c:pt idx="7">
                  <c:v>1262.5625</c:v>
                </c:pt>
                <c:pt idx="8">
                  <c:v>1408.78125</c:v>
                </c:pt>
                <c:pt idx="9">
                  <c:v>1475.890625</c:v>
                </c:pt>
                <c:pt idx="10">
                  <c:v>1460.4453125</c:v>
                </c:pt>
                <c:pt idx="11">
                  <c:v>1423.72265625</c:v>
                </c:pt>
                <c:pt idx="12">
                  <c:v>1359.361328125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D-4CC2-A577-13A97B78D10A}"/>
            </c:ext>
          </c:extLst>
        </c:ser>
        <c:ser>
          <c:idx val="4"/>
          <c:order val="4"/>
          <c:tx>
            <c:strRef>
              <c:f>'Task 2 - IC Forecast'!$AN$2</c:f>
              <c:strCache>
                <c:ptCount val="1"/>
                <c:pt idx="0">
                  <c:v>Exponential Smoothing [α = 0.7] (Forecast)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Forecast'!$AN$3:$AN$15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849.59999999999991</c:v>
                </c:pt>
                <c:pt idx="3">
                  <c:v>891.88</c:v>
                </c:pt>
                <c:pt idx="4">
                  <c:v>922.7639999999999</c:v>
                </c:pt>
                <c:pt idx="5">
                  <c:v>1111.2292</c:v>
                </c:pt>
                <c:pt idx="6">
                  <c:v>1182.46876</c:v>
                </c:pt>
                <c:pt idx="7">
                  <c:v>1330.540628</c:v>
                </c:pt>
                <c:pt idx="8">
                  <c:v>1487.6621884000001</c:v>
                </c:pt>
                <c:pt idx="9">
                  <c:v>1526.39865652</c:v>
                </c:pt>
                <c:pt idx="10">
                  <c:v>1469.4195969560001</c:v>
                </c:pt>
                <c:pt idx="11">
                  <c:v>1411.7258790868</c:v>
                </c:pt>
                <c:pt idx="12">
                  <c:v>1330.0177637260399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D-4CC2-A577-13A97B78D10A}"/>
            </c:ext>
          </c:extLst>
        </c:ser>
        <c:ser>
          <c:idx val="5"/>
          <c:order val="5"/>
          <c:tx>
            <c:strRef>
              <c:f>'Task 2 - IC Forecast'!$AO$2</c:f>
              <c:strCache>
                <c:ptCount val="1"/>
                <c:pt idx="0">
                  <c:v>Exponential Smoothing [α = 0.3] (Forecast)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Forecast'!$AO$3:$AO$15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838.4</c:v>
                </c:pt>
                <c:pt idx="3">
                  <c:v>859.88</c:v>
                </c:pt>
                <c:pt idx="4">
                  <c:v>882.71599999999989</c:v>
                </c:pt>
                <c:pt idx="5">
                  <c:v>975.50119999999993</c:v>
                </c:pt>
                <c:pt idx="6">
                  <c:v>1046.7508399999999</c:v>
                </c:pt>
                <c:pt idx="7">
                  <c:v>1150.9255879999998</c:v>
                </c:pt>
                <c:pt idx="8">
                  <c:v>1272.1479115999998</c:v>
                </c:pt>
                <c:pt idx="9">
                  <c:v>1353.4035381199997</c:v>
                </c:pt>
                <c:pt idx="10">
                  <c:v>1380.8824766839998</c:v>
                </c:pt>
                <c:pt idx="11">
                  <c:v>1382.7177336787997</c:v>
                </c:pt>
                <c:pt idx="12">
                  <c:v>1356.4024135751597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D-4CC2-A577-13A97B78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90336"/>
        <c:axId val="1785121536"/>
      </c:lineChart>
      <c:catAx>
        <c:axId val="17850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1536"/>
        <c:crosses val="autoZero"/>
        <c:auto val="1"/>
        <c:lblAlgn val="ctr"/>
        <c:lblOffset val="100"/>
        <c:noMultiLvlLbl val="0"/>
      </c:catAx>
      <c:valAx>
        <c:axId val="1785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</a:t>
            </a:r>
            <a:r>
              <a:rPr lang="en-GB" baseline="0"/>
              <a:t> Exponential Smoothing: </a:t>
            </a:r>
            <a:r>
              <a:rPr lang="en-GB" i="1" u="none" baseline="0"/>
              <a:t>Parameter Optimisation</a:t>
            </a:r>
            <a:endParaRPr lang="en-GB" i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Forecast'!$AR$2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Forecast'!$AR$3:$AR$15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F-4E67-A3CA-8691CDEF56A5}"/>
            </c:ext>
          </c:extLst>
        </c:ser>
        <c:ser>
          <c:idx val="1"/>
          <c:order val="1"/>
          <c:tx>
            <c:strRef>
              <c:f>'Task 2 - IC Forecast'!$AS$2</c:f>
              <c:strCache>
                <c:ptCount val="1"/>
                <c:pt idx="0">
                  <c:v>Exponential Smoothing [α = 0.5]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Forecast'!$AS$3:$AS$15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844</c:v>
                </c:pt>
                <c:pt idx="3">
                  <c:v>877</c:v>
                </c:pt>
                <c:pt idx="4">
                  <c:v>906.5</c:v>
                </c:pt>
                <c:pt idx="5">
                  <c:v>1049.25</c:v>
                </c:pt>
                <c:pt idx="6">
                  <c:v>1131.125</c:v>
                </c:pt>
                <c:pt idx="7">
                  <c:v>1262.5625</c:v>
                </c:pt>
                <c:pt idx="8">
                  <c:v>1408.78125</c:v>
                </c:pt>
                <c:pt idx="9">
                  <c:v>1475.890625</c:v>
                </c:pt>
                <c:pt idx="10">
                  <c:v>1460.4453125</c:v>
                </c:pt>
                <c:pt idx="11">
                  <c:v>1423.72265625</c:v>
                </c:pt>
                <c:pt idx="12">
                  <c:v>1359.361328125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E67-A3CA-8691CDEF56A5}"/>
            </c:ext>
          </c:extLst>
        </c:ser>
        <c:ser>
          <c:idx val="2"/>
          <c:order val="2"/>
          <c:tx>
            <c:strRef>
              <c:f>'Task 2 - IC Forecast'!$AT$2</c:f>
              <c:strCache>
                <c:ptCount val="1"/>
                <c:pt idx="0">
                  <c:v>Exponential Smoothing [α = 0.7] (Forecast)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Forecast'!$AT$3:$AT$15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849.59999999999991</c:v>
                </c:pt>
                <c:pt idx="3">
                  <c:v>891.88</c:v>
                </c:pt>
                <c:pt idx="4">
                  <c:v>922.7639999999999</c:v>
                </c:pt>
                <c:pt idx="5">
                  <c:v>1111.2292</c:v>
                </c:pt>
                <c:pt idx="6">
                  <c:v>1182.46876</c:v>
                </c:pt>
                <c:pt idx="7">
                  <c:v>1330.540628</c:v>
                </c:pt>
                <c:pt idx="8">
                  <c:v>1487.6621884000001</c:v>
                </c:pt>
                <c:pt idx="9">
                  <c:v>1526.39865652</c:v>
                </c:pt>
                <c:pt idx="10">
                  <c:v>1469.4195969560001</c:v>
                </c:pt>
                <c:pt idx="11">
                  <c:v>1411.7258790868</c:v>
                </c:pt>
                <c:pt idx="12">
                  <c:v>1330.0177637260399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F-4E67-A3CA-8691CDEF56A5}"/>
            </c:ext>
          </c:extLst>
        </c:ser>
        <c:ser>
          <c:idx val="3"/>
          <c:order val="3"/>
          <c:tx>
            <c:strRef>
              <c:f>'Task 2 - IC Forecast'!$AU$2</c:f>
              <c:strCache>
                <c:ptCount val="1"/>
                <c:pt idx="0">
                  <c:v>Exponential Smoothing [α = 0.3] (Forecast)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Forecast'!$AU$3:$AU$15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838.4</c:v>
                </c:pt>
                <c:pt idx="3">
                  <c:v>859.88</c:v>
                </c:pt>
                <c:pt idx="4">
                  <c:v>882.71599999999989</c:v>
                </c:pt>
                <c:pt idx="5">
                  <c:v>975.50119999999993</c:v>
                </c:pt>
                <c:pt idx="6">
                  <c:v>1046.7508399999999</c:v>
                </c:pt>
                <c:pt idx="7">
                  <c:v>1150.9255879999998</c:v>
                </c:pt>
                <c:pt idx="8">
                  <c:v>1272.1479115999998</c:v>
                </c:pt>
                <c:pt idx="9">
                  <c:v>1353.4035381199997</c:v>
                </c:pt>
                <c:pt idx="10">
                  <c:v>1380.8824766839998</c:v>
                </c:pt>
                <c:pt idx="11">
                  <c:v>1382.7177336787997</c:v>
                </c:pt>
                <c:pt idx="12">
                  <c:v>1356.4024135751597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F-4E67-A3CA-8691CDEF56A5}"/>
            </c:ext>
          </c:extLst>
        </c:ser>
        <c:ser>
          <c:idx val="4"/>
          <c:order val="4"/>
          <c:tx>
            <c:strRef>
              <c:f>'Task 2 - IC Forecast'!$AV$2</c:f>
              <c:strCache>
                <c:ptCount val="1"/>
                <c:pt idx="0">
                  <c:v>Exponential Smoothing [α = 0.9] (Forecast)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Forecast'!$AV$3:$AV$15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855.2</c:v>
                </c:pt>
                <c:pt idx="3">
                  <c:v>904.52</c:v>
                </c:pt>
                <c:pt idx="4">
                  <c:v>932.85199999999998</c:v>
                </c:pt>
                <c:pt idx="5">
                  <c:v>1166.0852</c:v>
                </c:pt>
                <c:pt idx="6">
                  <c:v>1208.30852</c:v>
                </c:pt>
                <c:pt idx="7">
                  <c:v>1375.4308520000002</c:v>
                </c:pt>
                <c:pt idx="8">
                  <c:v>1537.0430852</c:v>
                </c:pt>
                <c:pt idx="9">
                  <c:v>1542.4043085200001</c:v>
                </c:pt>
                <c:pt idx="10">
                  <c:v>1454.7404308519999</c:v>
                </c:pt>
                <c:pt idx="11">
                  <c:v>1393.7740430852</c:v>
                </c:pt>
                <c:pt idx="12">
                  <c:v>1304.87740430852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F-4E67-A3CA-8691CDEF56A5}"/>
            </c:ext>
          </c:extLst>
        </c:ser>
        <c:ser>
          <c:idx val="5"/>
          <c:order val="5"/>
          <c:tx>
            <c:strRef>
              <c:f>'Task 2 - IC Forecast'!$AW$2</c:f>
              <c:strCache>
                <c:ptCount val="1"/>
                <c:pt idx="0">
                  <c:v>Exponential Smoothing [α = 1] (Forecast)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'Task 2 - IC Forecast'!$AQ$3:$AQ$15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Forecast'!$AW$3:$AW$15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858</c:v>
                </c:pt>
                <c:pt idx="3">
                  <c:v>910</c:v>
                </c:pt>
                <c:pt idx="4">
                  <c:v>936</c:v>
                </c:pt>
                <c:pt idx="5">
                  <c:v>1192</c:v>
                </c:pt>
                <c:pt idx="6">
                  <c:v>1213</c:v>
                </c:pt>
                <c:pt idx="7">
                  <c:v>1394</c:v>
                </c:pt>
                <c:pt idx="8">
                  <c:v>1555</c:v>
                </c:pt>
                <c:pt idx="9">
                  <c:v>1543</c:v>
                </c:pt>
                <c:pt idx="10">
                  <c:v>1445</c:v>
                </c:pt>
                <c:pt idx="11">
                  <c:v>1387</c:v>
                </c:pt>
                <c:pt idx="12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F-4E67-A3CA-8691CDEF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007967"/>
        <c:axId val="1426049567"/>
      </c:lineChart>
      <c:catAx>
        <c:axId val="14260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49567"/>
        <c:crosses val="autoZero"/>
        <c:auto val="1"/>
        <c:lblAlgn val="ctr"/>
        <c:lblOffset val="100"/>
        <c:noMultiLvlLbl val="0"/>
      </c:catAx>
      <c:valAx>
        <c:axId val="14260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Simple Mean (Average) Forecast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Methods'!$B$3:$B$15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Methods'!$C$3:$C$15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E-4556-A1A0-9800533EAD8D}"/>
            </c:ext>
          </c:extLst>
        </c:ser>
        <c:ser>
          <c:idx val="1"/>
          <c:order val="1"/>
          <c:tx>
            <c:strRef>
              <c:f>'Task 3 - More Methods'!$D$2</c:f>
              <c:strCache>
                <c:ptCount val="1"/>
                <c:pt idx="0">
                  <c:v>Simple Mean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Methods'!$B$3:$B$15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Methods'!$D$3:$D$15</c:f>
              <c:numCache>
                <c:formatCode>#,##0</c:formatCode>
                <c:ptCount val="13"/>
                <c:pt idx="1">
                  <c:v>830</c:v>
                </c:pt>
                <c:pt idx="2">
                  <c:v>844</c:v>
                </c:pt>
                <c:pt idx="3">
                  <c:v>866</c:v>
                </c:pt>
                <c:pt idx="4">
                  <c:v>883.5</c:v>
                </c:pt>
                <c:pt idx="5">
                  <c:v>945.2</c:v>
                </c:pt>
                <c:pt idx="6">
                  <c:v>989.83333333333337</c:v>
                </c:pt>
                <c:pt idx="7">
                  <c:v>1047.5714285714287</c:v>
                </c:pt>
                <c:pt idx="8">
                  <c:v>1111</c:v>
                </c:pt>
                <c:pt idx="9">
                  <c:v>1159</c:v>
                </c:pt>
                <c:pt idx="10">
                  <c:v>1187.5999999999999</c:v>
                </c:pt>
                <c:pt idx="11">
                  <c:v>1205.7272727272727</c:v>
                </c:pt>
                <c:pt idx="12">
                  <c:v>1213.1666666666667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E-4556-A1A0-9800533E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Critica Care - </a:t>
            </a:r>
            <a:r>
              <a:rPr lang="en-GB" i="1">
                <a:solidFill>
                  <a:schemeClr val="accent4">
                    <a:lumMod val="75000"/>
                  </a:schemeClr>
                </a:solidFill>
              </a:rPr>
              <a:t>High Dependency </a:t>
            </a:r>
            <a:r>
              <a:rPr lang="en-GB"/>
              <a:t>Care</a:t>
            </a:r>
            <a:r>
              <a:rPr lang="en-GB" baseline="0"/>
              <a:t>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1 - Graph Data'!$D$24</c:f>
              <c:strCache>
                <c:ptCount val="1"/>
                <c:pt idx="0">
                  <c:v>High Dependency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Data'!$D$25:$D$36</c:f>
              <c:numCache>
                <c:formatCode>#,##0</c:formatCode>
                <c:ptCount val="12"/>
                <c:pt idx="0">
                  <c:v>605</c:v>
                </c:pt>
                <c:pt idx="1">
                  <c:v>581</c:v>
                </c:pt>
                <c:pt idx="2">
                  <c:v>538</c:v>
                </c:pt>
                <c:pt idx="3">
                  <c:v>625</c:v>
                </c:pt>
                <c:pt idx="4">
                  <c:v>772</c:v>
                </c:pt>
                <c:pt idx="5">
                  <c:v>705</c:v>
                </c:pt>
                <c:pt idx="6">
                  <c:v>592</c:v>
                </c:pt>
                <c:pt idx="7">
                  <c:v>703</c:v>
                </c:pt>
                <c:pt idx="8">
                  <c:v>937</c:v>
                </c:pt>
                <c:pt idx="9">
                  <c:v>998</c:v>
                </c:pt>
                <c:pt idx="10">
                  <c:v>1014</c:v>
                </c:pt>
                <c:pt idx="11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CC6-9952-00388786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102560"/>
        <c:axId val="1635111296"/>
      </c:bar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(2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Methods'!$C$18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Methods'!$B$19:$B$31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Methods'!$C$19:$C$31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117-99FE-019D758F79FA}"/>
            </c:ext>
          </c:extLst>
        </c:ser>
        <c:ser>
          <c:idx val="1"/>
          <c:order val="1"/>
          <c:tx>
            <c:strRef>
              <c:f>'Task 3 - More Methods'!$D$18</c:f>
              <c:strCache>
                <c:ptCount val="1"/>
                <c:pt idx="0">
                  <c:v>MA(2)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Methods'!$B$19:$B$31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Methods'!$D$19:$D$31</c:f>
              <c:numCache>
                <c:formatCode>#,##0</c:formatCode>
                <c:ptCount val="13"/>
                <c:pt idx="2">
                  <c:v>844</c:v>
                </c:pt>
                <c:pt idx="3">
                  <c:v>884</c:v>
                </c:pt>
                <c:pt idx="4">
                  <c:v>923</c:v>
                </c:pt>
                <c:pt idx="5">
                  <c:v>1064</c:v>
                </c:pt>
                <c:pt idx="6">
                  <c:v>1202.5</c:v>
                </c:pt>
                <c:pt idx="7">
                  <c:v>1303.5</c:v>
                </c:pt>
                <c:pt idx="8">
                  <c:v>1474.5</c:v>
                </c:pt>
                <c:pt idx="9">
                  <c:v>1549</c:v>
                </c:pt>
                <c:pt idx="10">
                  <c:v>1494</c:v>
                </c:pt>
                <c:pt idx="11">
                  <c:v>1416</c:v>
                </c:pt>
                <c:pt idx="12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117-99FE-019D758F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(3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Methods'!$C$34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Methods'!$B$35:$B$47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Methods'!$C$35:$C$47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DBC-A017-5269CCC243CE}"/>
            </c:ext>
          </c:extLst>
        </c:ser>
        <c:ser>
          <c:idx val="1"/>
          <c:order val="1"/>
          <c:tx>
            <c:strRef>
              <c:f>'Task 3 - More Methods'!$D$34</c:f>
              <c:strCache>
                <c:ptCount val="1"/>
                <c:pt idx="0">
                  <c:v>MA(3)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Methods'!$B$35:$B$47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Methods'!$D$35:$D$47</c:f>
              <c:numCache>
                <c:formatCode>#,##0</c:formatCode>
                <c:ptCount val="13"/>
                <c:pt idx="3">
                  <c:v>866</c:v>
                </c:pt>
                <c:pt idx="4">
                  <c:v>901.33333333333337</c:v>
                </c:pt>
                <c:pt idx="5">
                  <c:v>1012.6666666666666</c:v>
                </c:pt>
                <c:pt idx="6">
                  <c:v>1113.6666666666667</c:v>
                </c:pt>
                <c:pt idx="7">
                  <c:v>1266.3333333333333</c:v>
                </c:pt>
                <c:pt idx="8">
                  <c:v>1387.3333333333333</c:v>
                </c:pt>
                <c:pt idx="9">
                  <c:v>1497.3333333333333</c:v>
                </c:pt>
                <c:pt idx="10">
                  <c:v>1514.3333333333333</c:v>
                </c:pt>
                <c:pt idx="11">
                  <c:v>1458.3333333333333</c:v>
                </c:pt>
                <c:pt idx="12">
                  <c:v>1375.6666666666667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2-4DBC-A017-5269CCC24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(4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Methods'!$C$50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Methods'!$B$51:$B$63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Methods'!$C$51:$C$63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6-4FF2-A2C0-0A212A4443B1}"/>
            </c:ext>
          </c:extLst>
        </c:ser>
        <c:ser>
          <c:idx val="1"/>
          <c:order val="1"/>
          <c:tx>
            <c:strRef>
              <c:f>'Task 3 - More Methods'!$D$50</c:f>
              <c:strCache>
                <c:ptCount val="1"/>
                <c:pt idx="0">
                  <c:v>MA(4)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Methods'!$B$51:$B$63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Methods'!$D$51:$D$63</c:f>
              <c:numCache>
                <c:formatCode>#,##0</c:formatCode>
                <c:ptCount val="13"/>
                <c:pt idx="4">
                  <c:v>883.5</c:v>
                </c:pt>
                <c:pt idx="5">
                  <c:v>974</c:v>
                </c:pt>
                <c:pt idx="6">
                  <c:v>1062.75</c:v>
                </c:pt>
                <c:pt idx="7">
                  <c:v>1183.75</c:v>
                </c:pt>
                <c:pt idx="8">
                  <c:v>1338.5</c:v>
                </c:pt>
                <c:pt idx="9">
                  <c:v>1426.25</c:v>
                </c:pt>
                <c:pt idx="10">
                  <c:v>1484.25</c:v>
                </c:pt>
                <c:pt idx="11">
                  <c:v>1482.5</c:v>
                </c:pt>
                <c:pt idx="12">
                  <c:v>1417.5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6-4FF2-A2C0-0A212A44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(5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Methods'!$C$66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Methods'!$B$67:$B$79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Methods'!$C$67:$C$79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E3C-9F93-1AB7C05584BA}"/>
            </c:ext>
          </c:extLst>
        </c:ser>
        <c:ser>
          <c:idx val="1"/>
          <c:order val="1"/>
          <c:tx>
            <c:strRef>
              <c:f>'Task 3 - More Methods'!$D$66</c:f>
              <c:strCache>
                <c:ptCount val="1"/>
                <c:pt idx="0">
                  <c:v>MA(5)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Methods'!$B$67:$B$79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Methods'!$D$67:$D$79</c:f>
              <c:numCache>
                <c:formatCode>#,##0</c:formatCode>
                <c:ptCount val="13"/>
                <c:pt idx="5">
                  <c:v>945.2</c:v>
                </c:pt>
                <c:pt idx="6">
                  <c:v>1021.8</c:v>
                </c:pt>
                <c:pt idx="7">
                  <c:v>1129</c:v>
                </c:pt>
                <c:pt idx="8">
                  <c:v>1258</c:v>
                </c:pt>
                <c:pt idx="9">
                  <c:v>1379.4</c:v>
                </c:pt>
                <c:pt idx="10">
                  <c:v>1430</c:v>
                </c:pt>
                <c:pt idx="11">
                  <c:v>1464.8</c:v>
                </c:pt>
                <c:pt idx="12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E3C-9F93-1AB7C055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(6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Methods'!$C$82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Methods'!$B$83:$B$95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Methods'!$C$83:$C$95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D-4870-B9D1-475ACD8586E8}"/>
            </c:ext>
          </c:extLst>
        </c:ser>
        <c:ser>
          <c:idx val="1"/>
          <c:order val="1"/>
          <c:tx>
            <c:strRef>
              <c:f>'Task 3 - More Methods'!$D$82</c:f>
              <c:strCache>
                <c:ptCount val="1"/>
                <c:pt idx="0">
                  <c:v>MA(6)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Methods'!$B$83:$B$95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Methods'!$D$83:$D$95</c:f>
              <c:numCache>
                <c:formatCode>#,##0</c:formatCode>
                <c:ptCount val="13"/>
                <c:pt idx="6">
                  <c:v>989.83333333333337</c:v>
                </c:pt>
                <c:pt idx="7">
                  <c:v>1083.8333333333333</c:v>
                </c:pt>
                <c:pt idx="8">
                  <c:v>1200</c:v>
                </c:pt>
                <c:pt idx="9">
                  <c:v>1305.5</c:v>
                </c:pt>
                <c:pt idx="10">
                  <c:v>1390.3333333333333</c:v>
                </c:pt>
                <c:pt idx="11">
                  <c:v>1422.8333333333333</c:v>
                </c:pt>
                <c:pt idx="12">
                  <c:v>1436.5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D-4870-B9D1-475ACD85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Moving Average Forecast (7 Year </a:t>
            </a:r>
            <a:r>
              <a:rPr lang="en-GB" baseline="0"/>
              <a:t>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Methods'!$C$98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Methods'!$B$99:$B$111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Methods'!$C$99:$C$111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3-467C-AF3E-29D5B4DFD2BB}"/>
            </c:ext>
          </c:extLst>
        </c:ser>
        <c:ser>
          <c:idx val="1"/>
          <c:order val="1"/>
          <c:tx>
            <c:strRef>
              <c:f>'Task 3 - More Methods'!$D$98</c:f>
              <c:strCache>
                <c:ptCount val="1"/>
                <c:pt idx="0">
                  <c:v>MA(7)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Methods'!$B$99:$B$111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Methods'!$D$99:$D$111</c:f>
              <c:numCache>
                <c:formatCode>#,##0</c:formatCode>
                <c:ptCount val="13"/>
                <c:pt idx="7">
                  <c:v>1047.5714285714287</c:v>
                </c:pt>
                <c:pt idx="8">
                  <c:v>1151.1428571428571</c:v>
                </c:pt>
                <c:pt idx="9">
                  <c:v>1249</c:v>
                </c:pt>
                <c:pt idx="10">
                  <c:v>1325.4285714285713</c:v>
                </c:pt>
                <c:pt idx="11">
                  <c:v>1389.8571428571429</c:v>
                </c:pt>
                <c:pt idx="12">
                  <c:v>1404.5714285714287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3-467C-AF3E-29D5B4DF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55184"/>
        <c:axId val="1150053936"/>
      </c:lineChart>
      <c:catAx>
        <c:axId val="1150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936"/>
        <c:crosses val="autoZero"/>
        <c:auto val="1"/>
        <c:lblAlgn val="ctr"/>
        <c:lblOffset val="100"/>
        <c:noMultiLvlLbl val="0"/>
      </c:catAx>
      <c:valAx>
        <c:axId val="1150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 </a:t>
            </a:r>
            <a:r>
              <a:rPr lang="en-GB" baseline="0"/>
              <a:t>- Weighted Moving Average Forecast (2 Year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Methods'!$S$2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Methods'!$R$3:$R$15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Methods'!$S$3:$S$15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1-4915-A392-A04FC71F0E1C}"/>
            </c:ext>
          </c:extLst>
        </c:ser>
        <c:ser>
          <c:idx val="1"/>
          <c:order val="1"/>
          <c:tx>
            <c:strRef>
              <c:f>'Task 3 - More Methods'!$T$2</c:f>
              <c:strCache>
                <c:ptCount val="1"/>
                <c:pt idx="0">
                  <c:v>WMA(2)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Methods'!$R$3:$R$15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Methods'!$T$3:$T$15</c:f>
              <c:numCache>
                <c:formatCode>#,##0</c:formatCode>
                <c:ptCount val="13"/>
                <c:pt idx="2">
                  <c:v>848.2</c:v>
                </c:pt>
                <c:pt idx="3">
                  <c:v>891.8</c:v>
                </c:pt>
                <c:pt idx="4">
                  <c:v>926.9</c:v>
                </c:pt>
                <c:pt idx="5">
                  <c:v>1102.4000000000001</c:v>
                </c:pt>
                <c:pt idx="6">
                  <c:v>1205.6500000000001</c:v>
                </c:pt>
                <c:pt idx="7">
                  <c:v>1330.65</c:v>
                </c:pt>
                <c:pt idx="8">
                  <c:v>1498.65</c:v>
                </c:pt>
                <c:pt idx="9">
                  <c:v>1547.2</c:v>
                </c:pt>
                <c:pt idx="10">
                  <c:v>1479.3</c:v>
                </c:pt>
                <c:pt idx="11">
                  <c:v>1407.3</c:v>
                </c:pt>
                <c:pt idx="12">
                  <c:v>1327.2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1-4915-A392-A04FC71F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351200"/>
        <c:axId val="1443363264"/>
      </c:lineChart>
      <c:catAx>
        <c:axId val="14433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63264"/>
        <c:crosses val="autoZero"/>
        <c:auto val="1"/>
        <c:lblAlgn val="ctr"/>
        <c:lblOffset val="100"/>
        <c:noMultiLvlLbl val="0"/>
      </c:catAx>
      <c:valAx>
        <c:axId val="1443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 Care </a:t>
            </a:r>
            <a:r>
              <a:rPr lang="en-GB" baseline="0"/>
              <a:t>- Weighted Moving Average Forecast (3 Year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Methods'!$S$18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Methods'!$R$19:$R$31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Methods'!$S$19:$S$31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3-4B81-8D59-07F7A202559B}"/>
            </c:ext>
          </c:extLst>
        </c:ser>
        <c:ser>
          <c:idx val="1"/>
          <c:order val="1"/>
          <c:tx>
            <c:strRef>
              <c:f>'Task 3 - More Methods'!$T$18</c:f>
              <c:strCache>
                <c:ptCount val="1"/>
                <c:pt idx="0">
                  <c:v>WMA(3)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Methods'!$R$19:$R$31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Methods'!$T$19:$T$31</c:f>
              <c:numCache>
                <c:formatCode>#,##0</c:formatCode>
                <c:ptCount val="13"/>
                <c:pt idx="3">
                  <c:v>883.24000000000012</c:v>
                </c:pt>
                <c:pt idx="4">
                  <c:v>918.06000000000017</c:v>
                </c:pt>
                <c:pt idx="5">
                  <c:v>1073.68</c:v>
                </c:pt>
                <c:pt idx="6">
                  <c:v>1172.8300000000002</c:v>
                </c:pt>
                <c:pt idx="7">
                  <c:v>1310.03</c:v>
                </c:pt>
                <c:pt idx="8">
                  <c:v>1460.8300000000002</c:v>
                </c:pt>
                <c:pt idx="9">
                  <c:v>1529.0800000000002</c:v>
                </c:pt>
                <c:pt idx="10">
                  <c:v>1490.54</c:v>
                </c:pt>
                <c:pt idx="11">
                  <c:v>1424.8600000000001</c:v>
                </c:pt>
                <c:pt idx="12">
                  <c:v>1343.3600000000001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3-4B81-8D59-07F7A202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351200"/>
        <c:axId val="1443363264"/>
      </c:lineChart>
      <c:catAx>
        <c:axId val="14433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63264"/>
        <c:crosses val="autoZero"/>
        <c:auto val="1"/>
        <c:lblAlgn val="ctr"/>
        <c:lblOffset val="100"/>
        <c:noMultiLvlLbl val="0"/>
      </c:catAx>
      <c:valAx>
        <c:axId val="1443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</a:t>
            </a:r>
            <a:r>
              <a:rPr lang="en-GB" baseline="0"/>
              <a:t> Weighted Moving Average (4 Year Average Period)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Methods'!$S$34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Methods'!$R$35:$R$47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Methods'!$S$35:$S$47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5-4089-9106-672B976B73E7}"/>
            </c:ext>
          </c:extLst>
        </c:ser>
        <c:ser>
          <c:idx val="1"/>
          <c:order val="1"/>
          <c:tx>
            <c:strRef>
              <c:f>'Task 3 - More Methods'!$T$34</c:f>
              <c:strCache>
                <c:ptCount val="1"/>
                <c:pt idx="0">
                  <c:v>WMA(4)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Methods'!$R$35:$R$47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Methods'!$T$35:$T$47</c:f>
              <c:numCache>
                <c:formatCode>#,##0</c:formatCode>
                <c:ptCount val="13"/>
                <c:pt idx="4">
                  <c:v>907.2</c:v>
                </c:pt>
                <c:pt idx="5">
                  <c:v>1052.3</c:v>
                </c:pt>
                <c:pt idx="6">
                  <c:v>1135.9000000000001</c:v>
                </c:pt>
                <c:pt idx="7">
                  <c:v>1272.6499999999999</c:v>
                </c:pt>
                <c:pt idx="8">
                  <c:v>1427.15</c:v>
                </c:pt>
                <c:pt idx="9">
                  <c:v>1490.6499999999999</c:v>
                </c:pt>
                <c:pt idx="10">
                  <c:v>1480.9</c:v>
                </c:pt>
                <c:pt idx="11">
                  <c:v>1441.7</c:v>
                </c:pt>
                <c:pt idx="12">
                  <c:v>1365.3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5-4089-9106-672B976B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351200"/>
        <c:axId val="1443363264"/>
      </c:lineChart>
      <c:catAx>
        <c:axId val="14433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63264"/>
        <c:crosses val="autoZero"/>
        <c:auto val="1"/>
        <c:lblAlgn val="ctr"/>
        <c:lblOffset val="100"/>
        <c:noMultiLvlLbl val="0"/>
      </c:catAx>
      <c:valAx>
        <c:axId val="14433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 </a:t>
            </a:r>
            <a:r>
              <a:rPr lang="en-GB" baseline="0"/>
              <a:t>- Least Squares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Methods'!$AP$34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Methods'!$AO$35:$AO$47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Methods'!$AP$35:$AP$47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495C-AD11-A7E91436DFDD}"/>
            </c:ext>
          </c:extLst>
        </c:ser>
        <c:ser>
          <c:idx val="1"/>
          <c:order val="1"/>
          <c:tx>
            <c:strRef>
              <c:f>'Task 3 - More Methods'!$AQ$34</c:f>
              <c:strCache>
                <c:ptCount val="1"/>
                <c:pt idx="0">
                  <c:v>Least Squares Method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Methods'!$AO$35:$AO$47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Methods'!$AQ$35:$AQ$47</c:f>
              <c:numCache>
                <c:formatCode>General</c:formatCode>
                <c:ptCount val="13"/>
                <c:pt idx="0">
                  <c:v>868.43589743589746</c:v>
                </c:pt>
                <c:pt idx="1">
                  <c:v>931.11421911421917</c:v>
                </c:pt>
                <c:pt idx="2">
                  <c:v>993.79254079254076</c:v>
                </c:pt>
                <c:pt idx="3">
                  <c:v>1056.4708624708624</c:v>
                </c:pt>
                <c:pt idx="4">
                  <c:v>1119.1491841491843</c:v>
                </c:pt>
                <c:pt idx="5">
                  <c:v>1181.8275058275058</c:v>
                </c:pt>
                <c:pt idx="6">
                  <c:v>1244.5058275058275</c:v>
                </c:pt>
                <c:pt idx="7">
                  <c:v>1307.1841491841492</c:v>
                </c:pt>
                <c:pt idx="8">
                  <c:v>1369.8624708624709</c:v>
                </c:pt>
                <c:pt idx="9">
                  <c:v>1432.5407925407926</c:v>
                </c:pt>
                <c:pt idx="10">
                  <c:v>1495.2191142191141</c:v>
                </c:pt>
                <c:pt idx="11">
                  <c:v>1557.897435897436</c:v>
                </c:pt>
                <c:pt idx="12">
                  <c:v>1620.5757575757575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0-495C-AD11-A7E91436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14320"/>
        <c:axId val="1297708496"/>
      </c:lineChart>
      <c:catAx>
        <c:axId val="12977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08496"/>
        <c:crosses val="autoZero"/>
        <c:auto val="1"/>
        <c:lblAlgn val="ctr"/>
        <c:lblOffset val="100"/>
        <c:noMultiLvlLbl val="0"/>
      </c:catAx>
      <c:valAx>
        <c:axId val="12977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Critical Care -</a:t>
            </a:r>
            <a:r>
              <a:rPr lang="en-GB" baseline="0"/>
              <a:t> </a:t>
            </a:r>
            <a:r>
              <a:rPr lang="en-GB" i="1">
                <a:solidFill>
                  <a:schemeClr val="accent6">
                    <a:lumMod val="75000"/>
                  </a:schemeClr>
                </a:solidFill>
              </a:rPr>
              <a:t>Special Care</a:t>
            </a:r>
            <a:r>
              <a:rPr lang="en-GB" i="1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1 - Graph Data'!$E$24</c:f>
              <c:strCache>
                <c:ptCount val="1"/>
                <c:pt idx="0">
                  <c:v>Special Care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Data'!$E$25:$E$36</c:f>
              <c:numCache>
                <c:formatCode>#,##0</c:formatCode>
                <c:ptCount val="12"/>
                <c:pt idx="0">
                  <c:v>4755</c:v>
                </c:pt>
                <c:pt idx="1">
                  <c:v>4758</c:v>
                </c:pt>
                <c:pt idx="2">
                  <c:v>4596</c:v>
                </c:pt>
                <c:pt idx="3">
                  <c:v>3992</c:v>
                </c:pt>
                <c:pt idx="4">
                  <c:v>4762</c:v>
                </c:pt>
                <c:pt idx="5">
                  <c:v>4525</c:v>
                </c:pt>
                <c:pt idx="6">
                  <c:v>3945</c:v>
                </c:pt>
                <c:pt idx="7">
                  <c:v>3651</c:v>
                </c:pt>
                <c:pt idx="8">
                  <c:v>3944</c:v>
                </c:pt>
                <c:pt idx="9">
                  <c:v>3620</c:v>
                </c:pt>
                <c:pt idx="10">
                  <c:v>3357</c:v>
                </c:pt>
                <c:pt idx="11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2B7-91CF-FFD7F2C7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102560"/>
        <c:axId val="1635111296"/>
      </c:bar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Least</a:t>
            </a:r>
            <a:r>
              <a:rPr lang="en-GB" baseline="0"/>
              <a:t> Squares Forecast (5 Year)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Methods'!$AP$54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Methods'!$AO$55:$AO$60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'Task 3 - More Methods'!$AP$55:$AP$60</c:f>
              <c:numCache>
                <c:formatCode>#,##0</c:formatCode>
                <c:ptCount val="6"/>
                <c:pt idx="0">
                  <c:v>1555</c:v>
                </c:pt>
                <c:pt idx="1">
                  <c:v>1543</c:v>
                </c:pt>
                <c:pt idx="2">
                  <c:v>1445</c:v>
                </c:pt>
                <c:pt idx="3">
                  <c:v>1387</c:v>
                </c:pt>
                <c:pt idx="4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759-8EA2-AE59103DB913}"/>
            </c:ext>
          </c:extLst>
        </c:ser>
        <c:ser>
          <c:idx val="1"/>
          <c:order val="1"/>
          <c:tx>
            <c:strRef>
              <c:f>'Task 3 - More Methods'!$AQ$54</c:f>
              <c:strCache>
                <c:ptCount val="1"/>
                <c:pt idx="0">
                  <c:v>Least Squares Method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Methods'!$AO$55:$AO$60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'Task 3 - More Methods'!$AQ$55:$AQ$60</c:f>
              <c:numCache>
                <c:formatCode>General</c:formatCode>
                <c:ptCount val="6"/>
                <c:pt idx="0">
                  <c:v>1580.2</c:v>
                </c:pt>
                <c:pt idx="1">
                  <c:v>1512.6</c:v>
                </c:pt>
                <c:pt idx="2">
                  <c:v>1445</c:v>
                </c:pt>
                <c:pt idx="3">
                  <c:v>1377.4</c:v>
                </c:pt>
                <c:pt idx="4">
                  <c:v>1309.8</c:v>
                </c:pt>
                <c:pt idx="5">
                  <c:v>1242.2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F-4759-8EA2-AE59103DB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09328"/>
        <c:axId val="1297739696"/>
      </c:lineChart>
      <c:catAx>
        <c:axId val="12977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39696"/>
        <c:crosses val="autoZero"/>
        <c:auto val="1"/>
        <c:lblAlgn val="ctr"/>
        <c:lblOffset val="100"/>
        <c:noMultiLvlLbl val="0"/>
      </c:catAx>
      <c:valAx>
        <c:axId val="12977396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Naive With Trend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Methods'!$AJ$2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Methods'!$AJ$3:$AJ$15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014-BB92-48ABBDE029A3}"/>
            </c:ext>
          </c:extLst>
        </c:ser>
        <c:ser>
          <c:idx val="1"/>
          <c:order val="1"/>
          <c:tx>
            <c:strRef>
              <c:f>'Task 3 - More Methods'!$AK$2</c:f>
              <c:strCache>
                <c:ptCount val="1"/>
                <c:pt idx="0">
                  <c:v>Naïve With Trend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Methods'!$AI$3:$AI$15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More Methods'!$AK$3:$AK$15</c:f>
              <c:numCache>
                <c:formatCode>#,##0</c:formatCode>
                <c:ptCount val="13"/>
                <c:pt idx="2">
                  <c:v>886</c:v>
                </c:pt>
                <c:pt idx="3">
                  <c:v>962</c:v>
                </c:pt>
                <c:pt idx="4">
                  <c:v>962</c:v>
                </c:pt>
                <c:pt idx="5">
                  <c:v>1448</c:v>
                </c:pt>
                <c:pt idx="6">
                  <c:v>1234</c:v>
                </c:pt>
                <c:pt idx="7">
                  <c:v>1575</c:v>
                </c:pt>
                <c:pt idx="8">
                  <c:v>1716</c:v>
                </c:pt>
                <c:pt idx="9">
                  <c:v>1531</c:v>
                </c:pt>
                <c:pt idx="10">
                  <c:v>1347</c:v>
                </c:pt>
                <c:pt idx="11">
                  <c:v>1329</c:v>
                </c:pt>
                <c:pt idx="12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014-BB92-48ABBDE0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6272"/>
        <c:axId val="1289516688"/>
      </c:lineChart>
      <c:catAx>
        <c:axId val="12895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6688"/>
        <c:crosses val="autoZero"/>
        <c:auto val="1"/>
        <c:lblAlgn val="ctr"/>
        <c:lblOffset val="100"/>
        <c:noMultiLvlLbl val="0"/>
      </c:catAx>
      <c:valAx>
        <c:axId val="12895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- Naive With Trend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3 - More Methods'!$AJ$2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Methods'!$AI$19:$AI$24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'Task 3 - More Methods'!$AJ$19:$AJ$24</c:f>
              <c:numCache>
                <c:formatCode>#,##0</c:formatCode>
                <c:ptCount val="6"/>
                <c:pt idx="0">
                  <c:v>1555</c:v>
                </c:pt>
                <c:pt idx="1">
                  <c:v>1543</c:v>
                </c:pt>
                <c:pt idx="2">
                  <c:v>1445</c:v>
                </c:pt>
                <c:pt idx="3">
                  <c:v>1387</c:v>
                </c:pt>
                <c:pt idx="4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4-4368-AE30-FF35926DDD9B}"/>
            </c:ext>
          </c:extLst>
        </c:ser>
        <c:ser>
          <c:idx val="1"/>
          <c:order val="1"/>
          <c:tx>
            <c:strRef>
              <c:f>'Task 3 - More Methods'!$AK$2</c:f>
              <c:strCache>
                <c:ptCount val="1"/>
                <c:pt idx="0">
                  <c:v>Naïve With Trend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More Methods'!$AI$19:$AI$24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'Task 3 - More Methods'!$AK$19:$AK$24</c:f>
              <c:numCache>
                <c:formatCode>#,##0</c:formatCode>
                <c:ptCount val="6"/>
                <c:pt idx="2">
                  <c:v>1531</c:v>
                </c:pt>
                <c:pt idx="3">
                  <c:v>1347</c:v>
                </c:pt>
                <c:pt idx="4">
                  <c:v>1329</c:v>
                </c:pt>
                <c:pt idx="5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4-4368-AE30-FF35926D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6272"/>
        <c:axId val="1289516688"/>
      </c:lineChart>
      <c:catAx>
        <c:axId val="12895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6688"/>
        <c:crosses val="autoZero"/>
        <c:auto val="1"/>
        <c:lblAlgn val="ctr"/>
        <c:lblOffset val="100"/>
        <c:noMultiLvlLbl val="0"/>
      </c:catAx>
      <c:valAx>
        <c:axId val="128951668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</a:t>
            </a: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Intensive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 Care </a:t>
            </a:r>
            <a:r>
              <a:rPr lang="en-GB" baseline="0"/>
              <a:t>- Holt's Linear Trend Method (</a:t>
            </a:r>
            <a:r>
              <a:rPr lang="el-GR" baseline="0"/>
              <a:t>α</a:t>
            </a:r>
            <a:r>
              <a:rPr lang="en-GB" baseline="0"/>
              <a:t> = 0.63 | </a:t>
            </a:r>
            <a:r>
              <a:rPr lang="el-GR" baseline="0"/>
              <a:t>β</a:t>
            </a:r>
            <a:r>
              <a:rPr lang="en-GB" baseline="0"/>
              <a:t> = 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'Task 3 - Holt''s Method'!$C$5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3 - Holt''s Method'!$B$6:$B$18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Holt''s Method'!$C$6:$C$18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9-408F-A7F1-820E916CEFA6}"/>
            </c:ext>
          </c:extLst>
        </c:ser>
        <c:ser>
          <c:idx val="2"/>
          <c:order val="1"/>
          <c:tx>
            <c:strRef>
              <c:f>'Task 3 - Holt''s Method'!$F$5</c:f>
              <c:strCache>
                <c:ptCount val="1"/>
                <c:pt idx="0">
                  <c:v>Holt's Method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Holt''s Method'!$B$6:$B$18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3 - Holt''s Method'!$F$6:$F$18</c:f>
              <c:numCache>
                <c:formatCode>General</c:formatCode>
                <c:ptCount val="13"/>
                <c:pt idx="2" formatCode="#,##0">
                  <c:v>886</c:v>
                </c:pt>
                <c:pt idx="3" formatCode="#,##0">
                  <c:v>944.23662227259797</c:v>
                </c:pt>
                <c:pt idx="4" formatCode="#,##0">
                  <c:v>976.97794855645486</c:v>
                </c:pt>
                <c:pt idx="5" formatCode="#,##0">
                  <c:v>1285.8052901739325</c:v>
                </c:pt>
                <c:pt idx="6" formatCode="#,##0">
                  <c:v>1367.4594512362069</c:v>
                </c:pt>
                <c:pt idx="7" formatCode="#,##0">
                  <c:v>1528.4131780108278</c:v>
                </c:pt>
                <c:pt idx="8" formatCode="#,##0">
                  <c:v>1706.143880617793</c:v>
                </c:pt>
                <c:pt idx="9" formatCode="#,##0">
                  <c:v>1661.5884273379365</c:v>
                </c:pt>
                <c:pt idx="10" formatCode="#,##0">
                  <c:v>1446.9312024384885</c:v>
                </c:pt>
                <c:pt idx="11" formatCode="#,##0">
                  <c:v>1293.204565144933</c:v>
                </c:pt>
                <c:pt idx="12" formatCode="#,##0">
                  <c:v>1179.4923632999321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9-408F-A7F1-820E916C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77535"/>
        <c:axId val="1124907071"/>
      </c:lineChart>
      <c:catAx>
        <c:axId val="112487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7071"/>
        <c:crosses val="autoZero"/>
        <c:auto val="1"/>
        <c:lblAlgn val="ctr"/>
        <c:lblOffset val="100"/>
        <c:noMultiLvlLbl val="0"/>
      </c:catAx>
      <c:valAx>
        <c:axId val="11249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Babies Born Premature and Mother Smoking While Pregnant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4 - Least Squares Method'!$D$2</c:f>
              <c:strCache>
                <c:ptCount val="1"/>
                <c:pt idx="0">
                  <c:v>Gestational age &lt; 37 weeks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4 - Least Squares Method'!$C$3:$C$17</c:f>
              <c:numCache>
                <c:formatCode>#,##0</c:formatCode>
                <c:ptCount val="15"/>
                <c:pt idx="0">
                  <c:v>567</c:v>
                </c:pt>
                <c:pt idx="1">
                  <c:v>136</c:v>
                </c:pt>
                <c:pt idx="2">
                  <c:v>209</c:v>
                </c:pt>
                <c:pt idx="3">
                  <c:v>602</c:v>
                </c:pt>
                <c:pt idx="4">
                  <c:v>479</c:v>
                </c:pt>
                <c:pt idx="5">
                  <c:v>712</c:v>
                </c:pt>
                <c:pt idx="6">
                  <c:v>1277</c:v>
                </c:pt>
                <c:pt idx="7">
                  <c:v>398</c:v>
                </c:pt>
                <c:pt idx="8">
                  <c:v>943</c:v>
                </c:pt>
                <c:pt idx="9">
                  <c:v>1018</c:v>
                </c:pt>
                <c:pt idx="10">
                  <c:v>11</c:v>
                </c:pt>
                <c:pt idx="11">
                  <c:v>17</c:v>
                </c:pt>
                <c:pt idx="12">
                  <c:v>588</c:v>
                </c:pt>
                <c:pt idx="13">
                  <c:v>23</c:v>
                </c:pt>
                <c:pt idx="14">
                  <c:v>9</c:v>
                </c:pt>
              </c:numCache>
            </c:numRef>
          </c:xVal>
          <c:yVal>
            <c:numRef>
              <c:f>'Task 4 - Least Squares Method'!$D$3:$D$17</c:f>
              <c:numCache>
                <c:formatCode>#,##0</c:formatCode>
                <c:ptCount val="15"/>
                <c:pt idx="0">
                  <c:v>226</c:v>
                </c:pt>
                <c:pt idx="1">
                  <c:v>50</c:v>
                </c:pt>
                <c:pt idx="2">
                  <c:v>83</c:v>
                </c:pt>
                <c:pt idx="3">
                  <c:v>194</c:v>
                </c:pt>
                <c:pt idx="4">
                  <c:v>235</c:v>
                </c:pt>
                <c:pt idx="5">
                  <c:v>355</c:v>
                </c:pt>
                <c:pt idx="6">
                  <c:v>840</c:v>
                </c:pt>
                <c:pt idx="7">
                  <c:v>153</c:v>
                </c:pt>
                <c:pt idx="8">
                  <c:v>411</c:v>
                </c:pt>
                <c:pt idx="9">
                  <c:v>476</c:v>
                </c:pt>
                <c:pt idx="10">
                  <c:v>15</c:v>
                </c:pt>
                <c:pt idx="11">
                  <c:v>9</c:v>
                </c:pt>
                <c:pt idx="12">
                  <c:v>266</c:v>
                </c:pt>
                <c:pt idx="13">
                  <c:v>12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F-4079-8D4D-4CF3E374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97120"/>
        <c:axId val="1591879648"/>
      </c:scatterChart>
      <c:valAx>
        <c:axId val="15918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Mothers</a:t>
                </a:r>
                <a:r>
                  <a:rPr lang="en-GB" baseline="0"/>
                  <a:t> Smoking during Pregnancy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79648"/>
        <c:crosses val="autoZero"/>
        <c:crossBetween val="midCat"/>
      </c:valAx>
      <c:valAx>
        <c:axId val="1591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Babies Born Prematurely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Relationship between Babies Born Premature and Mother Smoking While Pregnant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4 - Least Squares Method'!$J$20</c:f>
              <c:strCache>
                <c:ptCount val="1"/>
                <c:pt idx="0">
                  <c:v>Gestational age &lt; 37 weeks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4 - Least Squares Method'!$I$21:$I$35</c:f>
              <c:numCache>
                <c:formatCode>#,##0</c:formatCode>
                <c:ptCount val="15"/>
                <c:pt idx="0">
                  <c:v>567</c:v>
                </c:pt>
                <c:pt idx="1">
                  <c:v>136</c:v>
                </c:pt>
                <c:pt idx="2">
                  <c:v>209</c:v>
                </c:pt>
                <c:pt idx="3">
                  <c:v>602</c:v>
                </c:pt>
                <c:pt idx="4">
                  <c:v>479</c:v>
                </c:pt>
                <c:pt idx="5">
                  <c:v>712</c:v>
                </c:pt>
                <c:pt idx="6">
                  <c:v>1277</c:v>
                </c:pt>
                <c:pt idx="7">
                  <c:v>398</c:v>
                </c:pt>
                <c:pt idx="8">
                  <c:v>943</c:v>
                </c:pt>
                <c:pt idx="9">
                  <c:v>1018</c:v>
                </c:pt>
                <c:pt idx="10">
                  <c:v>11</c:v>
                </c:pt>
                <c:pt idx="11">
                  <c:v>17</c:v>
                </c:pt>
                <c:pt idx="12">
                  <c:v>588</c:v>
                </c:pt>
                <c:pt idx="13">
                  <c:v>23</c:v>
                </c:pt>
                <c:pt idx="14">
                  <c:v>9</c:v>
                </c:pt>
              </c:numCache>
            </c:numRef>
          </c:xVal>
          <c:yVal>
            <c:numRef>
              <c:f>'Task 4 - Least Squares Method'!$J$21:$J$35</c:f>
              <c:numCache>
                <c:formatCode>#,##0</c:formatCode>
                <c:ptCount val="15"/>
                <c:pt idx="0">
                  <c:v>226</c:v>
                </c:pt>
                <c:pt idx="1">
                  <c:v>50</c:v>
                </c:pt>
                <c:pt idx="2">
                  <c:v>83</c:v>
                </c:pt>
                <c:pt idx="3">
                  <c:v>194</c:v>
                </c:pt>
                <c:pt idx="4">
                  <c:v>235</c:v>
                </c:pt>
                <c:pt idx="5">
                  <c:v>355</c:v>
                </c:pt>
                <c:pt idx="6">
                  <c:v>840</c:v>
                </c:pt>
                <c:pt idx="7">
                  <c:v>153</c:v>
                </c:pt>
                <c:pt idx="8">
                  <c:v>411</c:v>
                </c:pt>
                <c:pt idx="9">
                  <c:v>476</c:v>
                </c:pt>
                <c:pt idx="10">
                  <c:v>15</c:v>
                </c:pt>
                <c:pt idx="11">
                  <c:v>9</c:v>
                </c:pt>
                <c:pt idx="12">
                  <c:v>266</c:v>
                </c:pt>
                <c:pt idx="13">
                  <c:v>12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0-4C87-8286-63EF1637F518}"/>
            </c:ext>
          </c:extLst>
        </c:ser>
        <c:ser>
          <c:idx val="1"/>
          <c:order val="1"/>
          <c:tx>
            <c:strRef>
              <c:f>'Task 4 - Least Squares Method'!$K$20</c:f>
              <c:strCache>
                <c:ptCount val="1"/>
                <c:pt idx="0">
                  <c:v>Regression Line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'Task 4 - Least Squares Method'!$I$21:$I$35</c:f>
              <c:numCache>
                <c:formatCode>#,##0</c:formatCode>
                <c:ptCount val="15"/>
                <c:pt idx="0">
                  <c:v>567</c:v>
                </c:pt>
                <c:pt idx="1">
                  <c:v>136</c:v>
                </c:pt>
                <c:pt idx="2">
                  <c:v>209</c:v>
                </c:pt>
                <c:pt idx="3">
                  <c:v>602</c:v>
                </c:pt>
                <c:pt idx="4">
                  <c:v>479</c:v>
                </c:pt>
                <c:pt idx="5">
                  <c:v>712</c:v>
                </c:pt>
                <c:pt idx="6">
                  <c:v>1277</c:v>
                </c:pt>
                <c:pt idx="7">
                  <c:v>398</c:v>
                </c:pt>
                <c:pt idx="8">
                  <c:v>943</c:v>
                </c:pt>
                <c:pt idx="9">
                  <c:v>1018</c:v>
                </c:pt>
                <c:pt idx="10">
                  <c:v>11</c:v>
                </c:pt>
                <c:pt idx="11">
                  <c:v>17</c:v>
                </c:pt>
                <c:pt idx="12">
                  <c:v>588</c:v>
                </c:pt>
                <c:pt idx="13">
                  <c:v>23</c:v>
                </c:pt>
                <c:pt idx="14">
                  <c:v>9</c:v>
                </c:pt>
              </c:numCache>
            </c:numRef>
          </c:xVal>
          <c:yVal>
            <c:numRef>
              <c:f>'Task 4 - Least Squares Method'!$K$21:$K$35</c:f>
              <c:numCache>
                <c:formatCode>General</c:formatCode>
                <c:ptCount val="15"/>
                <c:pt idx="0">
                  <c:v>277.45144962715614</c:v>
                </c:pt>
                <c:pt idx="1">
                  <c:v>43.536791421638682</c:v>
                </c:pt>
                <c:pt idx="2">
                  <c:v>83.155747451807528</c:v>
                </c:pt>
                <c:pt idx="3">
                  <c:v>296.44683950463434</c:v>
                </c:pt>
                <c:pt idx="4">
                  <c:v>229.69161222092521</c:v>
                </c:pt>
                <c:pt idx="5">
                  <c:v>356.14663626242299</c:v>
                </c:pt>
                <c:pt idx="6">
                  <c:v>662.78650142742845</c:v>
                </c:pt>
                <c:pt idx="7">
                  <c:v>185.73085279018989</c:v>
                </c:pt>
                <c:pt idx="8">
                  <c:v>481.5162094537792</c:v>
                </c:pt>
                <c:pt idx="9">
                  <c:v>522.22061633408975</c:v>
                </c:pt>
                <c:pt idx="10">
                  <c:v>-24.303886712212083</c:v>
                </c:pt>
                <c:pt idx="11">
                  <c:v>-21.047534161787247</c:v>
                </c:pt>
                <c:pt idx="12">
                  <c:v>288.84868355364307</c:v>
                </c:pt>
                <c:pt idx="13">
                  <c:v>-17.791181611362411</c:v>
                </c:pt>
                <c:pt idx="14">
                  <c:v>-25.389337562353695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0-4C87-8286-63EF1637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34400"/>
        <c:axId val="1351135232"/>
      </c:scatterChart>
      <c:valAx>
        <c:axId val="13511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Mothers Smoking During Pregnancy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35232"/>
        <c:crosses val="autoZero"/>
        <c:crossBetween val="midCat"/>
      </c:valAx>
      <c:valAx>
        <c:axId val="13511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Babies Born Prematurely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Critical Care - All Time Series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1 - Graph Data'!$C$24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Data'!$C$25:$C$36</c:f>
              <c:numCache>
                <c:formatCode>#,##0</c:formatCode>
                <c:ptCount val="12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8C9-9F9B-AB91258AEBD9}"/>
            </c:ext>
          </c:extLst>
        </c:ser>
        <c:ser>
          <c:idx val="1"/>
          <c:order val="1"/>
          <c:tx>
            <c:strRef>
              <c:f>'Task 1 - Graph Data'!$D$24</c:f>
              <c:strCache>
                <c:ptCount val="1"/>
                <c:pt idx="0">
                  <c:v>High Dependency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Data'!$D$25:$D$36</c:f>
              <c:numCache>
                <c:formatCode>#,##0</c:formatCode>
                <c:ptCount val="12"/>
                <c:pt idx="0">
                  <c:v>605</c:v>
                </c:pt>
                <c:pt idx="1">
                  <c:v>581</c:v>
                </c:pt>
                <c:pt idx="2">
                  <c:v>538</c:v>
                </c:pt>
                <c:pt idx="3">
                  <c:v>625</c:v>
                </c:pt>
                <c:pt idx="4">
                  <c:v>772</c:v>
                </c:pt>
                <c:pt idx="5">
                  <c:v>705</c:v>
                </c:pt>
                <c:pt idx="6">
                  <c:v>592</c:v>
                </c:pt>
                <c:pt idx="7">
                  <c:v>703</c:v>
                </c:pt>
                <c:pt idx="8">
                  <c:v>937</c:v>
                </c:pt>
                <c:pt idx="9">
                  <c:v>998</c:v>
                </c:pt>
                <c:pt idx="10">
                  <c:v>1014</c:v>
                </c:pt>
                <c:pt idx="11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8C9-9F9B-AB91258AEBD9}"/>
            </c:ext>
          </c:extLst>
        </c:ser>
        <c:ser>
          <c:idx val="2"/>
          <c:order val="2"/>
          <c:tx>
            <c:strRef>
              <c:f>'Task 1 - Graph Data'!$E$24</c:f>
              <c:strCache>
                <c:ptCount val="1"/>
                <c:pt idx="0">
                  <c:v>Special Care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Data'!$E$25:$E$36</c:f>
              <c:numCache>
                <c:formatCode>#,##0</c:formatCode>
                <c:ptCount val="12"/>
                <c:pt idx="0">
                  <c:v>4755</c:v>
                </c:pt>
                <c:pt idx="1">
                  <c:v>4758</c:v>
                </c:pt>
                <c:pt idx="2">
                  <c:v>4596</c:v>
                </c:pt>
                <c:pt idx="3">
                  <c:v>3992</c:v>
                </c:pt>
                <c:pt idx="4">
                  <c:v>4762</c:v>
                </c:pt>
                <c:pt idx="5">
                  <c:v>4525</c:v>
                </c:pt>
                <c:pt idx="6">
                  <c:v>3945</c:v>
                </c:pt>
                <c:pt idx="7">
                  <c:v>3651</c:v>
                </c:pt>
                <c:pt idx="8">
                  <c:v>3944</c:v>
                </c:pt>
                <c:pt idx="9">
                  <c:v>3620</c:v>
                </c:pt>
                <c:pt idx="10">
                  <c:v>3357</c:v>
                </c:pt>
                <c:pt idx="11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1-48C9-9F9B-AB91258A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90080"/>
        <c:axId val="1718583008"/>
      </c:barChart>
      <c:catAx>
        <c:axId val="17185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83008"/>
        <c:crosses val="autoZero"/>
        <c:auto val="1"/>
        <c:lblAlgn val="ctr"/>
        <c:lblOffset val="100"/>
        <c:noMultiLvlLbl val="0"/>
      </c:catAx>
      <c:valAx>
        <c:axId val="1718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Critical Care - All</a:t>
            </a:r>
            <a:r>
              <a:rPr lang="en-GB" baseline="0"/>
              <a:t> Time Series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1 - Graph Data'!$C$24</c:f>
              <c:strCache>
                <c:ptCount val="1"/>
                <c:pt idx="0">
                  <c:v>Intensive Care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Data'!$C$25:$C$36</c:f>
              <c:numCache>
                <c:formatCode>#,##0</c:formatCode>
                <c:ptCount val="12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505-B853-558C47AE79F8}"/>
            </c:ext>
          </c:extLst>
        </c:ser>
        <c:ser>
          <c:idx val="1"/>
          <c:order val="1"/>
          <c:tx>
            <c:strRef>
              <c:f>'Task 1 - Graph Data'!$D$24</c:f>
              <c:strCache>
                <c:ptCount val="1"/>
                <c:pt idx="0">
                  <c:v>High Dependency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Data'!$D$25:$D$36</c:f>
              <c:numCache>
                <c:formatCode>#,##0</c:formatCode>
                <c:ptCount val="12"/>
                <c:pt idx="0">
                  <c:v>605</c:v>
                </c:pt>
                <c:pt idx="1">
                  <c:v>581</c:v>
                </c:pt>
                <c:pt idx="2">
                  <c:v>538</c:v>
                </c:pt>
                <c:pt idx="3">
                  <c:v>625</c:v>
                </c:pt>
                <c:pt idx="4">
                  <c:v>772</c:v>
                </c:pt>
                <c:pt idx="5">
                  <c:v>705</c:v>
                </c:pt>
                <c:pt idx="6">
                  <c:v>592</c:v>
                </c:pt>
                <c:pt idx="7">
                  <c:v>703</c:v>
                </c:pt>
                <c:pt idx="8">
                  <c:v>937</c:v>
                </c:pt>
                <c:pt idx="9">
                  <c:v>998</c:v>
                </c:pt>
                <c:pt idx="10">
                  <c:v>1014</c:v>
                </c:pt>
                <c:pt idx="11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505-B853-558C47AE79F8}"/>
            </c:ext>
          </c:extLst>
        </c:ser>
        <c:ser>
          <c:idx val="2"/>
          <c:order val="2"/>
          <c:tx>
            <c:strRef>
              <c:f>'Task 1 - Graph Data'!$E$24</c:f>
              <c:strCache>
                <c:ptCount val="1"/>
                <c:pt idx="0">
                  <c:v>Special 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Data'!$E$25:$E$36</c:f>
              <c:numCache>
                <c:formatCode>#,##0</c:formatCode>
                <c:ptCount val="12"/>
                <c:pt idx="0">
                  <c:v>4755</c:v>
                </c:pt>
                <c:pt idx="1">
                  <c:v>4758</c:v>
                </c:pt>
                <c:pt idx="2">
                  <c:v>4596</c:v>
                </c:pt>
                <c:pt idx="3">
                  <c:v>3992</c:v>
                </c:pt>
                <c:pt idx="4">
                  <c:v>4762</c:v>
                </c:pt>
                <c:pt idx="5">
                  <c:v>4525</c:v>
                </c:pt>
                <c:pt idx="6">
                  <c:v>3945</c:v>
                </c:pt>
                <c:pt idx="7">
                  <c:v>3651</c:v>
                </c:pt>
                <c:pt idx="8">
                  <c:v>3944</c:v>
                </c:pt>
                <c:pt idx="9">
                  <c:v>3620</c:v>
                </c:pt>
                <c:pt idx="10">
                  <c:v>3357</c:v>
                </c:pt>
                <c:pt idx="11">
                  <c:v>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2-4505-B853-558C47AE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40656"/>
        <c:axId val="1813342736"/>
      </c:lineChart>
      <c:catAx>
        <c:axId val="18133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42736"/>
        <c:crosses val="autoZero"/>
        <c:auto val="1"/>
        <c:lblAlgn val="ctr"/>
        <c:lblOffset val="100"/>
        <c:noMultiLvlLbl val="0"/>
      </c:catAx>
      <c:valAx>
        <c:axId val="18133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Critical Care - </a:t>
            </a:r>
            <a:r>
              <a:rPr lang="en-GB" i="1">
                <a:solidFill>
                  <a:schemeClr val="accent2">
                    <a:lumMod val="75000"/>
                  </a:schemeClr>
                </a:solidFill>
              </a:rPr>
              <a:t>Intensive Care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1 - Graph Data'!$C$24</c:f>
              <c:strCache>
                <c:ptCount val="1"/>
                <c:pt idx="0">
                  <c:v>Intensive Care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Data'!$C$25:$C$36</c:f>
              <c:numCache>
                <c:formatCode>#,##0</c:formatCode>
                <c:ptCount val="12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918-ADAF-1B1254B3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2560"/>
        <c:axId val="1635111296"/>
      </c:line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Critica Care - </a:t>
            </a:r>
            <a:r>
              <a:rPr lang="en-GB" i="1">
                <a:solidFill>
                  <a:schemeClr val="accent4">
                    <a:lumMod val="75000"/>
                  </a:schemeClr>
                </a:solidFill>
              </a:rPr>
              <a:t>High Dependency </a:t>
            </a:r>
            <a:r>
              <a:rPr lang="en-GB"/>
              <a:t>Care</a:t>
            </a:r>
            <a:r>
              <a:rPr lang="en-GB" baseline="0"/>
              <a:t>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1 - Graph Data'!$D$24</c:f>
              <c:strCache>
                <c:ptCount val="1"/>
                <c:pt idx="0">
                  <c:v>High Dependency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Data'!$D$25:$D$36</c:f>
              <c:numCache>
                <c:formatCode>#,##0</c:formatCode>
                <c:ptCount val="12"/>
                <c:pt idx="0">
                  <c:v>605</c:v>
                </c:pt>
                <c:pt idx="1">
                  <c:v>581</c:v>
                </c:pt>
                <c:pt idx="2">
                  <c:v>538</c:v>
                </c:pt>
                <c:pt idx="3">
                  <c:v>625</c:v>
                </c:pt>
                <c:pt idx="4">
                  <c:v>772</c:v>
                </c:pt>
                <c:pt idx="5">
                  <c:v>705</c:v>
                </c:pt>
                <c:pt idx="6">
                  <c:v>592</c:v>
                </c:pt>
                <c:pt idx="7">
                  <c:v>703</c:v>
                </c:pt>
                <c:pt idx="8">
                  <c:v>937</c:v>
                </c:pt>
                <c:pt idx="9">
                  <c:v>998</c:v>
                </c:pt>
                <c:pt idx="10">
                  <c:v>1014</c:v>
                </c:pt>
                <c:pt idx="11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0-46D7-9AAD-B10CA77B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2560"/>
        <c:axId val="1635111296"/>
      </c:line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 Critical Care -</a:t>
            </a:r>
            <a:r>
              <a:rPr lang="en-GB" baseline="0"/>
              <a:t> </a:t>
            </a:r>
            <a:r>
              <a:rPr lang="en-GB" i="1">
                <a:solidFill>
                  <a:schemeClr val="accent6">
                    <a:lumMod val="75000"/>
                  </a:schemeClr>
                </a:solidFill>
              </a:rPr>
              <a:t>Special Care</a:t>
            </a:r>
            <a:r>
              <a:rPr lang="en-GB" i="1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GB"/>
              <a:t>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1 - Graph Data'!$E$24</c:f>
              <c:strCache>
                <c:ptCount val="1"/>
                <c:pt idx="0">
                  <c:v>Special 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'Task 1 - Graph Data'!$B$25:$B$36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'Task 1 - Graph Data'!$E$25:$E$36</c:f>
              <c:numCache>
                <c:formatCode>#,##0</c:formatCode>
                <c:ptCount val="12"/>
                <c:pt idx="0">
                  <c:v>4755</c:v>
                </c:pt>
                <c:pt idx="1">
                  <c:v>4758</c:v>
                </c:pt>
                <c:pt idx="2">
                  <c:v>4596</c:v>
                </c:pt>
                <c:pt idx="3">
                  <c:v>3992</c:v>
                </c:pt>
                <c:pt idx="4">
                  <c:v>4762</c:v>
                </c:pt>
                <c:pt idx="5">
                  <c:v>4525</c:v>
                </c:pt>
                <c:pt idx="6">
                  <c:v>3945</c:v>
                </c:pt>
                <c:pt idx="7">
                  <c:v>3651</c:v>
                </c:pt>
                <c:pt idx="8">
                  <c:v>3944</c:v>
                </c:pt>
                <c:pt idx="9">
                  <c:v>3620</c:v>
                </c:pt>
                <c:pt idx="10">
                  <c:v>3357</c:v>
                </c:pt>
                <c:pt idx="11">
                  <c:v>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128-8D7B-D8B89F6A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2560"/>
        <c:axId val="1635111296"/>
      </c:lineChart>
      <c:catAx>
        <c:axId val="16351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296"/>
        <c:crosses val="autoZero"/>
        <c:auto val="1"/>
        <c:lblAlgn val="ctr"/>
        <c:lblOffset val="100"/>
        <c:noMultiLvlLbl val="0"/>
      </c:catAx>
      <c:valAx>
        <c:axId val="16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Neonatal</a:t>
            </a:r>
            <a:r>
              <a:rPr lang="en-GB" baseline="0"/>
              <a:t> </a:t>
            </a:r>
            <a:r>
              <a:rPr lang="en-GB" baseline="0">
                <a:solidFill>
                  <a:schemeClr val="accent2">
                    <a:lumMod val="75000"/>
                  </a:schemeClr>
                </a:solidFill>
              </a:rPr>
              <a:t>Intensive Care</a:t>
            </a:r>
            <a:r>
              <a:rPr lang="en-GB" baseline="0"/>
              <a:t> - Exponential Smoothing Forecast (</a:t>
            </a:r>
            <a:r>
              <a:rPr lang="el-GR" baseline="0"/>
              <a:t>α = 0.5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2 - IC Forecast'!$S$2</c:f>
              <c:strCache>
                <c:ptCount val="1"/>
                <c:pt idx="0">
                  <c:v>Intensive Care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Forecast'!$R$3:$R$15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Forecast'!$S$3:$S$15</c:f>
              <c:numCache>
                <c:formatCode>#,##0</c:formatCode>
                <c:ptCount val="13"/>
                <c:pt idx="0">
                  <c:v>830</c:v>
                </c:pt>
                <c:pt idx="1">
                  <c:v>858</c:v>
                </c:pt>
                <c:pt idx="2">
                  <c:v>910</c:v>
                </c:pt>
                <c:pt idx="3">
                  <c:v>936</c:v>
                </c:pt>
                <c:pt idx="4">
                  <c:v>1192</c:v>
                </c:pt>
                <c:pt idx="5">
                  <c:v>1213</c:v>
                </c:pt>
                <c:pt idx="6">
                  <c:v>1394</c:v>
                </c:pt>
                <c:pt idx="7">
                  <c:v>1555</c:v>
                </c:pt>
                <c:pt idx="8">
                  <c:v>1543</c:v>
                </c:pt>
                <c:pt idx="9">
                  <c:v>1445</c:v>
                </c:pt>
                <c:pt idx="10">
                  <c:v>1387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F-41DD-BAAA-FAD8CE65576F}"/>
            </c:ext>
          </c:extLst>
        </c:ser>
        <c:ser>
          <c:idx val="1"/>
          <c:order val="1"/>
          <c:tx>
            <c:strRef>
              <c:f>'Task 2 - IC Forecast'!$T$2</c:f>
              <c:strCache>
                <c:ptCount val="1"/>
                <c:pt idx="0">
                  <c:v>Exponential Smoothing [α = 0.5]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2 - IC Forecast'!$R$3:$R$15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'Task 2 - IC Forecast'!$T$3:$T$15</c:f>
              <c:numCache>
                <c:formatCode>#,##0</c:formatCode>
                <c:ptCount val="13"/>
                <c:pt idx="0">
                  <c:v>830</c:v>
                </c:pt>
                <c:pt idx="1">
                  <c:v>830</c:v>
                </c:pt>
                <c:pt idx="2">
                  <c:v>844</c:v>
                </c:pt>
                <c:pt idx="3">
                  <c:v>877</c:v>
                </c:pt>
                <c:pt idx="4">
                  <c:v>906.5</c:v>
                </c:pt>
                <c:pt idx="5">
                  <c:v>1049.25</c:v>
                </c:pt>
                <c:pt idx="6">
                  <c:v>1131.125</c:v>
                </c:pt>
                <c:pt idx="7">
                  <c:v>1262.5625</c:v>
                </c:pt>
                <c:pt idx="8">
                  <c:v>1408.78125</c:v>
                </c:pt>
                <c:pt idx="9">
                  <c:v>1475.890625</c:v>
                </c:pt>
                <c:pt idx="10">
                  <c:v>1460.4453125</c:v>
                </c:pt>
                <c:pt idx="11">
                  <c:v>1423.72265625</c:v>
                </c:pt>
                <c:pt idx="12">
                  <c:v>1359.361328125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F-41DD-BAAA-FAD8CE65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9216"/>
        <c:axId val="1635095904"/>
      </c:lineChart>
      <c:catAx>
        <c:axId val="16351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5904"/>
        <c:crosses val="autoZero"/>
        <c:auto val="1"/>
        <c:lblAlgn val="ctr"/>
        <c:lblOffset val="100"/>
        <c:noMultiLvlLbl val="0"/>
      </c:catAx>
      <c:valAx>
        <c:axId val="1635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Neonates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10</xdr:col>
      <xdr:colOff>152400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5AFBF-DD8F-46D9-AE1B-24FFDC64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21</xdr:col>
      <xdr:colOff>142876</xdr:colOff>
      <xdr:row>19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2EB6A-26C0-4E51-840E-6BB14107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1</xdr:rowOff>
    </xdr:from>
    <xdr:to>
      <xdr:col>32</xdr:col>
      <xdr:colOff>142876</xdr:colOff>
      <xdr:row>19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713F5-10A2-40A9-82E4-B52DFEC16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20</xdr:row>
      <xdr:rowOff>4761</xdr:rowOff>
    </xdr:from>
    <xdr:to>
      <xdr:col>21</xdr:col>
      <xdr:colOff>142874</xdr:colOff>
      <xdr:row>39</xdr:row>
      <xdr:rowOff>90486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49352-F8A9-46FE-B708-E35F3F56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609599</xdr:colOff>
      <xdr:row>20</xdr:row>
      <xdr:rowOff>4761</xdr:rowOff>
    </xdr:from>
    <xdr:to>
      <xdr:col>32</xdr:col>
      <xdr:colOff>142874</xdr:colOff>
      <xdr:row>39</xdr:row>
      <xdr:rowOff>90486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8462A-F129-421A-A894-FC1C2321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42</xdr:row>
      <xdr:rowOff>4761</xdr:rowOff>
    </xdr:from>
    <xdr:to>
      <xdr:col>10</xdr:col>
      <xdr:colOff>147919</xdr:colOff>
      <xdr:row>60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905D92-B8BB-4018-B53A-0FFB4540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600637</xdr:colOff>
      <xdr:row>42</xdr:row>
      <xdr:rowOff>0</xdr:rowOff>
    </xdr:from>
    <xdr:to>
      <xdr:col>21</xdr:col>
      <xdr:colOff>138395</xdr:colOff>
      <xdr:row>60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03B2D5-24E8-4F66-B0EC-2B930464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600637</xdr:colOff>
      <xdr:row>42</xdr:row>
      <xdr:rowOff>1</xdr:rowOff>
    </xdr:from>
    <xdr:to>
      <xdr:col>32</xdr:col>
      <xdr:colOff>138395</xdr:colOff>
      <xdr:row>60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59CDDD-AE8B-44B7-ACD1-E23048C3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4761</xdr:rowOff>
    </xdr:from>
    <xdr:to>
      <xdr:col>33</xdr:col>
      <xdr:colOff>0</xdr:colOff>
      <xdr:row>14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D51A9-47E2-4CA6-AF0D-0DCF3BF9F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33</xdr:col>
      <xdr:colOff>0</xdr:colOff>
      <xdr:row>30</xdr:row>
      <xdr:rowOff>195263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56D40-BBA4-4899-AF90-847CBDDE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33</xdr:col>
      <xdr:colOff>0</xdr:colOff>
      <xdr:row>46</xdr:row>
      <xdr:rowOff>195263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20558-013A-487C-94CA-1BFB5C12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33</xdr:col>
      <xdr:colOff>0</xdr:colOff>
      <xdr:row>62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159EA8-9F03-4280-B1CD-45B6AD70B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33</xdr:col>
      <xdr:colOff>0</xdr:colOff>
      <xdr:row>78</xdr:row>
      <xdr:rowOff>195263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4C3584-BEE3-4E5F-9151-DC3E601F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33</xdr:col>
      <xdr:colOff>0</xdr:colOff>
      <xdr:row>94</xdr:row>
      <xdr:rowOff>195263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BC151C-089D-4DA2-86ED-2AD93786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4761</xdr:rowOff>
    </xdr:from>
    <xdr:to>
      <xdr:col>8</xdr:col>
      <xdr:colOff>0</xdr:colOff>
      <xdr:row>37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4B0E13-234F-49E3-A007-1835C23D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</xdr:colOff>
      <xdr:row>22</xdr:row>
      <xdr:rowOff>3102</xdr:rowOff>
    </xdr:from>
    <xdr:to>
      <xdr:col>16</xdr:col>
      <xdr:colOff>1</xdr:colOff>
      <xdr:row>37</xdr:row>
      <xdr:rowOff>9526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EB1FD4-C732-4013-ABD3-B6DD416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4762</xdr:colOff>
      <xdr:row>17</xdr:row>
      <xdr:rowOff>4761</xdr:rowOff>
    </xdr:from>
    <xdr:to>
      <xdr:col>46</xdr:col>
      <xdr:colOff>0</xdr:colOff>
      <xdr:row>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2EB079-890F-4AD5-9242-35D882B8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4201</xdr:colOff>
      <xdr:row>48</xdr:row>
      <xdr:rowOff>199744</xdr:rowOff>
    </xdr:from>
    <xdr:to>
      <xdr:col>46</xdr:col>
      <xdr:colOff>0</xdr:colOff>
      <xdr:row>84</xdr:row>
      <xdr:rowOff>51882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75711C-6CD7-4634-ADD8-C5AA6FF1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15</xdr:col>
      <xdr:colOff>306388</xdr:colOff>
      <xdr:row>14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7A7BB-F46B-492B-B7E9-053E6C868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306388</xdr:colOff>
      <xdr:row>30</xdr:row>
      <xdr:rowOff>195263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E8E41-AC6C-48CC-A91F-EE9A81B9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15</xdr:col>
      <xdr:colOff>306388</xdr:colOff>
      <xdr:row>46</xdr:row>
      <xdr:rowOff>195263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08316-5889-403C-B0A4-10383ED8A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15</xdr:col>
      <xdr:colOff>306388</xdr:colOff>
      <xdr:row>62</xdr:row>
      <xdr:rowOff>195263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3B4FC-A1B2-498C-9CAC-4EA056B8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15</xdr:col>
      <xdr:colOff>306388</xdr:colOff>
      <xdr:row>78</xdr:row>
      <xdr:rowOff>195263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47109-21CA-4E7F-B68E-1265296F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306388</xdr:colOff>
      <xdr:row>94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DE641C-9A83-405E-8C27-FA1B29DB2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306388</xdr:colOff>
      <xdr:row>110</xdr:row>
      <xdr:rowOff>195263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6DD09F-E068-4C4E-817A-A2D3A551A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</xdr:row>
      <xdr:rowOff>4761</xdr:rowOff>
    </xdr:from>
    <xdr:to>
      <xdr:col>32</xdr:col>
      <xdr:colOff>534988</xdr:colOff>
      <xdr:row>14</xdr:row>
      <xdr:rowOff>200024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6E69F-3413-4049-BAE4-E8E675EB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534988</xdr:colOff>
      <xdr:row>30</xdr:row>
      <xdr:rowOff>195263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223CC2-4A10-4DB3-A55A-D634907B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32</xdr:col>
      <xdr:colOff>534988</xdr:colOff>
      <xdr:row>46</xdr:row>
      <xdr:rowOff>195263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716749-3ACF-4D6F-AD7A-D31EB201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609599</xdr:colOff>
      <xdr:row>33</xdr:row>
      <xdr:rowOff>4761</xdr:rowOff>
    </xdr:from>
    <xdr:to>
      <xdr:col>55</xdr:col>
      <xdr:colOff>534987</xdr:colOff>
      <xdr:row>46</xdr:row>
      <xdr:rowOff>200024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746411-8852-4564-8986-23A3F2684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619125</xdr:colOff>
      <xdr:row>49</xdr:row>
      <xdr:rowOff>252412</xdr:rowOff>
    </xdr:from>
    <xdr:to>
      <xdr:col>56</xdr:col>
      <xdr:colOff>104775</xdr:colOff>
      <xdr:row>64</xdr:row>
      <xdr:rowOff>197167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94A7CC-FB2B-40C4-932D-9036935F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1</xdr:row>
      <xdr:rowOff>4762</xdr:rowOff>
    </xdr:from>
    <xdr:to>
      <xdr:col>48</xdr:col>
      <xdr:colOff>1009650</xdr:colOff>
      <xdr:row>14</xdr:row>
      <xdr:rowOff>199072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4176B5-B041-4BE1-953F-871624DC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0</xdr:colOff>
      <xdr:row>17</xdr:row>
      <xdr:rowOff>0</xdr:rowOff>
    </xdr:from>
    <xdr:to>
      <xdr:col>49</xdr:col>
      <xdr:colOff>19050</xdr:colOff>
      <xdr:row>32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628954-B67E-47B0-98F7-32079B5C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</xdr:row>
      <xdr:rowOff>4761</xdr:rowOff>
    </xdr:from>
    <xdr:to>
      <xdr:col>23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70E26-62D3-4999-8111-416D44F1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4762</xdr:rowOff>
    </xdr:from>
    <xdr:to>
      <xdr:col>14</xdr:col>
      <xdr:colOff>252412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43455-E3D9-4D03-906B-F2F1174C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4761</xdr:rowOff>
    </xdr:from>
    <xdr:to>
      <xdr:col>24</xdr:col>
      <xdr:colOff>0</xdr:colOff>
      <xdr:row>38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EB2297-43AE-4CF5-820B-ABF18CE6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opLeftCell="A13" zoomScale="70" zoomScaleNormal="70" workbookViewId="0">
      <selection activeCell="H24" sqref="H24"/>
    </sheetView>
  </sheetViews>
  <sheetFormatPr defaultRowHeight="15" x14ac:dyDescent="0.25"/>
  <cols>
    <col min="2" max="2" width="8.140625" bestFit="1" customWidth="1"/>
    <col min="3" max="3" width="12.5703125" bestFit="1" customWidth="1"/>
    <col min="4" max="4" width="15.7109375" bestFit="1" customWidth="1"/>
    <col min="5" max="5" width="11.5703125" bestFit="1" customWidth="1"/>
  </cols>
  <sheetData>
    <row r="1" spans="5:8" x14ac:dyDescent="0.25">
      <c r="E1" s="1"/>
      <c r="F1" s="1"/>
      <c r="G1" s="1"/>
      <c r="H1" s="1"/>
    </row>
    <row r="2" spans="5:8" x14ac:dyDescent="0.25">
      <c r="E2" s="1"/>
      <c r="F2" s="1"/>
      <c r="G2" s="1"/>
      <c r="H2" s="1"/>
    </row>
    <row r="3" spans="5:8" x14ac:dyDescent="0.25">
      <c r="E3" s="1"/>
      <c r="F3" s="1"/>
      <c r="G3" s="5"/>
      <c r="H3" s="2"/>
    </row>
    <row r="4" spans="5:8" x14ac:dyDescent="0.25">
      <c r="E4" s="1"/>
      <c r="F4" s="1"/>
      <c r="G4" s="5"/>
      <c r="H4" s="2"/>
    </row>
    <row r="5" spans="5:8" x14ac:dyDescent="0.25">
      <c r="E5" s="1"/>
      <c r="F5" s="1"/>
      <c r="G5" s="5"/>
      <c r="H5" s="2"/>
    </row>
    <row r="6" spans="5:8" x14ac:dyDescent="0.25">
      <c r="E6" s="1"/>
      <c r="F6" s="1"/>
      <c r="G6" s="5"/>
      <c r="H6" s="2"/>
    </row>
    <row r="7" spans="5:8" x14ac:dyDescent="0.25">
      <c r="E7" s="1"/>
      <c r="F7" s="1"/>
      <c r="G7" s="5"/>
      <c r="H7" s="2"/>
    </row>
    <row r="8" spans="5:8" x14ac:dyDescent="0.25">
      <c r="E8" s="1"/>
      <c r="F8" s="1"/>
      <c r="G8" s="5"/>
      <c r="H8" s="2"/>
    </row>
    <row r="9" spans="5:8" x14ac:dyDescent="0.25">
      <c r="E9" s="1"/>
      <c r="F9" s="1"/>
      <c r="G9" s="5"/>
      <c r="H9" s="2"/>
    </row>
    <row r="10" spans="5:8" x14ac:dyDescent="0.25">
      <c r="E10" s="1"/>
      <c r="F10" s="1"/>
      <c r="G10" s="5"/>
      <c r="H10" s="2"/>
    </row>
    <row r="11" spans="5:8" x14ac:dyDescent="0.25">
      <c r="E11" s="1"/>
      <c r="F11" s="1"/>
      <c r="G11" s="5"/>
      <c r="H11" s="2"/>
    </row>
    <row r="12" spans="5:8" x14ac:dyDescent="0.25">
      <c r="E12" s="1"/>
      <c r="F12" s="1"/>
      <c r="G12" s="6"/>
      <c r="H12" s="2"/>
    </row>
    <row r="13" spans="5:8" x14ac:dyDescent="0.25">
      <c r="E13" s="1"/>
      <c r="F13" s="1"/>
      <c r="G13" s="6"/>
      <c r="H13" s="2"/>
    </row>
    <row r="14" spans="5:8" x14ac:dyDescent="0.25">
      <c r="E14" s="1"/>
      <c r="F14" s="1"/>
      <c r="G14" s="1"/>
      <c r="H14" s="2"/>
    </row>
    <row r="16" spans="5:8" x14ac:dyDescent="0.25">
      <c r="E16" s="1"/>
      <c r="F16" s="1"/>
      <c r="G16" s="1"/>
      <c r="H16" s="1"/>
    </row>
    <row r="22" spans="2:5" ht="15.75" thickBot="1" x14ac:dyDescent="0.3">
      <c r="B22" s="7"/>
    </row>
    <row r="23" spans="2:5" ht="15.75" thickBot="1" x14ac:dyDescent="0.3">
      <c r="B23" s="1"/>
      <c r="C23" s="112" t="s">
        <v>0</v>
      </c>
      <c r="D23" s="113"/>
      <c r="E23" s="114"/>
    </row>
    <row r="24" spans="2:5" ht="15.75" thickBot="1" x14ac:dyDescent="0.3">
      <c r="B24" s="8" t="s">
        <v>1</v>
      </c>
      <c r="C24" s="22" t="s">
        <v>2</v>
      </c>
      <c r="D24" s="20" t="s">
        <v>3</v>
      </c>
      <c r="E24" s="21" t="s">
        <v>4</v>
      </c>
    </row>
    <row r="25" spans="2:5" x14ac:dyDescent="0.25">
      <c r="B25" s="19">
        <v>2008</v>
      </c>
      <c r="C25" s="13">
        <v>830</v>
      </c>
      <c r="D25" s="11">
        <v>605</v>
      </c>
      <c r="E25" s="12">
        <v>4755</v>
      </c>
    </row>
    <row r="26" spans="2:5" x14ac:dyDescent="0.25">
      <c r="B26" s="17">
        <v>2009</v>
      </c>
      <c r="C26" s="14">
        <v>858</v>
      </c>
      <c r="D26" s="3">
        <v>581</v>
      </c>
      <c r="E26" s="9">
        <v>4758</v>
      </c>
    </row>
    <row r="27" spans="2:5" x14ac:dyDescent="0.25">
      <c r="B27" s="17">
        <v>2010</v>
      </c>
      <c r="C27" s="14">
        <v>910</v>
      </c>
      <c r="D27" s="3">
        <v>538</v>
      </c>
      <c r="E27" s="9">
        <v>4596</v>
      </c>
    </row>
    <row r="28" spans="2:5" x14ac:dyDescent="0.25">
      <c r="B28" s="17">
        <v>2011</v>
      </c>
      <c r="C28" s="14">
        <v>936</v>
      </c>
      <c r="D28" s="3">
        <v>625</v>
      </c>
      <c r="E28" s="9">
        <v>3992</v>
      </c>
    </row>
    <row r="29" spans="2:5" x14ac:dyDescent="0.25">
      <c r="B29" s="17">
        <v>2012</v>
      </c>
      <c r="C29" s="14">
        <v>1192</v>
      </c>
      <c r="D29" s="3">
        <v>772</v>
      </c>
      <c r="E29" s="9">
        <v>4762</v>
      </c>
    </row>
    <row r="30" spans="2:5" x14ac:dyDescent="0.25">
      <c r="B30" s="17">
        <v>2013</v>
      </c>
      <c r="C30" s="14">
        <v>1213</v>
      </c>
      <c r="D30" s="3">
        <v>705</v>
      </c>
      <c r="E30" s="9">
        <v>4525</v>
      </c>
    </row>
    <row r="31" spans="2:5" x14ac:dyDescent="0.25">
      <c r="B31" s="17">
        <v>2014</v>
      </c>
      <c r="C31" s="14">
        <v>1394</v>
      </c>
      <c r="D31" s="3">
        <v>592</v>
      </c>
      <c r="E31" s="9">
        <v>3945</v>
      </c>
    </row>
    <row r="32" spans="2:5" x14ac:dyDescent="0.25">
      <c r="B32" s="17">
        <v>2015</v>
      </c>
      <c r="C32" s="14">
        <v>1555</v>
      </c>
      <c r="D32" s="3">
        <v>703</v>
      </c>
      <c r="E32" s="9">
        <v>3651</v>
      </c>
    </row>
    <row r="33" spans="2:5" x14ac:dyDescent="0.25">
      <c r="B33" s="17">
        <v>2016</v>
      </c>
      <c r="C33" s="14">
        <v>1543</v>
      </c>
      <c r="D33" s="3">
        <v>937</v>
      </c>
      <c r="E33" s="9">
        <v>3944</v>
      </c>
    </row>
    <row r="34" spans="2:5" x14ac:dyDescent="0.25">
      <c r="B34" s="17">
        <v>2017</v>
      </c>
      <c r="C34" s="14">
        <v>1445</v>
      </c>
      <c r="D34" s="3">
        <v>998</v>
      </c>
      <c r="E34" s="9">
        <v>3620</v>
      </c>
    </row>
    <row r="35" spans="2:5" x14ac:dyDescent="0.25">
      <c r="B35" s="17">
        <v>2018</v>
      </c>
      <c r="C35" s="14">
        <v>1387</v>
      </c>
      <c r="D35" s="3">
        <v>1014</v>
      </c>
      <c r="E35" s="9">
        <v>3357</v>
      </c>
    </row>
    <row r="36" spans="2:5" ht="15.75" thickBot="1" x14ac:dyDescent="0.3">
      <c r="B36" s="18">
        <v>2019</v>
      </c>
      <c r="C36" s="15">
        <v>1295</v>
      </c>
      <c r="D36" s="4">
        <v>1099</v>
      </c>
      <c r="E36" s="10">
        <v>3126</v>
      </c>
    </row>
    <row r="38" spans="2:5" x14ac:dyDescent="0.25">
      <c r="B38" s="1" t="s">
        <v>5</v>
      </c>
      <c r="C38" s="1"/>
      <c r="D38" s="1"/>
      <c r="E38" s="1"/>
    </row>
  </sheetData>
  <mergeCells count="1">
    <mergeCell ref="C23:E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1496-DA6E-4A83-85A5-6E73E8BA9691}">
  <dimension ref="B1:AW96"/>
  <sheetViews>
    <sheetView topLeftCell="J1" zoomScaleNormal="100" workbookViewId="0">
      <selection activeCell="T16" sqref="T16"/>
    </sheetView>
  </sheetViews>
  <sheetFormatPr defaultRowHeight="15" x14ac:dyDescent="0.25"/>
  <cols>
    <col min="3" max="3" width="13.140625" customWidth="1"/>
    <col min="4" max="4" width="11.140625" customWidth="1"/>
    <col min="5" max="5" width="9.140625" customWidth="1"/>
    <col min="6" max="6" width="14.28515625" style="1" customWidth="1"/>
    <col min="7" max="7" width="10.85546875" customWidth="1"/>
    <col min="8" max="8" width="15.7109375" customWidth="1"/>
    <col min="9" max="10" width="9.140625" customWidth="1"/>
    <col min="11" max="11" width="13.140625" customWidth="1"/>
    <col min="12" max="12" width="11.140625" customWidth="1"/>
    <col min="14" max="14" width="14.140625" style="1" customWidth="1"/>
    <col min="15" max="15" width="10.85546875" customWidth="1"/>
    <col min="16" max="16" width="15.7109375" customWidth="1"/>
    <col min="19" max="19" width="13.140625" customWidth="1"/>
    <col min="20" max="20" width="22.85546875" customWidth="1"/>
    <col min="22" max="22" width="14.28515625" style="1" customWidth="1"/>
    <col min="23" max="23" width="10.85546875" style="1" customWidth="1"/>
    <col min="24" max="24" width="15.7109375" customWidth="1"/>
    <col min="36" max="36" width="13.140625" customWidth="1"/>
    <col min="37" max="38" width="11.140625" customWidth="1"/>
    <col min="39" max="41" width="22.85546875" customWidth="1"/>
    <col min="44" max="44" width="9.140625" style="1"/>
    <col min="45" max="46" width="21.85546875" customWidth="1"/>
    <col min="47" max="47" width="23.140625" customWidth="1"/>
    <col min="48" max="48" width="22.140625" customWidth="1"/>
    <col min="49" max="49" width="24.28515625" customWidth="1"/>
  </cols>
  <sheetData>
    <row r="1" spans="2:49" ht="15.75" thickBot="1" x14ac:dyDescent="0.3"/>
    <row r="2" spans="2:49" ht="30.75" customHeight="1" thickBot="1" x14ac:dyDescent="0.3">
      <c r="B2" s="26" t="s">
        <v>1</v>
      </c>
      <c r="C2" s="27" t="s">
        <v>8</v>
      </c>
      <c r="D2" s="29" t="s">
        <v>9</v>
      </c>
      <c r="E2" s="29" t="s">
        <v>6</v>
      </c>
      <c r="F2" s="29" t="s">
        <v>71</v>
      </c>
      <c r="G2" s="29" t="s">
        <v>72</v>
      </c>
      <c r="H2" s="29" t="s">
        <v>7</v>
      </c>
      <c r="I2" s="23"/>
      <c r="J2" s="26" t="s">
        <v>1</v>
      </c>
      <c r="K2" s="27" t="s">
        <v>8</v>
      </c>
      <c r="L2" s="29" t="s">
        <v>10</v>
      </c>
      <c r="M2" s="29" t="s">
        <v>6</v>
      </c>
      <c r="N2" s="29" t="s">
        <v>71</v>
      </c>
      <c r="O2" s="29" t="s">
        <v>72</v>
      </c>
      <c r="P2" s="29" t="s">
        <v>7</v>
      </c>
      <c r="R2" s="26" t="s">
        <v>1</v>
      </c>
      <c r="S2" s="27" t="s">
        <v>8</v>
      </c>
      <c r="T2" s="29" t="s">
        <v>15</v>
      </c>
      <c r="U2" s="29" t="s">
        <v>6</v>
      </c>
      <c r="V2" s="29" t="s">
        <v>71</v>
      </c>
      <c r="W2" s="29" t="s">
        <v>72</v>
      </c>
      <c r="X2" s="29" t="s">
        <v>7</v>
      </c>
      <c r="AI2" s="26" t="s">
        <v>1</v>
      </c>
      <c r="AJ2" s="27" t="s">
        <v>8</v>
      </c>
      <c r="AK2" s="29" t="s">
        <v>9</v>
      </c>
      <c r="AL2" s="29" t="s">
        <v>10</v>
      </c>
      <c r="AM2" s="29" t="s">
        <v>15</v>
      </c>
      <c r="AN2" s="29" t="s">
        <v>16</v>
      </c>
      <c r="AO2" s="29" t="s">
        <v>17</v>
      </c>
      <c r="AQ2" s="26" t="s">
        <v>1</v>
      </c>
      <c r="AR2" s="27" t="s">
        <v>8</v>
      </c>
      <c r="AS2" s="29" t="s">
        <v>15</v>
      </c>
      <c r="AT2" s="29" t="s">
        <v>16</v>
      </c>
      <c r="AU2" s="29" t="s">
        <v>17</v>
      </c>
      <c r="AV2" s="29" t="s">
        <v>18</v>
      </c>
      <c r="AW2" s="29" t="s">
        <v>20</v>
      </c>
    </row>
    <row r="3" spans="2:49" x14ac:dyDescent="0.25">
      <c r="B3" s="25">
        <v>2008</v>
      </c>
      <c r="C3" s="11">
        <v>830</v>
      </c>
      <c r="D3" s="28"/>
      <c r="E3" s="28"/>
      <c r="F3" s="28"/>
      <c r="G3" s="28"/>
      <c r="H3" s="28"/>
      <c r="J3" s="25">
        <v>2008</v>
      </c>
      <c r="K3" s="11">
        <v>830</v>
      </c>
      <c r="L3" s="28"/>
      <c r="M3" s="28"/>
      <c r="N3" s="28"/>
      <c r="O3" s="28"/>
      <c r="P3" s="28"/>
      <c r="R3" s="25">
        <v>2008</v>
      </c>
      <c r="S3" s="11">
        <v>830</v>
      </c>
      <c r="T3" s="36">
        <f>S3</f>
        <v>830</v>
      </c>
      <c r="U3" s="36">
        <f t="shared" ref="U3:U14" si="0">T3-S3</f>
        <v>0</v>
      </c>
      <c r="V3" s="31">
        <f>U3^2</f>
        <v>0</v>
      </c>
      <c r="W3" s="36">
        <f>ABS(U3)</f>
        <v>0</v>
      </c>
      <c r="X3" s="33">
        <f t="shared" ref="X3:X14" si="1">ABS(U3/S3)</f>
        <v>0</v>
      </c>
      <c r="AI3" s="25">
        <v>2008</v>
      </c>
      <c r="AJ3" s="11">
        <v>830</v>
      </c>
      <c r="AK3" s="28"/>
      <c r="AL3" s="28"/>
      <c r="AM3" s="36">
        <v>830</v>
      </c>
      <c r="AN3" s="36">
        <v>830</v>
      </c>
      <c r="AO3" s="36">
        <v>830</v>
      </c>
      <c r="AQ3" s="25">
        <v>2008</v>
      </c>
      <c r="AR3" s="11">
        <v>830</v>
      </c>
      <c r="AS3" s="36">
        <v>830</v>
      </c>
      <c r="AT3" s="36">
        <v>830</v>
      </c>
      <c r="AU3" s="36">
        <v>830</v>
      </c>
      <c r="AV3" s="36">
        <v>830</v>
      </c>
      <c r="AW3" s="36">
        <v>830</v>
      </c>
    </row>
    <row r="4" spans="2:49" x14ac:dyDescent="0.25">
      <c r="B4" s="16">
        <v>2009</v>
      </c>
      <c r="C4" s="3">
        <v>858</v>
      </c>
      <c r="D4" s="31">
        <f>C3</f>
        <v>830</v>
      </c>
      <c r="E4" s="31">
        <f t="shared" ref="E4:E14" si="2">D4-C4</f>
        <v>-28</v>
      </c>
      <c r="F4" s="31">
        <f>E4^2</f>
        <v>784</v>
      </c>
      <c r="G4" s="31">
        <f>ABS(E4)</f>
        <v>28</v>
      </c>
      <c r="H4" s="33">
        <f t="shared" ref="H4:H14" si="3">ABS(E4/C4)</f>
        <v>3.2634032634032632E-2</v>
      </c>
      <c r="J4" s="16">
        <v>2009</v>
      </c>
      <c r="K4" s="3">
        <v>858</v>
      </c>
      <c r="L4" s="34"/>
      <c r="M4" s="34"/>
      <c r="N4" s="34"/>
      <c r="O4" s="34"/>
      <c r="P4" s="35"/>
      <c r="R4" s="16">
        <v>2009</v>
      </c>
      <c r="S4" s="3">
        <v>858</v>
      </c>
      <c r="T4" s="31">
        <f t="shared" ref="T4:T15" si="4">MID($T$2,28,3)*S3+(1-MID($T$2,28,3))*T3</f>
        <v>830</v>
      </c>
      <c r="U4" s="31">
        <f t="shared" si="0"/>
        <v>-28</v>
      </c>
      <c r="V4" s="31">
        <f t="shared" ref="V4:V14" si="5">U4^2</f>
        <v>784</v>
      </c>
      <c r="W4" s="36">
        <f t="shared" ref="W4:W14" si="6">ABS(U4)</f>
        <v>28</v>
      </c>
      <c r="X4" s="33">
        <f t="shared" si="1"/>
        <v>3.2634032634032632E-2</v>
      </c>
      <c r="AI4" s="16">
        <v>2009</v>
      </c>
      <c r="AJ4" s="3">
        <v>858</v>
      </c>
      <c r="AK4" s="31">
        <v>830</v>
      </c>
      <c r="AL4" s="34"/>
      <c r="AM4" s="31">
        <v>830</v>
      </c>
      <c r="AN4" s="31">
        <v>830</v>
      </c>
      <c r="AO4" s="31">
        <v>830</v>
      </c>
      <c r="AQ4" s="16">
        <v>2009</v>
      </c>
      <c r="AR4" s="3">
        <v>858</v>
      </c>
      <c r="AS4" s="31">
        <v>830</v>
      </c>
      <c r="AT4" s="31">
        <v>830</v>
      </c>
      <c r="AU4" s="31">
        <v>830</v>
      </c>
      <c r="AV4" s="31">
        <v>830</v>
      </c>
      <c r="AW4" s="31">
        <v>830</v>
      </c>
    </row>
    <row r="5" spans="2:49" x14ac:dyDescent="0.25">
      <c r="B5" s="16">
        <v>2010</v>
      </c>
      <c r="C5" s="3">
        <v>910</v>
      </c>
      <c r="D5" s="31">
        <f t="shared" ref="D5:D14" si="7">C4</f>
        <v>858</v>
      </c>
      <c r="E5" s="31">
        <f t="shared" si="2"/>
        <v>-52</v>
      </c>
      <c r="F5" s="31">
        <f t="shared" ref="F5:F13" si="8">E5^2</f>
        <v>2704</v>
      </c>
      <c r="G5" s="31">
        <f t="shared" ref="G5:G14" si="9">ABS(E5)</f>
        <v>52</v>
      </c>
      <c r="H5" s="33">
        <f t="shared" si="3"/>
        <v>5.7142857142857141E-2</v>
      </c>
      <c r="J5" s="16">
        <v>2010</v>
      </c>
      <c r="K5" s="3">
        <v>910</v>
      </c>
      <c r="L5" s="34"/>
      <c r="M5" s="34"/>
      <c r="N5" s="34"/>
      <c r="O5" s="34"/>
      <c r="P5" s="35"/>
      <c r="R5" s="16">
        <v>2010</v>
      </c>
      <c r="S5" s="3">
        <v>910</v>
      </c>
      <c r="T5" s="31">
        <f t="shared" si="4"/>
        <v>844</v>
      </c>
      <c r="U5" s="31">
        <f t="shared" si="0"/>
        <v>-66</v>
      </c>
      <c r="V5" s="31">
        <f t="shared" si="5"/>
        <v>4356</v>
      </c>
      <c r="W5" s="36">
        <f t="shared" si="6"/>
        <v>66</v>
      </c>
      <c r="X5" s="33">
        <f t="shared" si="1"/>
        <v>7.2527472527472533E-2</v>
      </c>
      <c r="AI5" s="16">
        <v>2010</v>
      </c>
      <c r="AJ5" s="3">
        <v>910</v>
      </c>
      <c r="AK5" s="31">
        <v>858</v>
      </c>
      <c r="AL5" s="34"/>
      <c r="AM5" s="31">
        <v>844</v>
      </c>
      <c r="AN5" s="31">
        <v>849.59999999999991</v>
      </c>
      <c r="AO5" s="31">
        <v>838.4</v>
      </c>
      <c r="AQ5" s="16">
        <v>2010</v>
      </c>
      <c r="AR5" s="3">
        <v>910</v>
      </c>
      <c r="AS5" s="31">
        <v>844</v>
      </c>
      <c r="AT5" s="31">
        <v>849.59999999999991</v>
      </c>
      <c r="AU5" s="31">
        <v>838.4</v>
      </c>
      <c r="AV5" s="31">
        <v>855.2</v>
      </c>
      <c r="AW5" s="31">
        <v>858</v>
      </c>
    </row>
    <row r="6" spans="2:49" x14ac:dyDescent="0.25">
      <c r="B6" s="16">
        <v>2011</v>
      </c>
      <c r="C6" s="3">
        <v>936</v>
      </c>
      <c r="D6" s="31">
        <f t="shared" si="7"/>
        <v>910</v>
      </c>
      <c r="E6" s="31">
        <f t="shared" si="2"/>
        <v>-26</v>
      </c>
      <c r="F6" s="31">
        <f t="shared" si="8"/>
        <v>676</v>
      </c>
      <c r="G6" s="31">
        <f t="shared" si="9"/>
        <v>26</v>
      </c>
      <c r="H6" s="33">
        <f t="shared" si="3"/>
        <v>2.7777777777777776E-2</v>
      </c>
      <c r="J6" s="16">
        <v>2011</v>
      </c>
      <c r="K6" s="3">
        <v>936</v>
      </c>
      <c r="L6" s="34"/>
      <c r="M6" s="34"/>
      <c r="N6" s="34"/>
      <c r="O6" s="34"/>
      <c r="P6" s="35"/>
      <c r="R6" s="16">
        <v>2011</v>
      </c>
      <c r="S6" s="3">
        <v>936</v>
      </c>
      <c r="T6" s="31">
        <f t="shared" si="4"/>
        <v>877</v>
      </c>
      <c r="U6" s="31">
        <f t="shared" si="0"/>
        <v>-59</v>
      </c>
      <c r="V6" s="31">
        <f t="shared" si="5"/>
        <v>3481</v>
      </c>
      <c r="W6" s="36">
        <f t="shared" si="6"/>
        <v>59</v>
      </c>
      <c r="X6" s="33">
        <f t="shared" si="1"/>
        <v>6.3034188034188032E-2</v>
      </c>
      <c r="AI6" s="16">
        <v>2011</v>
      </c>
      <c r="AJ6" s="3">
        <v>936</v>
      </c>
      <c r="AK6" s="31">
        <v>910</v>
      </c>
      <c r="AL6" s="34"/>
      <c r="AM6" s="31">
        <v>877</v>
      </c>
      <c r="AN6" s="31">
        <v>891.88</v>
      </c>
      <c r="AO6" s="31">
        <v>859.88</v>
      </c>
      <c r="AQ6" s="16">
        <v>2011</v>
      </c>
      <c r="AR6" s="3">
        <v>936</v>
      </c>
      <c r="AS6" s="31">
        <v>877</v>
      </c>
      <c r="AT6" s="31">
        <v>891.88</v>
      </c>
      <c r="AU6" s="31">
        <v>859.88</v>
      </c>
      <c r="AV6" s="31">
        <v>904.52</v>
      </c>
      <c r="AW6" s="31">
        <v>910</v>
      </c>
    </row>
    <row r="7" spans="2:49" x14ac:dyDescent="0.25">
      <c r="B7" s="16">
        <v>2012</v>
      </c>
      <c r="C7" s="3">
        <v>1192</v>
      </c>
      <c r="D7" s="31">
        <f t="shared" si="7"/>
        <v>936</v>
      </c>
      <c r="E7" s="31">
        <f t="shared" si="2"/>
        <v>-256</v>
      </c>
      <c r="F7" s="31">
        <f t="shared" si="8"/>
        <v>65536</v>
      </c>
      <c r="G7" s="31">
        <f t="shared" si="9"/>
        <v>256</v>
      </c>
      <c r="H7" s="33">
        <f t="shared" si="3"/>
        <v>0.21476510067114093</v>
      </c>
      <c r="J7" s="16">
        <v>2012</v>
      </c>
      <c r="K7" s="3">
        <v>1192</v>
      </c>
      <c r="L7" s="31">
        <f>AVERAGE(K3:K6)</f>
        <v>883.5</v>
      </c>
      <c r="M7" s="31">
        <f t="shared" ref="M7:M14" si="10">L7-K7</f>
        <v>-308.5</v>
      </c>
      <c r="N7" s="31">
        <f>M7^2</f>
        <v>95172.25</v>
      </c>
      <c r="O7" s="31">
        <f>ABS(M7)</f>
        <v>308.5</v>
      </c>
      <c r="P7" s="33">
        <f t="shared" ref="P7:P14" si="11">ABS(M7/K7)</f>
        <v>0.25880872483221479</v>
      </c>
      <c r="R7" s="16">
        <v>2012</v>
      </c>
      <c r="S7" s="3">
        <v>1192</v>
      </c>
      <c r="T7" s="31">
        <f t="shared" si="4"/>
        <v>906.5</v>
      </c>
      <c r="U7" s="31">
        <f t="shared" si="0"/>
        <v>-285.5</v>
      </c>
      <c r="V7" s="31">
        <f t="shared" si="5"/>
        <v>81510.25</v>
      </c>
      <c r="W7" s="36">
        <f t="shared" si="6"/>
        <v>285.5</v>
      </c>
      <c r="X7" s="33">
        <f t="shared" si="1"/>
        <v>0.23951342281879195</v>
      </c>
      <c r="AI7" s="16">
        <v>2012</v>
      </c>
      <c r="AJ7" s="3">
        <v>1192</v>
      </c>
      <c r="AK7" s="31">
        <v>936</v>
      </c>
      <c r="AL7" s="31">
        <v>883.5</v>
      </c>
      <c r="AM7" s="31">
        <v>906.5</v>
      </c>
      <c r="AN7" s="31">
        <v>922.7639999999999</v>
      </c>
      <c r="AO7" s="31">
        <v>882.71599999999989</v>
      </c>
      <c r="AQ7" s="16">
        <v>2012</v>
      </c>
      <c r="AR7" s="3">
        <v>1192</v>
      </c>
      <c r="AS7" s="31">
        <v>906.5</v>
      </c>
      <c r="AT7" s="31">
        <v>922.7639999999999</v>
      </c>
      <c r="AU7" s="31">
        <v>882.71599999999989</v>
      </c>
      <c r="AV7" s="31">
        <v>932.85199999999998</v>
      </c>
      <c r="AW7" s="31">
        <v>936</v>
      </c>
    </row>
    <row r="8" spans="2:49" x14ac:dyDescent="0.25">
      <c r="B8" s="16">
        <v>2013</v>
      </c>
      <c r="C8" s="3">
        <v>1213</v>
      </c>
      <c r="D8" s="31">
        <f t="shared" si="7"/>
        <v>1192</v>
      </c>
      <c r="E8" s="31">
        <f t="shared" si="2"/>
        <v>-21</v>
      </c>
      <c r="F8" s="31">
        <f t="shared" si="8"/>
        <v>441</v>
      </c>
      <c r="G8" s="31">
        <f t="shared" si="9"/>
        <v>21</v>
      </c>
      <c r="H8" s="33">
        <f t="shared" si="3"/>
        <v>1.7312448474855729E-2</v>
      </c>
      <c r="J8" s="16">
        <v>2013</v>
      </c>
      <c r="K8" s="3">
        <v>1213</v>
      </c>
      <c r="L8" s="31">
        <f>AVERAGE(K4:K7)</f>
        <v>974</v>
      </c>
      <c r="M8" s="31">
        <f t="shared" si="10"/>
        <v>-239</v>
      </c>
      <c r="N8" s="31">
        <f t="shared" ref="N8:N14" si="12">M8^2</f>
        <v>57121</v>
      </c>
      <c r="O8" s="31">
        <f t="shared" ref="O8:O14" si="13">ABS(M8)</f>
        <v>239</v>
      </c>
      <c r="P8" s="33">
        <f t="shared" si="11"/>
        <v>0.19703215169002472</v>
      </c>
      <c r="R8" s="16">
        <v>2013</v>
      </c>
      <c r="S8" s="3">
        <v>1213</v>
      </c>
      <c r="T8" s="31">
        <f t="shared" si="4"/>
        <v>1049.25</v>
      </c>
      <c r="U8" s="31">
        <f t="shared" si="0"/>
        <v>-163.75</v>
      </c>
      <c r="V8" s="31">
        <f t="shared" si="5"/>
        <v>26814.0625</v>
      </c>
      <c r="W8" s="36">
        <f t="shared" si="6"/>
        <v>163.75</v>
      </c>
      <c r="X8" s="33">
        <f t="shared" si="1"/>
        <v>0.13499587798845836</v>
      </c>
      <c r="AI8" s="16">
        <v>2013</v>
      </c>
      <c r="AJ8" s="3">
        <v>1213</v>
      </c>
      <c r="AK8" s="31">
        <v>1192</v>
      </c>
      <c r="AL8" s="31">
        <v>974</v>
      </c>
      <c r="AM8" s="31">
        <v>1049.25</v>
      </c>
      <c r="AN8" s="31">
        <v>1111.2292</v>
      </c>
      <c r="AO8" s="31">
        <v>975.50119999999993</v>
      </c>
      <c r="AQ8" s="16">
        <v>2013</v>
      </c>
      <c r="AR8" s="3">
        <v>1213</v>
      </c>
      <c r="AS8" s="31">
        <v>1049.25</v>
      </c>
      <c r="AT8" s="31">
        <v>1111.2292</v>
      </c>
      <c r="AU8" s="31">
        <v>975.50119999999993</v>
      </c>
      <c r="AV8" s="31">
        <v>1166.0852</v>
      </c>
      <c r="AW8" s="31">
        <v>1192</v>
      </c>
    </row>
    <row r="9" spans="2:49" x14ac:dyDescent="0.25">
      <c r="B9" s="16">
        <v>2014</v>
      </c>
      <c r="C9" s="3">
        <v>1394</v>
      </c>
      <c r="D9" s="31">
        <f t="shared" si="7"/>
        <v>1213</v>
      </c>
      <c r="E9" s="31">
        <f t="shared" si="2"/>
        <v>-181</v>
      </c>
      <c r="F9" s="31">
        <f t="shared" si="8"/>
        <v>32761</v>
      </c>
      <c r="G9" s="31">
        <f t="shared" si="9"/>
        <v>181</v>
      </c>
      <c r="H9" s="33">
        <f t="shared" si="3"/>
        <v>0.12984218077474893</v>
      </c>
      <c r="J9" s="16">
        <v>2014</v>
      </c>
      <c r="K9" s="3">
        <v>1394</v>
      </c>
      <c r="L9" s="31">
        <f t="shared" ref="L9:L14" si="14">AVERAGE(K5:K8)</f>
        <v>1062.75</v>
      </c>
      <c r="M9" s="31">
        <f t="shared" si="10"/>
        <v>-331.25</v>
      </c>
      <c r="N9" s="31">
        <f t="shared" si="12"/>
        <v>109726.5625</v>
      </c>
      <c r="O9" s="31">
        <f t="shared" si="13"/>
        <v>331.25</v>
      </c>
      <c r="P9" s="33">
        <f t="shared" si="11"/>
        <v>0.2376255380200861</v>
      </c>
      <c r="R9" s="16">
        <v>2014</v>
      </c>
      <c r="S9" s="3">
        <v>1394</v>
      </c>
      <c r="T9" s="31">
        <f t="shared" si="4"/>
        <v>1131.125</v>
      </c>
      <c r="U9" s="31">
        <f t="shared" si="0"/>
        <v>-262.875</v>
      </c>
      <c r="V9" s="31">
        <f t="shared" si="5"/>
        <v>69103.265625</v>
      </c>
      <c r="W9" s="36">
        <f t="shared" si="6"/>
        <v>262.875</v>
      </c>
      <c r="X9" s="33">
        <f t="shared" si="1"/>
        <v>0.18857604017216642</v>
      </c>
      <c r="AI9" s="16">
        <v>2014</v>
      </c>
      <c r="AJ9" s="3">
        <v>1394</v>
      </c>
      <c r="AK9" s="31">
        <v>1213</v>
      </c>
      <c r="AL9" s="31">
        <v>1062.75</v>
      </c>
      <c r="AM9" s="31">
        <v>1131.125</v>
      </c>
      <c r="AN9" s="31">
        <v>1182.46876</v>
      </c>
      <c r="AO9" s="31">
        <v>1046.7508399999999</v>
      </c>
      <c r="AQ9" s="16">
        <v>2014</v>
      </c>
      <c r="AR9" s="3">
        <v>1394</v>
      </c>
      <c r="AS9" s="31">
        <v>1131.125</v>
      </c>
      <c r="AT9" s="31">
        <v>1182.46876</v>
      </c>
      <c r="AU9" s="31">
        <v>1046.7508399999999</v>
      </c>
      <c r="AV9" s="31">
        <v>1208.30852</v>
      </c>
      <c r="AW9" s="31">
        <v>1213</v>
      </c>
    </row>
    <row r="10" spans="2:49" x14ac:dyDescent="0.25">
      <c r="B10" s="16">
        <v>2015</v>
      </c>
      <c r="C10" s="3">
        <v>1555</v>
      </c>
      <c r="D10" s="31">
        <f t="shared" si="7"/>
        <v>1394</v>
      </c>
      <c r="E10" s="31">
        <f t="shared" si="2"/>
        <v>-161</v>
      </c>
      <c r="F10" s="31">
        <f t="shared" si="8"/>
        <v>25921</v>
      </c>
      <c r="G10" s="31">
        <f t="shared" si="9"/>
        <v>161</v>
      </c>
      <c r="H10" s="33">
        <f t="shared" si="3"/>
        <v>0.10353697749196142</v>
      </c>
      <c r="J10" s="16">
        <v>2015</v>
      </c>
      <c r="K10" s="3">
        <v>1555</v>
      </c>
      <c r="L10" s="31">
        <f t="shared" si="14"/>
        <v>1183.75</v>
      </c>
      <c r="M10" s="31">
        <f t="shared" si="10"/>
        <v>-371.25</v>
      </c>
      <c r="N10" s="31">
        <f t="shared" si="12"/>
        <v>137826.5625</v>
      </c>
      <c r="O10" s="31">
        <f t="shared" si="13"/>
        <v>371.25</v>
      </c>
      <c r="P10" s="33">
        <f t="shared" si="11"/>
        <v>0.2387459807073955</v>
      </c>
      <c r="R10" s="16">
        <v>2015</v>
      </c>
      <c r="S10" s="3">
        <v>1555</v>
      </c>
      <c r="T10" s="31">
        <f t="shared" si="4"/>
        <v>1262.5625</v>
      </c>
      <c r="U10" s="31">
        <f t="shared" si="0"/>
        <v>-292.4375</v>
      </c>
      <c r="V10" s="31">
        <f t="shared" si="5"/>
        <v>85519.69140625</v>
      </c>
      <c r="W10" s="36">
        <f t="shared" si="6"/>
        <v>292.4375</v>
      </c>
      <c r="X10" s="33">
        <f t="shared" si="1"/>
        <v>0.18806270096463024</v>
      </c>
      <c r="AI10" s="16">
        <v>2015</v>
      </c>
      <c r="AJ10" s="3">
        <v>1555</v>
      </c>
      <c r="AK10" s="31">
        <v>1394</v>
      </c>
      <c r="AL10" s="31">
        <v>1183.75</v>
      </c>
      <c r="AM10" s="31">
        <v>1262.5625</v>
      </c>
      <c r="AN10" s="31">
        <v>1330.540628</v>
      </c>
      <c r="AO10" s="31">
        <v>1150.9255879999998</v>
      </c>
      <c r="AQ10" s="16">
        <v>2015</v>
      </c>
      <c r="AR10" s="3">
        <v>1555</v>
      </c>
      <c r="AS10" s="31">
        <v>1262.5625</v>
      </c>
      <c r="AT10" s="31">
        <v>1330.540628</v>
      </c>
      <c r="AU10" s="31">
        <v>1150.9255879999998</v>
      </c>
      <c r="AV10" s="31">
        <v>1375.4308520000002</v>
      </c>
      <c r="AW10" s="31">
        <v>1394</v>
      </c>
    </row>
    <row r="11" spans="2:49" x14ac:dyDescent="0.25">
      <c r="B11" s="16">
        <v>2016</v>
      </c>
      <c r="C11" s="3">
        <v>1543</v>
      </c>
      <c r="D11" s="31">
        <f t="shared" si="7"/>
        <v>1555</v>
      </c>
      <c r="E11" s="31">
        <f t="shared" si="2"/>
        <v>12</v>
      </c>
      <c r="F11" s="31">
        <f t="shared" si="8"/>
        <v>144</v>
      </c>
      <c r="G11" s="31">
        <f t="shared" si="9"/>
        <v>12</v>
      </c>
      <c r="H11" s="33">
        <f t="shared" si="3"/>
        <v>7.7770576798444589E-3</v>
      </c>
      <c r="J11" s="16">
        <v>2016</v>
      </c>
      <c r="K11" s="3">
        <v>1543</v>
      </c>
      <c r="L11" s="31">
        <f t="shared" si="14"/>
        <v>1338.5</v>
      </c>
      <c r="M11" s="31">
        <f t="shared" si="10"/>
        <v>-204.5</v>
      </c>
      <c r="N11" s="31">
        <f t="shared" si="12"/>
        <v>41820.25</v>
      </c>
      <c r="O11" s="31">
        <f t="shared" si="13"/>
        <v>204.5</v>
      </c>
      <c r="P11" s="33">
        <f t="shared" si="11"/>
        <v>0.13253402462734931</v>
      </c>
      <c r="R11" s="16">
        <v>2016</v>
      </c>
      <c r="S11" s="3">
        <v>1543</v>
      </c>
      <c r="T11" s="31">
        <f t="shared" si="4"/>
        <v>1408.78125</v>
      </c>
      <c r="U11" s="31">
        <f t="shared" si="0"/>
        <v>-134.21875</v>
      </c>
      <c r="V11" s="31">
        <f t="shared" si="5"/>
        <v>18014.6728515625</v>
      </c>
      <c r="W11" s="36">
        <f t="shared" si="6"/>
        <v>134.21875</v>
      </c>
      <c r="X11" s="33">
        <f t="shared" si="1"/>
        <v>8.6985580038885291E-2</v>
      </c>
      <c r="AI11" s="16">
        <v>2016</v>
      </c>
      <c r="AJ11" s="3">
        <v>1543</v>
      </c>
      <c r="AK11" s="31">
        <v>1555</v>
      </c>
      <c r="AL11" s="31">
        <v>1338.5</v>
      </c>
      <c r="AM11" s="31">
        <v>1408.78125</v>
      </c>
      <c r="AN11" s="31">
        <v>1487.6621884000001</v>
      </c>
      <c r="AO11" s="31">
        <v>1272.1479115999998</v>
      </c>
      <c r="AQ11" s="16">
        <v>2016</v>
      </c>
      <c r="AR11" s="3">
        <v>1543</v>
      </c>
      <c r="AS11" s="31">
        <v>1408.78125</v>
      </c>
      <c r="AT11" s="31">
        <v>1487.6621884000001</v>
      </c>
      <c r="AU11" s="31">
        <v>1272.1479115999998</v>
      </c>
      <c r="AV11" s="31">
        <v>1537.0430852</v>
      </c>
      <c r="AW11" s="31">
        <v>1555</v>
      </c>
    </row>
    <row r="12" spans="2:49" x14ac:dyDescent="0.25">
      <c r="B12" s="16">
        <v>2017</v>
      </c>
      <c r="C12" s="3">
        <v>1445</v>
      </c>
      <c r="D12" s="31">
        <f t="shared" si="7"/>
        <v>1543</v>
      </c>
      <c r="E12" s="31">
        <f t="shared" si="2"/>
        <v>98</v>
      </c>
      <c r="F12" s="31">
        <f t="shared" si="8"/>
        <v>9604</v>
      </c>
      <c r="G12" s="31">
        <f t="shared" si="9"/>
        <v>98</v>
      </c>
      <c r="H12" s="33">
        <f t="shared" si="3"/>
        <v>6.7820069204152247E-2</v>
      </c>
      <c r="J12" s="16">
        <v>2017</v>
      </c>
      <c r="K12" s="3">
        <v>1445</v>
      </c>
      <c r="L12" s="31">
        <f t="shared" si="14"/>
        <v>1426.25</v>
      </c>
      <c r="M12" s="31">
        <f t="shared" si="10"/>
        <v>-18.75</v>
      </c>
      <c r="N12" s="31">
        <f t="shared" si="12"/>
        <v>351.5625</v>
      </c>
      <c r="O12" s="31">
        <f t="shared" si="13"/>
        <v>18.75</v>
      </c>
      <c r="P12" s="33">
        <f t="shared" si="11"/>
        <v>1.2975778546712802E-2</v>
      </c>
      <c r="R12" s="16">
        <v>2017</v>
      </c>
      <c r="S12" s="3">
        <v>1445</v>
      </c>
      <c r="T12" s="31">
        <f t="shared" si="4"/>
        <v>1475.890625</v>
      </c>
      <c r="U12" s="31">
        <f t="shared" si="0"/>
        <v>30.890625</v>
      </c>
      <c r="V12" s="31">
        <f t="shared" si="5"/>
        <v>954.230712890625</v>
      </c>
      <c r="W12" s="36">
        <f t="shared" si="6"/>
        <v>30.890625</v>
      </c>
      <c r="X12" s="33">
        <f t="shared" si="1"/>
        <v>2.1377595155709344E-2</v>
      </c>
      <c r="AI12" s="16">
        <v>2017</v>
      </c>
      <c r="AJ12" s="3">
        <v>1445</v>
      </c>
      <c r="AK12" s="31">
        <v>1543</v>
      </c>
      <c r="AL12" s="31">
        <v>1426.25</v>
      </c>
      <c r="AM12" s="31">
        <v>1475.890625</v>
      </c>
      <c r="AN12" s="31">
        <v>1526.39865652</v>
      </c>
      <c r="AO12" s="31">
        <v>1353.4035381199997</v>
      </c>
      <c r="AQ12" s="16">
        <v>2017</v>
      </c>
      <c r="AR12" s="3">
        <v>1445</v>
      </c>
      <c r="AS12" s="31">
        <v>1475.890625</v>
      </c>
      <c r="AT12" s="31">
        <v>1526.39865652</v>
      </c>
      <c r="AU12" s="31">
        <v>1353.4035381199997</v>
      </c>
      <c r="AV12" s="31">
        <v>1542.4043085200001</v>
      </c>
      <c r="AW12" s="31">
        <v>1543</v>
      </c>
    </row>
    <row r="13" spans="2:49" x14ac:dyDescent="0.25">
      <c r="B13" s="16">
        <v>2018</v>
      </c>
      <c r="C13" s="3">
        <v>1387</v>
      </c>
      <c r="D13" s="31">
        <f t="shared" si="7"/>
        <v>1445</v>
      </c>
      <c r="E13" s="31">
        <f t="shared" si="2"/>
        <v>58</v>
      </c>
      <c r="F13" s="31">
        <f t="shared" si="8"/>
        <v>3364</v>
      </c>
      <c r="G13" s="31">
        <f t="shared" si="9"/>
        <v>58</v>
      </c>
      <c r="H13" s="33">
        <f t="shared" si="3"/>
        <v>4.1816870944484497E-2</v>
      </c>
      <c r="J13" s="16">
        <v>2018</v>
      </c>
      <c r="K13" s="3">
        <v>1387</v>
      </c>
      <c r="L13" s="31">
        <f t="shared" si="14"/>
        <v>1484.25</v>
      </c>
      <c r="M13" s="31">
        <f t="shared" si="10"/>
        <v>97.25</v>
      </c>
      <c r="N13" s="31">
        <f t="shared" si="12"/>
        <v>9457.5625</v>
      </c>
      <c r="O13" s="31">
        <f t="shared" si="13"/>
        <v>97.25</v>
      </c>
      <c r="P13" s="33">
        <f t="shared" si="11"/>
        <v>7.0115356885364091E-2</v>
      </c>
      <c r="R13" s="16">
        <v>2018</v>
      </c>
      <c r="S13" s="3">
        <v>1387</v>
      </c>
      <c r="T13" s="31">
        <f t="shared" si="4"/>
        <v>1460.4453125</v>
      </c>
      <c r="U13" s="31">
        <f t="shared" si="0"/>
        <v>73.4453125</v>
      </c>
      <c r="V13" s="31">
        <f t="shared" si="5"/>
        <v>5394.2139282226563</v>
      </c>
      <c r="W13" s="36">
        <f t="shared" si="6"/>
        <v>73.4453125</v>
      </c>
      <c r="X13" s="33">
        <f t="shared" si="1"/>
        <v>5.2952640591204039E-2</v>
      </c>
      <c r="AI13" s="16">
        <v>2018</v>
      </c>
      <c r="AJ13" s="3">
        <v>1387</v>
      </c>
      <c r="AK13" s="31">
        <v>1445</v>
      </c>
      <c r="AL13" s="31">
        <v>1484.25</v>
      </c>
      <c r="AM13" s="31">
        <v>1460.4453125</v>
      </c>
      <c r="AN13" s="31">
        <v>1469.4195969560001</v>
      </c>
      <c r="AO13" s="31">
        <v>1380.8824766839998</v>
      </c>
      <c r="AQ13" s="16">
        <v>2018</v>
      </c>
      <c r="AR13" s="3">
        <v>1387</v>
      </c>
      <c r="AS13" s="31">
        <v>1460.4453125</v>
      </c>
      <c r="AT13" s="31">
        <v>1469.4195969560001</v>
      </c>
      <c r="AU13" s="31">
        <v>1380.8824766839998</v>
      </c>
      <c r="AV13" s="31">
        <v>1454.7404308519999</v>
      </c>
      <c r="AW13" s="31">
        <v>1445</v>
      </c>
    </row>
    <row r="14" spans="2:49" x14ac:dyDescent="0.25">
      <c r="B14" s="16">
        <v>2019</v>
      </c>
      <c r="C14" s="3">
        <v>1295</v>
      </c>
      <c r="D14" s="72">
        <f t="shared" si="7"/>
        <v>1387</v>
      </c>
      <c r="E14" s="72">
        <f t="shared" si="2"/>
        <v>92</v>
      </c>
      <c r="F14" s="31">
        <f>E14^2</f>
        <v>8464</v>
      </c>
      <c r="G14" s="31">
        <f t="shared" si="9"/>
        <v>92</v>
      </c>
      <c r="H14" s="33">
        <f t="shared" si="3"/>
        <v>7.1042471042471037E-2</v>
      </c>
      <c r="J14" s="16">
        <v>2019</v>
      </c>
      <c r="K14" s="3">
        <v>1295</v>
      </c>
      <c r="L14" s="31">
        <f t="shared" si="14"/>
        <v>1482.5</v>
      </c>
      <c r="M14" s="72">
        <f t="shared" si="10"/>
        <v>187.5</v>
      </c>
      <c r="N14" s="31">
        <f t="shared" si="12"/>
        <v>35156.25</v>
      </c>
      <c r="O14" s="31">
        <f t="shared" si="13"/>
        <v>187.5</v>
      </c>
      <c r="P14" s="33">
        <f t="shared" si="11"/>
        <v>0.14478764478764478</v>
      </c>
      <c r="R14" s="16">
        <v>2019</v>
      </c>
      <c r="S14" s="3">
        <v>1295</v>
      </c>
      <c r="T14" s="31">
        <f t="shared" si="4"/>
        <v>1423.72265625</v>
      </c>
      <c r="U14" s="72">
        <f t="shared" si="0"/>
        <v>128.72265625</v>
      </c>
      <c r="V14" s="31">
        <f t="shared" si="5"/>
        <v>16569.522232055664</v>
      </c>
      <c r="W14" s="36">
        <f t="shared" si="6"/>
        <v>128.72265625</v>
      </c>
      <c r="X14" s="33">
        <f t="shared" si="1"/>
        <v>9.9399734555984554E-2</v>
      </c>
      <c r="AI14" s="16">
        <v>2019</v>
      </c>
      <c r="AJ14" s="3">
        <v>1295</v>
      </c>
      <c r="AK14" s="31">
        <v>1387</v>
      </c>
      <c r="AL14" s="31">
        <v>1482.5</v>
      </c>
      <c r="AM14" s="31">
        <v>1423.72265625</v>
      </c>
      <c r="AN14" s="31">
        <v>1411.7258790868</v>
      </c>
      <c r="AO14" s="31">
        <v>1382.7177336787997</v>
      </c>
      <c r="AQ14" s="16">
        <v>2019</v>
      </c>
      <c r="AR14" s="3">
        <v>1295</v>
      </c>
      <c r="AS14" s="31">
        <v>1423.72265625</v>
      </c>
      <c r="AT14" s="31">
        <v>1411.7258790868</v>
      </c>
      <c r="AU14" s="31">
        <v>1382.7177336787997</v>
      </c>
      <c r="AV14" s="31">
        <v>1393.7740430852</v>
      </c>
      <c r="AW14" s="31">
        <v>1387</v>
      </c>
    </row>
    <row r="15" spans="2:49" ht="15.75" thickBot="1" x14ac:dyDescent="0.3">
      <c r="B15" s="16">
        <v>2020</v>
      </c>
      <c r="C15" s="105"/>
      <c r="D15" s="37">
        <f>C14</f>
        <v>1295</v>
      </c>
      <c r="E15" s="104"/>
      <c r="F15" s="106">
        <f>AVERAGE(F4:F14)</f>
        <v>13672.636363636364</v>
      </c>
      <c r="G15" s="107">
        <f>AVERAGE(G4:G14)</f>
        <v>89.545454545454547</v>
      </c>
      <c r="H15" s="108">
        <f>AVERAGE(H4:H14)</f>
        <v>7.0133440348938814E-2</v>
      </c>
      <c r="J15" s="16">
        <v>2020</v>
      </c>
      <c r="K15" s="24"/>
      <c r="L15" s="32">
        <f>AVERAGE(K11:K14)</f>
        <v>1417.5</v>
      </c>
      <c r="M15" s="104"/>
      <c r="N15" s="103">
        <f>AVERAGE(N7:N14)</f>
        <v>60829</v>
      </c>
      <c r="O15" s="101">
        <f>AVERAGE(O7:O14)</f>
        <v>219.75</v>
      </c>
      <c r="P15" s="102">
        <f>AVERAGE(P7:P14)</f>
        <v>0.16157815001209902</v>
      </c>
      <c r="R15" s="16">
        <v>2020</v>
      </c>
      <c r="S15" s="24"/>
      <c r="T15" s="32">
        <f>MID($T$2,28,3)*S14+(1-MID($T$2,28,3))*T14</f>
        <v>1359.361328125</v>
      </c>
      <c r="U15" s="104"/>
      <c r="V15" s="103">
        <f>AVERAGE(V7:V14)</f>
        <v>37984.988656997681</v>
      </c>
      <c r="W15" s="101">
        <f>AVERAGE(W7:W14)</f>
        <v>171.47998046875</v>
      </c>
      <c r="X15" s="102">
        <f>AVERAGE(X4:X14)</f>
        <v>0.10727811686195667</v>
      </c>
      <c r="AI15" s="16">
        <v>2020</v>
      </c>
      <c r="AJ15" s="24"/>
      <c r="AK15" s="32">
        <v>1295</v>
      </c>
      <c r="AL15" s="32">
        <v>1417.5</v>
      </c>
      <c r="AM15" s="37">
        <v>1359.361328125</v>
      </c>
      <c r="AN15" s="37">
        <v>1330.0177637260399</v>
      </c>
      <c r="AO15" s="37">
        <v>1356.4024135751597</v>
      </c>
      <c r="AQ15" s="16">
        <v>2020</v>
      </c>
      <c r="AR15" s="24"/>
      <c r="AS15" s="37">
        <v>1359.361328125</v>
      </c>
      <c r="AT15" s="37">
        <v>1330.0177637260399</v>
      </c>
      <c r="AU15" s="37">
        <v>1356.4024135751597</v>
      </c>
      <c r="AV15" s="37">
        <v>1304.87740430852</v>
      </c>
      <c r="AW15" s="37">
        <v>1295</v>
      </c>
    </row>
    <row r="16" spans="2:49" ht="15.75" thickBot="1" x14ac:dyDescent="0.3">
      <c r="F16" s="47" t="s">
        <v>73</v>
      </c>
      <c r="G16" s="47" t="s">
        <v>74</v>
      </c>
      <c r="H16" s="47" t="s">
        <v>75</v>
      </c>
      <c r="N16" s="47" t="s">
        <v>73</v>
      </c>
      <c r="O16" s="47" t="s">
        <v>74</v>
      </c>
      <c r="P16" s="47" t="s">
        <v>75</v>
      </c>
      <c r="V16" s="47" t="s">
        <v>73</v>
      </c>
      <c r="W16" s="47" t="s">
        <v>74</v>
      </c>
      <c r="X16" s="47" t="s">
        <v>75</v>
      </c>
    </row>
    <row r="17" spans="2:47" s="1" customFormat="1" ht="15.75" thickBot="1" x14ac:dyDescent="0.3"/>
    <row r="18" spans="2:47" ht="30.75" thickBot="1" x14ac:dyDescent="0.3">
      <c r="B18" s="38" t="s">
        <v>13</v>
      </c>
      <c r="R18" s="26" t="s">
        <v>1</v>
      </c>
      <c r="S18" s="27" t="s">
        <v>8</v>
      </c>
      <c r="T18" s="29" t="s">
        <v>16</v>
      </c>
      <c r="U18" s="29" t="s">
        <v>6</v>
      </c>
      <c r="V18" s="29" t="s">
        <v>71</v>
      </c>
      <c r="W18" s="29" t="s">
        <v>72</v>
      </c>
      <c r="X18" s="29" t="s">
        <v>7</v>
      </c>
      <c r="AU18" s="7"/>
    </row>
    <row r="19" spans="2:47" x14ac:dyDescent="0.25">
      <c r="B19" s="38" t="s">
        <v>11</v>
      </c>
      <c r="R19" s="25">
        <v>2008</v>
      </c>
      <c r="S19" s="11">
        <v>830</v>
      </c>
      <c r="T19" s="36">
        <f>S19</f>
        <v>830</v>
      </c>
      <c r="U19" s="36">
        <f t="shared" ref="U19:U30" si="15">T19-S19</f>
        <v>0</v>
      </c>
      <c r="V19" s="31">
        <f>U19^2</f>
        <v>0</v>
      </c>
      <c r="W19" s="36">
        <f>ABS(U19)</f>
        <v>0</v>
      </c>
      <c r="X19" s="33">
        <f t="shared" ref="X19:X30" si="16">ABS(U19/S19)</f>
        <v>0</v>
      </c>
    </row>
    <row r="20" spans="2:47" x14ac:dyDescent="0.25">
      <c r="B20" s="38" t="s">
        <v>12</v>
      </c>
      <c r="R20" s="16">
        <v>2009</v>
      </c>
      <c r="S20" s="3">
        <v>858</v>
      </c>
      <c r="T20" s="31">
        <f t="shared" ref="T20:T31" si="17">MID($T$18,28,3)*S19+(1-MID($T$18,28,3))*T19</f>
        <v>830</v>
      </c>
      <c r="U20" s="31">
        <f t="shared" si="15"/>
        <v>-28</v>
      </c>
      <c r="V20" s="31">
        <f t="shared" ref="V20:V30" si="18">U20^2</f>
        <v>784</v>
      </c>
      <c r="W20" s="36">
        <f t="shared" ref="W20:W30" si="19">ABS(U20)</f>
        <v>28</v>
      </c>
      <c r="X20" s="33">
        <f t="shared" si="16"/>
        <v>3.2634032634032632E-2</v>
      </c>
    </row>
    <row r="21" spans="2:47" x14ac:dyDescent="0.25">
      <c r="B21" s="38" t="s">
        <v>14</v>
      </c>
      <c r="R21" s="16">
        <v>2010</v>
      </c>
      <c r="S21" s="3">
        <v>910</v>
      </c>
      <c r="T21" s="31">
        <f t="shared" si="17"/>
        <v>849.59999999999991</v>
      </c>
      <c r="U21" s="31">
        <f t="shared" si="15"/>
        <v>-60.400000000000091</v>
      </c>
      <c r="V21" s="31">
        <f t="shared" si="18"/>
        <v>3648.1600000000108</v>
      </c>
      <c r="W21" s="36">
        <f t="shared" si="19"/>
        <v>60.400000000000091</v>
      </c>
      <c r="X21" s="33">
        <f t="shared" si="16"/>
        <v>6.6373626373626468E-2</v>
      </c>
    </row>
    <row r="22" spans="2:47" x14ac:dyDescent="0.25">
      <c r="R22" s="16">
        <v>2011</v>
      </c>
      <c r="S22" s="3">
        <v>936</v>
      </c>
      <c r="T22" s="31">
        <f t="shared" si="17"/>
        <v>891.88</v>
      </c>
      <c r="U22" s="31">
        <f t="shared" si="15"/>
        <v>-44.120000000000005</v>
      </c>
      <c r="V22" s="31">
        <f t="shared" si="18"/>
        <v>1946.5744000000004</v>
      </c>
      <c r="W22" s="36">
        <f t="shared" si="19"/>
        <v>44.120000000000005</v>
      </c>
      <c r="X22" s="33">
        <f t="shared" si="16"/>
        <v>4.7136752136752141E-2</v>
      </c>
    </row>
    <row r="23" spans="2:47" x14ac:dyDescent="0.25">
      <c r="R23" s="16">
        <v>2012</v>
      </c>
      <c r="S23" s="3">
        <v>1192</v>
      </c>
      <c r="T23" s="31">
        <f t="shared" si="17"/>
        <v>922.7639999999999</v>
      </c>
      <c r="U23" s="31">
        <f t="shared" si="15"/>
        <v>-269.2360000000001</v>
      </c>
      <c r="V23" s="31">
        <f t="shared" si="18"/>
        <v>72488.023696000062</v>
      </c>
      <c r="W23" s="36">
        <f t="shared" si="19"/>
        <v>269.2360000000001</v>
      </c>
      <c r="X23" s="33">
        <f t="shared" si="16"/>
        <v>0.22586912751677862</v>
      </c>
    </row>
    <row r="24" spans="2:47" x14ac:dyDescent="0.25">
      <c r="R24" s="16">
        <v>2013</v>
      </c>
      <c r="S24" s="3">
        <v>1213</v>
      </c>
      <c r="T24" s="31">
        <f t="shared" si="17"/>
        <v>1111.2292</v>
      </c>
      <c r="U24" s="31">
        <f t="shared" si="15"/>
        <v>-101.77080000000001</v>
      </c>
      <c r="V24" s="31">
        <f t="shared" si="18"/>
        <v>10357.295732640001</v>
      </c>
      <c r="W24" s="36">
        <f t="shared" si="19"/>
        <v>101.77080000000001</v>
      </c>
      <c r="X24" s="33">
        <f t="shared" si="16"/>
        <v>8.3900082440230839E-2</v>
      </c>
    </row>
    <row r="25" spans="2:47" x14ac:dyDescent="0.25">
      <c r="R25" s="16">
        <v>2014</v>
      </c>
      <c r="S25" s="3">
        <v>1394</v>
      </c>
      <c r="T25" s="31">
        <f t="shared" si="17"/>
        <v>1182.46876</v>
      </c>
      <c r="U25" s="31">
        <f t="shared" si="15"/>
        <v>-211.53124000000003</v>
      </c>
      <c r="V25" s="31">
        <f t="shared" si="18"/>
        <v>44745.465495937613</v>
      </c>
      <c r="W25" s="36">
        <f t="shared" si="19"/>
        <v>211.53124000000003</v>
      </c>
      <c r="X25" s="33">
        <f t="shared" si="16"/>
        <v>0.15174407460545195</v>
      </c>
    </row>
    <row r="26" spans="2:47" x14ac:dyDescent="0.25">
      <c r="R26" s="16">
        <v>2015</v>
      </c>
      <c r="S26" s="3">
        <v>1555</v>
      </c>
      <c r="T26" s="31">
        <f t="shared" si="17"/>
        <v>1330.540628</v>
      </c>
      <c r="U26" s="31">
        <f t="shared" si="15"/>
        <v>-224.45937200000003</v>
      </c>
      <c r="V26" s="31">
        <f t="shared" si="18"/>
        <v>50382.0096786344</v>
      </c>
      <c r="W26" s="36">
        <f t="shared" si="19"/>
        <v>224.45937200000003</v>
      </c>
      <c r="X26" s="33">
        <f t="shared" si="16"/>
        <v>0.14434686302250807</v>
      </c>
    </row>
    <row r="27" spans="2:47" x14ac:dyDescent="0.25">
      <c r="R27" s="16">
        <v>2016</v>
      </c>
      <c r="S27" s="3">
        <v>1543</v>
      </c>
      <c r="T27" s="31">
        <f t="shared" si="17"/>
        <v>1487.6621884000001</v>
      </c>
      <c r="U27" s="31">
        <f t="shared" si="15"/>
        <v>-55.337811599999895</v>
      </c>
      <c r="V27" s="31">
        <f t="shared" si="18"/>
        <v>3062.2733926770829</v>
      </c>
      <c r="W27" s="36">
        <f t="shared" si="19"/>
        <v>55.337811599999895</v>
      </c>
      <c r="X27" s="33">
        <f t="shared" si="16"/>
        <v>3.5863779390797081E-2</v>
      </c>
    </row>
    <row r="28" spans="2:47" x14ac:dyDescent="0.25">
      <c r="R28" s="16">
        <v>2017</v>
      </c>
      <c r="S28" s="3">
        <v>1445</v>
      </c>
      <c r="T28" s="31">
        <f t="shared" si="17"/>
        <v>1526.39865652</v>
      </c>
      <c r="U28" s="31">
        <f t="shared" si="15"/>
        <v>81.398656520000031</v>
      </c>
      <c r="V28" s="31">
        <f t="shared" si="18"/>
        <v>6625.7412832609434</v>
      </c>
      <c r="W28" s="36">
        <f t="shared" si="19"/>
        <v>81.398656520000031</v>
      </c>
      <c r="X28" s="33">
        <f t="shared" si="16"/>
        <v>5.6331250186851235E-2</v>
      </c>
    </row>
    <row r="29" spans="2:47" x14ac:dyDescent="0.25">
      <c r="R29" s="16">
        <v>2018</v>
      </c>
      <c r="S29" s="3">
        <v>1387</v>
      </c>
      <c r="T29" s="31">
        <f t="shared" si="17"/>
        <v>1469.4195969560001</v>
      </c>
      <c r="U29" s="31">
        <f t="shared" si="15"/>
        <v>82.419596956000078</v>
      </c>
      <c r="V29" s="31">
        <f t="shared" si="18"/>
        <v>6792.9899623894971</v>
      </c>
      <c r="W29" s="36">
        <f t="shared" si="19"/>
        <v>82.419596956000078</v>
      </c>
      <c r="X29" s="33">
        <f t="shared" si="16"/>
        <v>5.9422924986301424E-2</v>
      </c>
    </row>
    <row r="30" spans="2:47" x14ac:dyDescent="0.25">
      <c r="R30" s="16">
        <v>2019</v>
      </c>
      <c r="S30" s="3">
        <v>1295</v>
      </c>
      <c r="T30" s="31">
        <f t="shared" si="17"/>
        <v>1411.7258790868</v>
      </c>
      <c r="U30" s="31">
        <f t="shared" si="15"/>
        <v>116.72587908679998</v>
      </c>
      <c r="V30" s="31">
        <f t="shared" si="18"/>
        <v>13624.930848586248</v>
      </c>
      <c r="W30" s="36">
        <f t="shared" si="19"/>
        <v>116.72587908679998</v>
      </c>
      <c r="X30" s="33">
        <f t="shared" si="16"/>
        <v>9.0135813966640915E-2</v>
      </c>
    </row>
    <row r="31" spans="2:47" ht="15.75" thickBot="1" x14ac:dyDescent="0.3">
      <c r="R31" s="16">
        <v>2020</v>
      </c>
      <c r="S31" s="24"/>
      <c r="T31" s="37">
        <f t="shared" si="17"/>
        <v>1330.0177637260399</v>
      </c>
      <c r="U31" s="104"/>
      <c r="V31" s="103">
        <f>AVERAGE(V23:V30)</f>
        <v>26009.841261265734</v>
      </c>
      <c r="W31" s="101">
        <f>AVERAGE(W23:W30)</f>
        <v>142.85991952035002</v>
      </c>
      <c r="X31" s="102">
        <f>AVERAGE(X20:X30)</f>
        <v>9.0341666114542862E-2</v>
      </c>
    </row>
    <row r="32" spans="2:47" s="46" customFormat="1" ht="15.75" thickBot="1" x14ac:dyDescent="0.3">
      <c r="R32" s="39"/>
      <c r="S32" s="42"/>
      <c r="T32" s="43"/>
      <c r="U32" s="44"/>
      <c r="V32" s="47" t="s">
        <v>73</v>
      </c>
      <c r="W32" s="47" t="s">
        <v>74</v>
      </c>
      <c r="X32" s="47" t="s">
        <v>75</v>
      </c>
    </row>
    <row r="33" spans="18:24" ht="15.75" thickBot="1" x14ac:dyDescent="0.3"/>
    <row r="34" spans="18:24" ht="30.75" thickBot="1" x14ac:dyDescent="0.3">
      <c r="R34" s="26" t="s">
        <v>1</v>
      </c>
      <c r="S34" s="27" t="s">
        <v>8</v>
      </c>
      <c r="T34" s="29" t="s">
        <v>17</v>
      </c>
      <c r="U34" s="29" t="s">
        <v>6</v>
      </c>
      <c r="V34" s="29" t="s">
        <v>71</v>
      </c>
      <c r="W34" s="29" t="s">
        <v>72</v>
      </c>
      <c r="X34" s="29" t="s">
        <v>7</v>
      </c>
    </row>
    <row r="35" spans="18:24" x14ac:dyDescent="0.25">
      <c r="R35" s="25">
        <v>2008</v>
      </c>
      <c r="S35" s="11">
        <v>830</v>
      </c>
      <c r="T35" s="36">
        <f>S35</f>
        <v>830</v>
      </c>
      <c r="U35" s="36">
        <f t="shared" ref="U35:U46" si="20">T35-S35</f>
        <v>0</v>
      </c>
      <c r="V35" s="31">
        <f>U35^2</f>
        <v>0</v>
      </c>
      <c r="W35" s="36">
        <f>ABS(U35)</f>
        <v>0</v>
      </c>
      <c r="X35" s="33">
        <f t="shared" ref="X35:X46" si="21">ABS(U35/S35)</f>
        <v>0</v>
      </c>
    </row>
    <row r="36" spans="18:24" x14ac:dyDescent="0.25">
      <c r="R36" s="16">
        <v>2009</v>
      </c>
      <c r="S36" s="3">
        <v>858</v>
      </c>
      <c r="T36" s="31">
        <f t="shared" ref="T36:T47" si="22">MID($T$34,28,3)*S35+(1-MID($T$34,28,3))*T35</f>
        <v>830</v>
      </c>
      <c r="U36" s="31">
        <f t="shared" si="20"/>
        <v>-28</v>
      </c>
      <c r="V36" s="31">
        <f t="shared" ref="V36:V46" si="23">U36^2</f>
        <v>784</v>
      </c>
      <c r="W36" s="36">
        <f t="shared" ref="W36:W46" si="24">ABS(U36)</f>
        <v>28</v>
      </c>
      <c r="X36" s="33">
        <f t="shared" si="21"/>
        <v>3.2634032634032632E-2</v>
      </c>
    </row>
    <row r="37" spans="18:24" x14ac:dyDescent="0.25">
      <c r="R37" s="16">
        <v>2010</v>
      </c>
      <c r="S37" s="3">
        <v>910</v>
      </c>
      <c r="T37" s="31">
        <f t="shared" si="22"/>
        <v>838.4</v>
      </c>
      <c r="U37" s="31">
        <f t="shared" si="20"/>
        <v>-71.600000000000023</v>
      </c>
      <c r="V37" s="31">
        <f t="shared" si="23"/>
        <v>5126.5600000000031</v>
      </c>
      <c r="W37" s="36">
        <f t="shared" si="24"/>
        <v>71.600000000000023</v>
      </c>
      <c r="X37" s="33">
        <f t="shared" si="21"/>
        <v>7.868131868131871E-2</v>
      </c>
    </row>
    <row r="38" spans="18:24" x14ac:dyDescent="0.25">
      <c r="R38" s="16">
        <v>2011</v>
      </c>
      <c r="S38" s="3">
        <v>936</v>
      </c>
      <c r="T38" s="31">
        <f t="shared" si="22"/>
        <v>859.88</v>
      </c>
      <c r="U38" s="31">
        <f t="shared" si="20"/>
        <v>-76.12</v>
      </c>
      <c r="V38" s="31">
        <f t="shared" si="23"/>
        <v>5794.2544000000007</v>
      </c>
      <c r="W38" s="36">
        <f t="shared" si="24"/>
        <v>76.12</v>
      </c>
      <c r="X38" s="33">
        <f t="shared" si="21"/>
        <v>8.1324786324786333E-2</v>
      </c>
    </row>
    <row r="39" spans="18:24" x14ac:dyDescent="0.25">
      <c r="R39" s="16">
        <v>2012</v>
      </c>
      <c r="S39" s="3">
        <v>1192</v>
      </c>
      <c r="T39" s="31">
        <f t="shared" si="22"/>
        <v>882.71599999999989</v>
      </c>
      <c r="U39" s="31">
        <f t="shared" si="20"/>
        <v>-309.28400000000011</v>
      </c>
      <c r="V39" s="31">
        <f t="shared" si="23"/>
        <v>95656.592656000066</v>
      </c>
      <c r="W39" s="36">
        <f t="shared" si="24"/>
        <v>309.28400000000011</v>
      </c>
      <c r="X39" s="33">
        <f t="shared" si="21"/>
        <v>0.25946644295302024</v>
      </c>
    </row>
    <row r="40" spans="18:24" x14ac:dyDescent="0.25">
      <c r="R40" s="16">
        <v>2013</v>
      </c>
      <c r="S40" s="3">
        <v>1213</v>
      </c>
      <c r="T40" s="31">
        <f t="shared" si="22"/>
        <v>975.50119999999993</v>
      </c>
      <c r="U40" s="31">
        <f t="shared" si="20"/>
        <v>-237.49880000000007</v>
      </c>
      <c r="V40" s="31">
        <f t="shared" si="23"/>
        <v>56405.680001440036</v>
      </c>
      <c r="W40" s="36">
        <f t="shared" si="24"/>
        <v>237.49880000000007</v>
      </c>
      <c r="X40" s="33">
        <f t="shared" si="21"/>
        <v>0.19579455894476511</v>
      </c>
    </row>
    <row r="41" spans="18:24" x14ac:dyDescent="0.25">
      <c r="R41" s="16">
        <v>2014</v>
      </c>
      <c r="S41" s="3">
        <v>1394</v>
      </c>
      <c r="T41" s="31">
        <f t="shared" si="22"/>
        <v>1046.7508399999999</v>
      </c>
      <c r="U41" s="31">
        <f t="shared" si="20"/>
        <v>-347.24916000000007</v>
      </c>
      <c r="V41" s="31">
        <f t="shared" si="23"/>
        <v>120581.97912070566</v>
      </c>
      <c r="W41" s="36">
        <f t="shared" si="24"/>
        <v>347.24916000000007</v>
      </c>
      <c r="X41" s="33">
        <f t="shared" si="21"/>
        <v>0.24910269727403161</v>
      </c>
    </row>
    <row r="42" spans="18:24" x14ac:dyDescent="0.25">
      <c r="R42" s="16">
        <v>2015</v>
      </c>
      <c r="S42" s="3">
        <v>1555</v>
      </c>
      <c r="T42" s="31">
        <f t="shared" si="22"/>
        <v>1150.9255879999998</v>
      </c>
      <c r="U42" s="31">
        <f t="shared" si="20"/>
        <v>-404.07441200000017</v>
      </c>
      <c r="V42" s="31">
        <f t="shared" si="23"/>
        <v>163276.13043314588</v>
      </c>
      <c r="W42" s="36">
        <f t="shared" si="24"/>
        <v>404.07441200000017</v>
      </c>
      <c r="X42" s="33">
        <f t="shared" si="21"/>
        <v>0.25985492733118981</v>
      </c>
    </row>
    <row r="43" spans="18:24" x14ac:dyDescent="0.25">
      <c r="R43" s="16">
        <v>2016</v>
      </c>
      <c r="S43" s="3">
        <v>1543</v>
      </c>
      <c r="T43" s="31">
        <f t="shared" si="22"/>
        <v>1272.1479115999998</v>
      </c>
      <c r="U43" s="31">
        <f t="shared" si="20"/>
        <v>-270.85208840000018</v>
      </c>
      <c r="V43" s="31">
        <f t="shared" si="23"/>
        <v>73360.853790641515</v>
      </c>
      <c r="W43" s="36">
        <f t="shared" si="24"/>
        <v>270.85208840000018</v>
      </c>
      <c r="X43" s="33">
        <f t="shared" si="21"/>
        <v>0.17553602618276098</v>
      </c>
    </row>
    <row r="44" spans="18:24" x14ac:dyDescent="0.25">
      <c r="R44" s="16">
        <v>2017</v>
      </c>
      <c r="S44" s="3">
        <v>1445</v>
      </c>
      <c r="T44" s="31">
        <f t="shared" si="22"/>
        <v>1353.4035381199997</v>
      </c>
      <c r="U44" s="31">
        <f t="shared" si="20"/>
        <v>-91.596461880000334</v>
      </c>
      <c r="V44" s="31">
        <f t="shared" si="23"/>
        <v>8389.9118289343551</v>
      </c>
      <c r="W44" s="36">
        <f t="shared" si="24"/>
        <v>91.596461880000334</v>
      </c>
      <c r="X44" s="33">
        <f t="shared" si="21"/>
        <v>6.3388554934256283E-2</v>
      </c>
    </row>
    <row r="45" spans="18:24" x14ac:dyDescent="0.25">
      <c r="R45" s="16">
        <v>2018</v>
      </c>
      <c r="S45" s="3">
        <v>1387</v>
      </c>
      <c r="T45" s="31">
        <f t="shared" si="22"/>
        <v>1380.8824766839998</v>
      </c>
      <c r="U45" s="31">
        <f t="shared" si="20"/>
        <v>-6.1175233160001881</v>
      </c>
      <c r="V45" s="31">
        <f t="shared" si="23"/>
        <v>37.424091521805934</v>
      </c>
      <c r="W45" s="36">
        <f t="shared" si="24"/>
        <v>6.1175233160001881</v>
      </c>
      <c r="X45" s="33">
        <f t="shared" si="21"/>
        <v>4.4106152242250818E-3</v>
      </c>
    </row>
    <row r="46" spans="18:24" x14ac:dyDescent="0.25">
      <c r="R46" s="16">
        <v>2019</v>
      </c>
      <c r="S46" s="3">
        <v>1295</v>
      </c>
      <c r="T46" s="31">
        <f t="shared" si="22"/>
        <v>1382.7177336787997</v>
      </c>
      <c r="U46" s="31">
        <f t="shared" si="20"/>
        <v>87.717733678799732</v>
      </c>
      <c r="V46" s="31">
        <f t="shared" si="23"/>
        <v>7694.4008017448368</v>
      </c>
      <c r="W46" s="36">
        <f t="shared" si="24"/>
        <v>87.717733678799732</v>
      </c>
      <c r="X46" s="33">
        <f t="shared" si="21"/>
        <v>6.7735701682470839E-2</v>
      </c>
    </row>
    <row r="47" spans="18:24" ht="15.75" thickBot="1" x14ac:dyDescent="0.3">
      <c r="R47" s="16">
        <v>2020</v>
      </c>
      <c r="S47" s="24"/>
      <c r="T47" s="37">
        <f t="shared" si="22"/>
        <v>1356.4024135751597</v>
      </c>
      <c r="U47" s="104"/>
      <c r="V47" s="103">
        <f>AVERAGE(V23:V30)</f>
        <v>26009.841261265734</v>
      </c>
      <c r="W47" s="101">
        <f>AVERAGE(W23:W30)</f>
        <v>142.85991952035002</v>
      </c>
      <c r="X47" s="102">
        <f>AVERAGE(X36:X46)</f>
        <v>0.13344815110607799</v>
      </c>
    </row>
    <row r="48" spans="18:24" s="46" customFormat="1" ht="15.75" thickBot="1" x14ac:dyDescent="0.3">
      <c r="R48" s="39"/>
      <c r="S48" s="42"/>
      <c r="T48" s="43"/>
      <c r="U48" s="44"/>
      <c r="V48" s="47" t="s">
        <v>73</v>
      </c>
      <c r="W48" s="47" t="s">
        <v>74</v>
      </c>
      <c r="X48" s="47" t="s">
        <v>75</v>
      </c>
    </row>
    <row r="49" spans="18:24" ht="15.75" thickBot="1" x14ac:dyDescent="0.3"/>
    <row r="50" spans="18:24" ht="30.75" thickBot="1" x14ac:dyDescent="0.3">
      <c r="R50" s="26" t="s">
        <v>1</v>
      </c>
      <c r="S50" s="27" t="s">
        <v>8</v>
      </c>
      <c r="T50" s="29" t="s">
        <v>18</v>
      </c>
      <c r="U50" s="29" t="s">
        <v>6</v>
      </c>
      <c r="V50" s="29" t="s">
        <v>71</v>
      </c>
      <c r="W50" s="29" t="s">
        <v>72</v>
      </c>
      <c r="X50" s="29" t="s">
        <v>7</v>
      </c>
    </row>
    <row r="51" spans="18:24" x14ac:dyDescent="0.25">
      <c r="R51" s="25">
        <v>2008</v>
      </c>
      <c r="S51" s="11">
        <v>830</v>
      </c>
      <c r="T51" s="36">
        <f>S51</f>
        <v>830</v>
      </c>
      <c r="U51" s="36">
        <f t="shared" ref="U51:U62" si="25">T51-S51</f>
        <v>0</v>
      </c>
      <c r="V51" s="31">
        <f>U51^2</f>
        <v>0</v>
      </c>
      <c r="W51" s="36">
        <f>ABS(U51)</f>
        <v>0</v>
      </c>
      <c r="X51" s="33">
        <f t="shared" ref="X51:X62" si="26">ABS(U51/S51)</f>
        <v>0</v>
      </c>
    </row>
    <row r="52" spans="18:24" x14ac:dyDescent="0.25">
      <c r="R52" s="16">
        <v>2009</v>
      </c>
      <c r="S52" s="3">
        <v>858</v>
      </c>
      <c r="T52" s="31">
        <f t="shared" ref="T52:T63" si="27">MID($T$50,28,3)*S51+(1-MID($T$50,28,3))*T51</f>
        <v>830</v>
      </c>
      <c r="U52" s="31">
        <f t="shared" si="25"/>
        <v>-28</v>
      </c>
      <c r="V52" s="31">
        <f t="shared" ref="V52:V62" si="28">U52^2</f>
        <v>784</v>
      </c>
      <c r="W52" s="36">
        <f t="shared" ref="W52:W62" si="29">ABS(U52)</f>
        <v>28</v>
      </c>
      <c r="X52" s="33">
        <f t="shared" si="26"/>
        <v>3.2634032634032632E-2</v>
      </c>
    </row>
    <row r="53" spans="18:24" x14ac:dyDescent="0.25">
      <c r="R53" s="16">
        <v>2010</v>
      </c>
      <c r="S53" s="3">
        <v>910</v>
      </c>
      <c r="T53" s="31">
        <f t="shared" si="27"/>
        <v>855.2</v>
      </c>
      <c r="U53" s="31">
        <f t="shared" si="25"/>
        <v>-54.799999999999955</v>
      </c>
      <c r="V53" s="31">
        <f t="shared" si="28"/>
        <v>3003.039999999995</v>
      </c>
      <c r="W53" s="36">
        <f t="shared" si="29"/>
        <v>54.799999999999955</v>
      </c>
      <c r="X53" s="33">
        <f t="shared" si="26"/>
        <v>6.0219780219780167E-2</v>
      </c>
    </row>
    <row r="54" spans="18:24" x14ac:dyDescent="0.25">
      <c r="R54" s="16">
        <v>2011</v>
      </c>
      <c r="S54" s="3">
        <v>936</v>
      </c>
      <c r="T54" s="31">
        <f t="shared" si="27"/>
        <v>904.52</v>
      </c>
      <c r="U54" s="31">
        <f t="shared" si="25"/>
        <v>-31.480000000000018</v>
      </c>
      <c r="V54" s="31">
        <f t="shared" si="28"/>
        <v>990.99040000000116</v>
      </c>
      <c r="W54" s="36">
        <f t="shared" si="29"/>
        <v>31.480000000000018</v>
      </c>
      <c r="X54" s="33">
        <f t="shared" si="26"/>
        <v>3.3632478632478653E-2</v>
      </c>
    </row>
    <row r="55" spans="18:24" x14ac:dyDescent="0.25">
      <c r="R55" s="16">
        <v>2012</v>
      </c>
      <c r="S55" s="3">
        <v>1192</v>
      </c>
      <c r="T55" s="31">
        <f t="shared" si="27"/>
        <v>932.85199999999998</v>
      </c>
      <c r="U55" s="31">
        <f t="shared" si="25"/>
        <v>-259.14800000000002</v>
      </c>
      <c r="V55" s="31">
        <f t="shared" si="28"/>
        <v>67157.685904000013</v>
      </c>
      <c r="W55" s="36">
        <f t="shared" si="29"/>
        <v>259.14800000000002</v>
      </c>
      <c r="X55" s="33">
        <f t="shared" si="26"/>
        <v>0.21740604026845639</v>
      </c>
    </row>
    <row r="56" spans="18:24" x14ac:dyDescent="0.25">
      <c r="R56" s="16">
        <v>2013</v>
      </c>
      <c r="S56" s="3">
        <v>1213</v>
      </c>
      <c r="T56" s="31">
        <f t="shared" si="27"/>
        <v>1166.0852</v>
      </c>
      <c r="U56" s="31">
        <f t="shared" si="25"/>
        <v>-46.914800000000014</v>
      </c>
      <c r="V56" s="31">
        <f t="shared" si="28"/>
        <v>2200.9984590400013</v>
      </c>
      <c r="W56" s="36">
        <f t="shared" si="29"/>
        <v>46.914800000000014</v>
      </c>
      <c r="X56" s="33">
        <f t="shared" si="26"/>
        <v>3.8676669414674375E-2</v>
      </c>
    </row>
    <row r="57" spans="18:24" x14ac:dyDescent="0.25">
      <c r="R57" s="16">
        <v>2014</v>
      </c>
      <c r="S57" s="3">
        <v>1394</v>
      </c>
      <c r="T57" s="31">
        <f t="shared" si="27"/>
        <v>1208.30852</v>
      </c>
      <c r="U57" s="31">
        <f t="shared" si="25"/>
        <v>-185.69147999999996</v>
      </c>
      <c r="V57" s="31">
        <f t="shared" si="28"/>
        <v>34481.32574459038</v>
      </c>
      <c r="W57" s="36">
        <f t="shared" si="29"/>
        <v>185.69147999999996</v>
      </c>
      <c r="X57" s="33">
        <f t="shared" si="26"/>
        <v>0.1332076614060258</v>
      </c>
    </row>
    <row r="58" spans="18:24" x14ac:dyDescent="0.25">
      <c r="R58" s="16">
        <v>2015</v>
      </c>
      <c r="S58" s="3">
        <v>1555</v>
      </c>
      <c r="T58" s="31">
        <f t="shared" si="27"/>
        <v>1375.4308520000002</v>
      </c>
      <c r="U58" s="31">
        <f t="shared" si="25"/>
        <v>-179.56914799999981</v>
      </c>
      <c r="V58" s="31">
        <f t="shared" si="28"/>
        <v>32245.078913445835</v>
      </c>
      <c r="W58" s="36">
        <f t="shared" si="29"/>
        <v>179.56914799999981</v>
      </c>
      <c r="X58" s="33">
        <f t="shared" si="26"/>
        <v>0.11547855176848863</v>
      </c>
    </row>
    <row r="59" spans="18:24" x14ac:dyDescent="0.25">
      <c r="R59" s="16">
        <v>2016</v>
      </c>
      <c r="S59" s="3">
        <v>1543</v>
      </c>
      <c r="T59" s="31">
        <f t="shared" si="27"/>
        <v>1537.0430852</v>
      </c>
      <c r="U59" s="31">
        <f t="shared" si="25"/>
        <v>-5.9569148000000496</v>
      </c>
      <c r="V59" s="31">
        <f t="shared" si="28"/>
        <v>35.48483393445963</v>
      </c>
      <c r="W59" s="36">
        <f t="shared" si="29"/>
        <v>5.9569148000000496</v>
      </c>
      <c r="X59" s="33">
        <f t="shared" si="26"/>
        <v>3.8606058327932918E-3</v>
      </c>
    </row>
    <row r="60" spans="18:24" x14ac:dyDescent="0.25">
      <c r="R60" s="16">
        <v>2017</v>
      </c>
      <c r="S60" s="3">
        <v>1445</v>
      </c>
      <c r="T60" s="31">
        <f t="shared" si="27"/>
        <v>1542.4043085200001</v>
      </c>
      <c r="U60" s="31">
        <f t="shared" si="25"/>
        <v>97.404308520000086</v>
      </c>
      <c r="V60" s="31">
        <f t="shared" si="28"/>
        <v>9487.5993182593611</v>
      </c>
      <c r="W60" s="36">
        <f t="shared" si="29"/>
        <v>97.404308520000086</v>
      </c>
      <c r="X60" s="33">
        <f t="shared" si="26"/>
        <v>6.7407825965397988E-2</v>
      </c>
    </row>
    <row r="61" spans="18:24" x14ac:dyDescent="0.25">
      <c r="R61" s="16">
        <v>2018</v>
      </c>
      <c r="S61" s="3">
        <v>1387</v>
      </c>
      <c r="T61" s="31">
        <f t="shared" si="27"/>
        <v>1454.7404308519999</v>
      </c>
      <c r="U61" s="31">
        <f t="shared" si="25"/>
        <v>67.740430851999918</v>
      </c>
      <c r="V61" s="31">
        <f t="shared" si="28"/>
        <v>4588.7659720145821</v>
      </c>
      <c r="W61" s="36">
        <f t="shared" si="29"/>
        <v>67.740430851999918</v>
      </c>
      <c r="X61" s="33">
        <f t="shared" si="26"/>
        <v>4.8839531976928564E-2</v>
      </c>
    </row>
    <row r="62" spans="18:24" x14ac:dyDescent="0.25">
      <c r="R62" s="16">
        <v>2019</v>
      </c>
      <c r="S62" s="3">
        <v>1295</v>
      </c>
      <c r="T62" s="31">
        <f t="shared" si="27"/>
        <v>1393.7740430852</v>
      </c>
      <c r="U62" s="31">
        <f t="shared" si="25"/>
        <v>98.774043085199992</v>
      </c>
      <c r="V62" s="31">
        <f t="shared" si="28"/>
        <v>9756.3115873969437</v>
      </c>
      <c r="W62" s="36">
        <f t="shared" si="29"/>
        <v>98.774043085199992</v>
      </c>
      <c r="X62" s="33">
        <f t="shared" si="26"/>
        <v>7.6273392343783775E-2</v>
      </c>
    </row>
    <row r="63" spans="18:24" ht="15.75" thickBot="1" x14ac:dyDescent="0.3">
      <c r="R63" s="16">
        <v>2020</v>
      </c>
      <c r="S63" s="24"/>
      <c r="T63" s="37">
        <f t="shared" si="27"/>
        <v>1304.87740430852</v>
      </c>
      <c r="U63" s="104"/>
      <c r="V63" s="103">
        <f>AVERAGE(V39:V46)</f>
        <v>65675.371590516777</v>
      </c>
      <c r="W63" s="101">
        <f>AVERAGE(W39:W46)</f>
        <v>219.29877240935011</v>
      </c>
      <c r="X63" s="102">
        <f>AVERAGE(X52:X62)</f>
        <v>7.5239688223894582E-2</v>
      </c>
    </row>
    <row r="64" spans="18:24" s="46" customFormat="1" ht="15.75" thickBot="1" x14ac:dyDescent="0.3">
      <c r="R64" s="39"/>
      <c r="S64" s="42"/>
      <c r="T64" s="43"/>
      <c r="U64" s="44"/>
      <c r="V64" s="47" t="s">
        <v>73</v>
      </c>
      <c r="W64" s="47" t="s">
        <v>74</v>
      </c>
      <c r="X64" s="47" t="s">
        <v>75</v>
      </c>
    </row>
    <row r="65" spans="18:24" ht="15.75" thickBot="1" x14ac:dyDescent="0.3"/>
    <row r="66" spans="18:24" ht="30.75" thickBot="1" x14ac:dyDescent="0.3">
      <c r="R66" s="26" t="s">
        <v>1</v>
      </c>
      <c r="S66" s="27" t="s">
        <v>8</v>
      </c>
      <c r="T66" s="29" t="s">
        <v>19</v>
      </c>
      <c r="U66" s="29" t="s">
        <v>6</v>
      </c>
      <c r="V66" s="29" t="s">
        <v>71</v>
      </c>
      <c r="W66" s="29" t="s">
        <v>72</v>
      </c>
      <c r="X66" s="29" t="s">
        <v>7</v>
      </c>
    </row>
    <row r="67" spans="18:24" x14ac:dyDescent="0.25">
      <c r="R67" s="25">
        <v>2008</v>
      </c>
      <c r="S67" s="11">
        <v>830</v>
      </c>
      <c r="T67" s="36">
        <f>S67</f>
        <v>830</v>
      </c>
      <c r="U67" s="36">
        <f t="shared" ref="U67:U78" si="30">T67-S67</f>
        <v>0</v>
      </c>
      <c r="V67" s="31">
        <f>U67^2</f>
        <v>0</v>
      </c>
      <c r="W67" s="36">
        <f>ABS(U67)</f>
        <v>0</v>
      </c>
      <c r="X67" s="33">
        <f t="shared" ref="X67:X78" si="31">ABS(U67/S67)</f>
        <v>0</v>
      </c>
    </row>
    <row r="68" spans="18:24" x14ac:dyDescent="0.25">
      <c r="R68" s="16">
        <v>2009</v>
      </c>
      <c r="S68" s="3">
        <v>858</v>
      </c>
      <c r="T68" s="31">
        <f t="shared" ref="T68:T79" si="32">MID($T$66,28,4)*S67+(1-MID($T$66,28,4))*T67</f>
        <v>830</v>
      </c>
      <c r="U68" s="31">
        <f t="shared" si="30"/>
        <v>-28</v>
      </c>
      <c r="V68" s="31">
        <f t="shared" ref="V68:V78" si="33">U68^2</f>
        <v>784</v>
      </c>
      <c r="W68" s="36">
        <f t="shared" ref="W68:W78" si="34">ABS(U68)</f>
        <v>28</v>
      </c>
      <c r="X68" s="33">
        <f t="shared" si="31"/>
        <v>3.2634032634032632E-2</v>
      </c>
    </row>
    <row r="69" spans="18:24" x14ac:dyDescent="0.25">
      <c r="R69" s="16">
        <v>2010</v>
      </c>
      <c r="S69" s="3">
        <v>910</v>
      </c>
      <c r="T69" s="31">
        <f t="shared" si="32"/>
        <v>856.59999999999991</v>
      </c>
      <c r="U69" s="31">
        <f t="shared" si="30"/>
        <v>-53.400000000000091</v>
      </c>
      <c r="V69" s="31">
        <f t="shared" si="33"/>
        <v>2851.5600000000095</v>
      </c>
      <c r="W69" s="36">
        <f t="shared" si="34"/>
        <v>53.400000000000091</v>
      </c>
      <c r="X69" s="33">
        <f t="shared" si="31"/>
        <v>5.8681318681318782E-2</v>
      </c>
    </row>
    <row r="70" spans="18:24" x14ac:dyDescent="0.25">
      <c r="R70" s="16">
        <v>2011</v>
      </c>
      <c r="S70" s="3">
        <v>936</v>
      </c>
      <c r="T70" s="31">
        <f t="shared" si="32"/>
        <v>907.33</v>
      </c>
      <c r="U70" s="31">
        <f t="shared" si="30"/>
        <v>-28.669999999999959</v>
      </c>
      <c r="V70" s="31">
        <f t="shared" si="33"/>
        <v>821.96889999999769</v>
      </c>
      <c r="W70" s="36">
        <f t="shared" si="34"/>
        <v>28.669999999999959</v>
      </c>
      <c r="X70" s="33">
        <f t="shared" si="31"/>
        <v>3.0630341880341836E-2</v>
      </c>
    </row>
    <row r="71" spans="18:24" x14ac:dyDescent="0.25">
      <c r="R71" s="16">
        <v>2012</v>
      </c>
      <c r="S71" s="3">
        <v>1192</v>
      </c>
      <c r="T71" s="31">
        <f t="shared" si="32"/>
        <v>934.56650000000002</v>
      </c>
      <c r="U71" s="31">
        <f t="shared" si="30"/>
        <v>-257.43349999999998</v>
      </c>
      <c r="V71" s="31">
        <f t="shared" si="33"/>
        <v>66272.006922249988</v>
      </c>
      <c r="W71" s="36">
        <f t="shared" si="34"/>
        <v>257.43349999999998</v>
      </c>
      <c r="X71" s="33">
        <f t="shared" si="31"/>
        <v>0.21596770134228185</v>
      </c>
    </row>
    <row r="72" spans="18:24" x14ac:dyDescent="0.25">
      <c r="R72" s="16">
        <v>2013</v>
      </c>
      <c r="S72" s="3">
        <v>1213</v>
      </c>
      <c r="T72" s="31">
        <f t="shared" si="32"/>
        <v>1179.1283249999999</v>
      </c>
      <c r="U72" s="31">
        <f t="shared" si="30"/>
        <v>-33.871675000000096</v>
      </c>
      <c r="V72" s="31">
        <f t="shared" si="33"/>
        <v>1147.2903673056314</v>
      </c>
      <c r="W72" s="36">
        <f t="shared" si="34"/>
        <v>33.871675000000096</v>
      </c>
      <c r="X72" s="33">
        <f t="shared" si="31"/>
        <v>2.7923887056883839E-2</v>
      </c>
    </row>
    <row r="73" spans="18:24" x14ac:dyDescent="0.25">
      <c r="R73" s="16">
        <v>2014</v>
      </c>
      <c r="S73" s="3">
        <v>1394</v>
      </c>
      <c r="T73" s="31">
        <f t="shared" si="32"/>
        <v>1211.30641625</v>
      </c>
      <c r="U73" s="31">
        <f t="shared" si="30"/>
        <v>-182.69358375000002</v>
      </c>
      <c r="V73" s="31">
        <f t="shared" si="33"/>
        <v>33376.945543418267</v>
      </c>
      <c r="W73" s="36">
        <f t="shared" si="34"/>
        <v>182.69358375000002</v>
      </c>
      <c r="X73" s="33">
        <f t="shared" si="31"/>
        <v>0.13105709020803444</v>
      </c>
    </row>
    <row r="74" spans="18:24" x14ac:dyDescent="0.25">
      <c r="R74" s="16">
        <v>2015</v>
      </c>
      <c r="S74" s="3">
        <v>1555</v>
      </c>
      <c r="T74" s="31">
        <f t="shared" si="32"/>
        <v>1384.8653208124999</v>
      </c>
      <c r="U74" s="31">
        <f t="shared" si="30"/>
        <v>-170.13467918750007</v>
      </c>
      <c r="V74" s="31">
        <f t="shared" si="33"/>
        <v>28945.809062233569</v>
      </c>
      <c r="W74" s="36">
        <f t="shared" si="34"/>
        <v>170.13467918750007</v>
      </c>
      <c r="X74" s="33">
        <f t="shared" si="31"/>
        <v>0.10941136925241161</v>
      </c>
    </row>
    <row r="75" spans="18:24" x14ac:dyDescent="0.25">
      <c r="R75" s="16">
        <v>2016</v>
      </c>
      <c r="S75" s="3">
        <v>1543</v>
      </c>
      <c r="T75" s="31">
        <f t="shared" si="32"/>
        <v>1546.493266040625</v>
      </c>
      <c r="U75" s="31">
        <f t="shared" si="30"/>
        <v>3.4932660406250307</v>
      </c>
      <c r="V75" s="31">
        <f t="shared" si="33"/>
        <v>12.202907630584079</v>
      </c>
      <c r="W75" s="36">
        <f t="shared" si="34"/>
        <v>3.4932660406250307</v>
      </c>
      <c r="X75" s="33">
        <f t="shared" si="31"/>
        <v>2.2639442907485619E-3</v>
      </c>
    </row>
    <row r="76" spans="18:24" x14ac:dyDescent="0.25">
      <c r="R76" s="16">
        <v>2017</v>
      </c>
      <c r="S76" s="3">
        <v>1445</v>
      </c>
      <c r="T76" s="31">
        <f t="shared" si="32"/>
        <v>1543.1746633020311</v>
      </c>
      <c r="U76" s="31">
        <f t="shared" si="30"/>
        <v>98.174663302031149</v>
      </c>
      <c r="V76" s="31">
        <f t="shared" si="33"/>
        <v>9638.2645144671824</v>
      </c>
      <c r="W76" s="36">
        <f t="shared" si="34"/>
        <v>98.174663302031149</v>
      </c>
      <c r="X76" s="33">
        <f t="shared" si="31"/>
        <v>6.7940943461613251E-2</v>
      </c>
    </row>
    <row r="77" spans="18:24" x14ac:dyDescent="0.25">
      <c r="R77" s="16">
        <v>2018</v>
      </c>
      <c r="S77" s="3">
        <v>1387</v>
      </c>
      <c r="T77" s="31">
        <f t="shared" si="32"/>
        <v>1449.9087331651017</v>
      </c>
      <c r="U77" s="31">
        <f t="shared" si="30"/>
        <v>62.908733165101694</v>
      </c>
      <c r="V77" s="31">
        <f t="shared" si="33"/>
        <v>3957.5087084379657</v>
      </c>
      <c r="W77" s="36">
        <f t="shared" si="34"/>
        <v>62.908733165101694</v>
      </c>
      <c r="X77" s="33">
        <f t="shared" si="31"/>
        <v>4.5355972000794297E-2</v>
      </c>
    </row>
    <row r="78" spans="18:24" x14ac:dyDescent="0.25">
      <c r="R78" s="16">
        <v>2019</v>
      </c>
      <c r="S78" s="3">
        <v>1295</v>
      </c>
      <c r="T78" s="31">
        <f t="shared" si="32"/>
        <v>1390.145436658255</v>
      </c>
      <c r="U78" s="31">
        <f t="shared" si="30"/>
        <v>95.145436658254994</v>
      </c>
      <c r="V78" s="31">
        <f t="shared" si="33"/>
        <v>9052.654116890013</v>
      </c>
      <c r="W78" s="36">
        <f t="shared" si="34"/>
        <v>95.145436658254994</v>
      </c>
      <c r="X78" s="33">
        <f t="shared" si="31"/>
        <v>7.3471379658884159E-2</v>
      </c>
    </row>
    <row r="79" spans="18:24" ht="15.75" thickBot="1" x14ac:dyDescent="0.3">
      <c r="R79" s="16">
        <v>2020</v>
      </c>
      <c r="S79" s="24"/>
      <c r="T79" s="37">
        <f t="shared" si="32"/>
        <v>1299.7572718329129</v>
      </c>
      <c r="U79" s="104"/>
      <c r="V79" s="103">
        <f>AVERAGE(V55:V62)</f>
        <v>19994.1563415852</v>
      </c>
      <c r="W79" s="101">
        <f>AVERAGE(W55:W62)</f>
        <v>117.64989065714998</v>
      </c>
      <c r="X79" s="102">
        <f>AVERAGE(X68:X78)</f>
        <v>7.2303452769758678E-2</v>
      </c>
    </row>
    <row r="80" spans="18:24" s="46" customFormat="1" ht="15.75" thickBot="1" x14ac:dyDescent="0.3">
      <c r="R80" s="39"/>
      <c r="S80" s="42"/>
      <c r="T80" s="43"/>
      <c r="U80" s="44"/>
      <c r="V80" s="47" t="s">
        <v>73</v>
      </c>
      <c r="W80" s="47" t="s">
        <v>74</v>
      </c>
      <c r="X80" s="47" t="s">
        <v>75</v>
      </c>
    </row>
    <row r="81" spans="18:24" ht="15.75" thickBot="1" x14ac:dyDescent="0.3"/>
    <row r="82" spans="18:24" ht="30.75" thickBot="1" x14ac:dyDescent="0.3">
      <c r="R82" s="26" t="s">
        <v>1</v>
      </c>
      <c r="S82" s="27" t="s">
        <v>8</v>
      </c>
      <c r="T82" s="29" t="s">
        <v>20</v>
      </c>
      <c r="U82" s="29" t="s">
        <v>6</v>
      </c>
      <c r="V82" s="29" t="s">
        <v>71</v>
      </c>
      <c r="W82" s="29" t="s">
        <v>72</v>
      </c>
      <c r="X82" s="29" t="s">
        <v>7</v>
      </c>
    </row>
    <row r="83" spans="18:24" x14ac:dyDescent="0.25">
      <c r="R83" s="25">
        <v>2008</v>
      </c>
      <c r="S83" s="11">
        <v>830</v>
      </c>
      <c r="T83" s="36">
        <f>S83</f>
        <v>830</v>
      </c>
      <c r="U83" s="36">
        <f t="shared" ref="U83:U94" si="35">T83-S83</f>
        <v>0</v>
      </c>
      <c r="V83" s="31">
        <f>U83^2</f>
        <v>0</v>
      </c>
      <c r="W83" s="36">
        <f>ABS(U83)</f>
        <v>0</v>
      </c>
      <c r="X83" s="33">
        <f t="shared" ref="X83:X94" si="36">ABS(U83/S83)</f>
        <v>0</v>
      </c>
    </row>
    <row r="84" spans="18:24" x14ac:dyDescent="0.25">
      <c r="R84" s="16">
        <v>2009</v>
      </c>
      <c r="S84" s="3">
        <v>858</v>
      </c>
      <c r="T84" s="31">
        <f t="shared" ref="T84:T95" si="37">MID($T$82,28,1)*S83+(1-MID($T$82,28,1))*T83</f>
        <v>830</v>
      </c>
      <c r="U84" s="31">
        <f t="shared" si="35"/>
        <v>-28</v>
      </c>
      <c r="V84" s="31">
        <f t="shared" ref="V84:V94" si="38">U84^2</f>
        <v>784</v>
      </c>
      <c r="W84" s="36">
        <f t="shared" ref="W84:W94" si="39">ABS(U84)</f>
        <v>28</v>
      </c>
      <c r="X84" s="33">
        <f t="shared" si="36"/>
        <v>3.2634032634032632E-2</v>
      </c>
    </row>
    <row r="85" spans="18:24" x14ac:dyDescent="0.25">
      <c r="R85" s="16">
        <v>2010</v>
      </c>
      <c r="S85" s="3">
        <v>910</v>
      </c>
      <c r="T85" s="31">
        <f t="shared" si="37"/>
        <v>858</v>
      </c>
      <c r="U85" s="31">
        <f t="shared" si="35"/>
        <v>-52</v>
      </c>
      <c r="V85" s="31">
        <f t="shared" si="38"/>
        <v>2704</v>
      </c>
      <c r="W85" s="36">
        <f t="shared" si="39"/>
        <v>52</v>
      </c>
      <c r="X85" s="33">
        <f t="shared" si="36"/>
        <v>5.7142857142857141E-2</v>
      </c>
    </row>
    <row r="86" spans="18:24" x14ac:dyDescent="0.25">
      <c r="R86" s="16">
        <v>2011</v>
      </c>
      <c r="S86" s="3">
        <v>936</v>
      </c>
      <c r="T86" s="31">
        <f t="shared" si="37"/>
        <v>910</v>
      </c>
      <c r="U86" s="31">
        <f t="shared" si="35"/>
        <v>-26</v>
      </c>
      <c r="V86" s="31">
        <f t="shared" si="38"/>
        <v>676</v>
      </c>
      <c r="W86" s="36">
        <f t="shared" si="39"/>
        <v>26</v>
      </c>
      <c r="X86" s="33">
        <f t="shared" si="36"/>
        <v>2.7777777777777776E-2</v>
      </c>
    </row>
    <row r="87" spans="18:24" x14ac:dyDescent="0.25">
      <c r="R87" s="16">
        <v>2012</v>
      </c>
      <c r="S87" s="3">
        <v>1192</v>
      </c>
      <c r="T87" s="31">
        <f t="shared" si="37"/>
        <v>936</v>
      </c>
      <c r="U87" s="31">
        <f t="shared" si="35"/>
        <v>-256</v>
      </c>
      <c r="V87" s="31">
        <f t="shared" si="38"/>
        <v>65536</v>
      </c>
      <c r="W87" s="36">
        <f t="shared" si="39"/>
        <v>256</v>
      </c>
      <c r="X87" s="33">
        <f t="shared" si="36"/>
        <v>0.21476510067114093</v>
      </c>
    </row>
    <row r="88" spans="18:24" x14ac:dyDescent="0.25">
      <c r="R88" s="16">
        <v>2013</v>
      </c>
      <c r="S88" s="3">
        <v>1213</v>
      </c>
      <c r="T88" s="31">
        <f t="shared" si="37"/>
        <v>1192</v>
      </c>
      <c r="U88" s="31">
        <f t="shared" si="35"/>
        <v>-21</v>
      </c>
      <c r="V88" s="31">
        <f t="shared" si="38"/>
        <v>441</v>
      </c>
      <c r="W88" s="36">
        <f t="shared" si="39"/>
        <v>21</v>
      </c>
      <c r="X88" s="33">
        <f t="shared" si="36"/>
        <v>1.7312448474855729E-2</v>
      </c>
    </row>
    <row r="89" spans="18:24" x14ac:dyDescent="0.25">
      <c r="R89" s="16">
        <v>2014</v>
      </c>
      <c r="S89" s="3">
        <v>1394</v>
      </c>
      <c r="T89" s="31">
        <f t="shared" si="37"/>
        <v>1213</v>
      </c>
      <c r="U89" s="31">
        <f t="shared" si="35"/>
        <v>-181</v>
      </c>
      <c r="V89" s="31">
        <f t="shared" si="38"/>
        <v>32761</v>
      </c>
      <c r="W89" s="36">
        <f t="shared" si="39"/>
        <v>181</v>
      </c>
      <c r="X89" s="33">
        <f t="shared" si="36"/>
        <v>0.12984218077474893</v>
      </c>
    </row>
    <row r="90" spans="18:24" x14ac:dyDescent="0.25">
      <c r="R90" s="16">
        <v>2015</v>
      </c>
      <c r="S90" s="3">
        <v>1555</v>
      </c>
      <c r="T90" s="31">
        <f t="shared" si="37"/>
        <v>1394</v>
      </c>
      <c r="U90" s="31">
        <f t="shared" si="35"/>
        <v>-161</v>
      </c>
      <c r="V90" s="31">
        <f t="shared" si="38"/>
        <v>25921</v>
      </c>
      <c r="W90" s="36">
        <f t="shared" si="39"/>
        <v>161</v>
      </c>
      <c r="X90" s="33">
        <f t="shared" si="36"/>
        <v>0.10353697749196142</v>
      </c>
    </row>
    <row r="91" spans="18:24" x14ac:dyDescent="0.25">
      <c r="R91" s="16">
        <v>2016</v>
      </c>
      <c r="S91" s="3">
        <v>1543</v>
      </c>
      <c r="T91" s="31">
        <f t="shared" si="37"/>
        <v>1555</v>
      </c>
      <c r="U91" s="31">
        <f t="shared" si="35"/>
        <v>12</v>
      </c>
      <c r="V91" s="31">
        <f t="shared" si="38"/>
        <v>144</v>
      </c>
      <c r="W91" s="36">
        <f t="shared" si="39"/>
        <v>12</v>
      </c>
      <c r="X91" s="33">
        <f t="shared" si="36"/>
        <v>7.7770576798444589E-3</v>
      </c>
    </row>
    <row r="92" spans="18:24" x14ac:dyDescent="0.25">
      <c r="R92" s="16">
        <v>2017</v>
      </c>
      <c r="S92" s="3">
        <v>1445</v>
      </c>
      <c r="T92" s="31">
        <f t="shared" si="37"/>
        <v>1543</v>
      </c>
      <c r="U92" s="31">
        <f t="shared" si="35"/>
        <v>98</v>
      </c>
      <c r="V92" s="31">
        <f t="shared" si="38"/>
        <v>9604</v>
      </c>
      <c r="W92" s="36">
        <f t="shared" si="39"/>
        <v>98</v>
      </c>
      <c r="X92" s="33">
        <f t="shared" si="36"/>
        <v>6.7820069204152247E-2</v>
      </c>
    </row>
    <row r="93" spans="18:24" x14ac:dyDescent="0.25">
      <c r="R93" s="16">
        <v>2018</v>
      </c>
      <c r="S93" s="3">
        <v>1387</v>
      </c>
      <c r="T93" s="31">
        <f t="shared" si="37"/>
        <v>1445</v>
      </c>
      <c r="U93" s="31">
        <f t="shared" si="35"/>
        <v>58</v>
      </c>
      <c r="V93" s="31">
        <f t="shared" si="38"/>
        <v>3364</v>
      </c>
      <c r="W93" s="36">
        <f t="shared" si="39"/>
        <v>58</v>
      </c>
      <c r="X93" s="33">
        <f t="shared" si="36"/>
        <v>4.1816870944484497E-2</v>
      </c>
    </row>
    <row r="94" spans="18:24" x14ac:dyDescent="0.25">
      <c r="R94" s="16">
        <v>2019</v>
      </c>
      <c r="S94" s="3">
        <v>1295</v>
      </c>
      <c r="T94" s="31">
        <f t="shared" si="37"/>
        <v>1387</v>
      </c>
      <c r="U94" s="31">
        <f t="shared" si="35"/>
        <v>92</v>
      </c>
      <c r="V94" s="31">
        <f t="shared" si="38"/>
        <v>8464</v>
      </c>
      <c r="W94" s="36">
        <f t="shared" si="39"/>
        <v>92</v>
      </c>
      <c r="X94" s="33">
        <f t="shared" si="36"/>
        <v>7.1042471042471037E-2</v>
      </c>
    </row>
    <row r="95" spans="18:24" ht="15.75" thickBot="1" x14ac:dyDescent="0.3">
      <c r="R95" s="16">
        <v>2020</v>
      </c>
      <c r="S95" s="24"/>
      <c r="T95" s="37">
        <f t="shared" si="37"/>
        <v>1295</v>
      </c>
      <c r="U95" s="104"/>
      <c r="V95" s="103">
        <f>AVERAGE(V71:V78)</f>
        <v>19050.335267829149</v>
      </c>
      <c r="W95" s="101">
        <f>AVERAGE(W71:W78)</f>
        <v>112.98194213793913</v>
      </c>
      <c r="X95" s="102">
        <f>AVERAGE(X84:X94)</f>
        <v>7.0133440348938814E-2</v>
      </c>
    </row>
    <row r="96" spans="18:24" ht="15.75" thickBot="1" x14ac:dyDescent="0.3">
      <c r="V96" s="47" t="s">
        <v>73</v>
      </c>
      <c r="W96" s="47" t="s">
        <v>74</v>
      </c>
      <c r="X96" s="47" t="s"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EDB0-37CF-4134-82F0-5A12ABF4F18E}">
  <dimension ref="B1:AU112"/>
  <sheetViews>
    <sheetView topLeftCell="AB25" zoomScale="85" zoomScaleNormal="85" workbookViewId="0">
      <selection activeCell="Q7" sqref="Q7"/>
    </sheetView>
  </sheetViews>
  <sheetFormatPr defaultRowHeight="15" x14ac:dyDescent="0.25"/>
  <cols>
    <col min="3" max="4" width="13.7109375" customWidth="1"/>
    <col min="6" max="6" width="14.28515625" style="1" customWidth="1"/>
    <col min="7" max="7" width="10.7109375" style="1" customWidth="1"/>
    <col min="8" max="8" width="15.7109375" customWidth="1"/>
    <col min="11" max="11" width="13.140625" customWidth="1"/>
    <col min="12" max="12" width="11.140625" customWidth="1"/>
    <col min="14" max="14" width="15.7109375" customWidth="1"/>
    <col min="19" max="19" width="13.85546875" customWidth="1"/>
    <col min="20" max="20" width="13.7109375" customWidth="1"/>
    <col min="22" max="22" width="14.28515625" style="1" customWidth="1"/>
    <col min="23" max="23" width="10.85546875" style="1" customWidth="1"/>
    <col min="24" max="24" width="15.7109375" customWidth="1"/>
    <col min="35" max="35" width="9.7109375" customWidth="1"/>
    <col min="36" max="36" width="13.140625" customWidth="1"/>
    <col min="37" max="37" width="18.5703125" customWidth="1"/>
    <col min="39" max="39" width="14.28515625" style="1" customWidth="1"/>
    <col min="40" max="40" width="10.85546875" style="1" customWidth="1"/>
    <col min="41" max="41" width="15.7109375" customWidth="1"/>
    <col min="42" max="42" width="14.140625" customWidth="1"/>
    <col min="43" max="43" width="17.7109375" customWidth="1"/>
    <col min="44" max="44" width="9.7109375" customWidth="1"/>
    <col min="45" max="45" width="14.140625" style="1" customWidth="1"/>
    <col min="46" max="46" width="10.5703125" style="1" customWidth="1"/>
    <col min="47" max="47" width="18.28515625" customWidth="1"/>
    <col min="48" max="48" width="11.140625" customWidth="1"/>
    <col min="49" max="49" width="15.7109375" customWidth="1"/>
  </cols>
  <sheetData>
    <row r="1" spans="2:41" ht="15.75" thickBot="1" x14ac:dyDescent="0.3"/>
    <row r="2" spans="2:41" ht="30.75" customHeight="1" thickBot="1" x14ac:dyDescent="0.3">
      <c r="B2" s="26" t="s">
        <v>1</v>
      </c>
      <c r="C2" s="27" t="s">
        <v>8</v>
      </c>
      <c r="D2" s="29" t="s">
        <v>26</v>
      </c>
      <c r="E2" s="29" t="s">
        <v>6</v>
      </c>
      <c r="F2" s="29" t="s">
        <v>71</v>
      </c>
      <c r="G2" s="29" t="s">
        <v>72</v>
      </c>
      <c r="H2" s="29" t="s">
        <v>7</v>
      </c>
      <c r="Q2" s="47" t="s">
        <v>30</v>
      </c>
      <c r="R2" s="49" t="s">
        <v>1</v>
      </c>
      <c r="S2" s="27" t="s">
        <v>8</v>
      </c>
      <c r="T2" s="29" t="s">
        <v>27</v>
      </c>
      <c r="U2" s="29" t="s">
        <v>6</v>
      </c>
      <c r="V2" s="29" t="s">
        <v>71</v>
      </c>
      <c r="W2" s="29" t="s">
        <v>72</v>
      </c>
      <c r="X2" s="29" t="s">
        <v>7</v>
      </c>
      <c r="AI2" s="26" t="s">
        <v>1</v>
      </c>
      <c r="AJ2" s="27" t="s">
        <v>8</v>
      </c>
      <c r="AK2" s="29" t="s">
        <v>31</v>
      </c>
      <c r="AL2" s="29" t="s">
        <v>6</v>
      </c>
      <c r="AM2" s="29" t="s">
        <v>71</v>
      </c>
      <c r="AN2" s="29" t="s">
        <v>72</v>
      </c>
      <c r="AO2" s="29" t="s">
        <v>7</v>
      </c>
    </row>
    <row r="3" spans="2:41" x14ac:dyDescent="0.25">
      <c r="B3" s="25">
        <v>2008</v>
      </c>
      <c r="C3" s="11">
        <v>830</v>
      </c>
      <c r="D3" s="28"/>
      <c r="E3" s="109"/>
      <c r="F3" s="34"/>
      <c r="G3" s="109"/>
      <c r="H3" s="35"/>
      <c r="Q3" s="50">
        <v>0.65</v>
      </c>
      <c r="R3" s="25">
        <v>2008</v>
      </c>
      <c r="S3" s="11">
        <v>830</v>
      </c>
      <c r="T3" s="28"/>
      <c r="U3" s="109"/>
      <c r="V3" s="34"/>
      <c r="W3" s="109"/>
      <c r="X3" s="35"/>
      <c r="AI3" s="25">
        <v>2008</v>
      </c>
      <c r="AJ3" s="11">
        <v>830</v>
      </c>
      <c r="AK3" s="28"/>
      <c r="AL3" s="109"/>
      <c r="AM3" s="34"/>
      <c r="AN3" s="109"/>
      <c r="AO3" s="35"/>
    </row>
    <row r="4" spans="2:41" x14ac:dyDescent="0.25">
      <c r="B4" s="16">
        <v>2009</v>
      </c>
      <c r="C4" s="3">
        <v>858</v>
      </c>
      <c r="D4" s="41">
        <f>AVERAGE(C3)</f>
        <v>830</v>
      </c>
      <c r="E4" s="31">
        <f t="shared" ref="E4:E14" si="0">D4-C4</f>
        <v>-28</v>
      </c>
      <c r="F4" s="31">
        <f t="shared" ref="F4:F14" si="1">E4^2</f>
        <v>784</v>
      </c>
      <c r="G4" s="36">
        <f t="shared" ref="G4:G14" si="2">ABS(E4)</f>
        <v>28</v>
      </c>
      <c r="H4" s="33">
        <f t="shared" ref="H4:H14" si="3">ABS(E4/C4)</f>
        <v>3.2634032634032632E-2</v>
      </c>
      <c r="Q4" s="48">
        <v>0.35</v>
      </c>
      <c r="R4" s="16">
        <v>2009</v>
      </c>
      <c r="S4" s="3">
        <v>858</v>
      </c>
      <c r="T4" s="34"/>
      <c r="U4" s="34"/>
      <c r="V4" s="34"/>
      <c r="W4" s="109"/>
      <c r="X4" s="35"/>
      <c r="AI4" s="16">
        <v>2009</v>
      </c>
      <c r="AJ4" s="3">
        <v>858</v>
      </c>
      <c r="AK4" s="34"/>
      <c r="AL4" s="34"/>
      <c r="AM4" s="34"/>
      <c r="AN4" s="109"/>
      <c r="AO4" s="35"/>
    </row>
    <row r="5" spans="2:41" x14ac:dyDescent="0.25">
      <c r="B5" s="16">
        <v>2010</v>
      </c>
      <c r="C5" s="3">
        <v>910</v>
      </c>
      <c r="D5" s="41">
        <f>AVERAGE(C3:C4)</f>
        <v>844</v>
      </c>
      <c r="E5" s="31">
        <f t="shared" si="0"/>
        <v>-66</v>
      </c>
      <c r="F5" s="31">
        <f t="shared" si="1"/>
        <v>4356</v>
      </c>
      <c r="G5" s="36">
        <f t="shared" si="2"/>
        <v>66</v>
      </c>
      <c r="H5" s="33">
        <f t="shared" si="3"/>
        <v>7.2527472527472533E-2</v>
      </c>
      <c r="R5" s="16">
        <v>2010</v>
      </c>
      <c r="S5" s="3">
        <v>910</v>
      </c>
      <c r="T5" s="41">
        <f>(S4*$Q$3)+(S3*$Q$4)</f>
        <v>848.2</v>
      </c>
      <c r="U5" s="31">
        <f t="shared" ref="U5:U14" si="4">T5-S5</f>
        <v>-61.799999999999955</v>
      </c>
      <c r="V5" s="31">
        <f t="shared" ref="V5:V14" si="5">U5^2</f>
        <v>3819.2399999999943</v>
      </c>
      <c r="W5" s="36">
        <f t="shared" ref="W5:W14" si="6">ABS(U5)</f>
        <v>61.799999999999955</v>
      </c>
      <c r="X5" s="33">
        <f t="shared" ref="X5:X14" si="7">ABS(U5/S5)</f>
        <v>6.791208791208786E-2</v>
      </c>
      <c r="AI5" s="16">
        <v>2010</v>
      </c>
      <c r="AJ5" s="3">
        <v>910</v>
      </c>
      <c r="AK5" s="41">
        <f t="shared" ref="AK5:AK15" si="8">AJ4+(AJ4-AJ3)</f>
        <v>886</v>
      </c>
      <c r="AL5" s="31">
        <f>AK5-AJ5</f>
        <v>-24</v>
      </c>
      <c r="AM5" s="31">
        <f t="shared" ref="AM5:AM14" si="9">AL5^2</f>
        <v>576</v>
      </c>
      <c r="AN5" s="36">
        <f t="shared" ref="AN5:AN14" si="10">ABS(AL5)</f>
        <v>24</v>
      </c>
      <c r="AO5" s="33">
        <f t="shared" ref="AO5:AO14" si="11">ABS(AL5/AJ5)</f>
        <v>2.6373626373626374E-2</v>
      </c>
    </row>
    <row r="6" spans="2:41" x14ac:dyDescent="0.25">
      <c r="B6" s="16">
        <v>2011</v>
      </c>
      <c r="C6" s="3">
        <v>936</v>
      </c>
      <c r="D6" s="41">
        <f>AVERAGE(C3:C5)</f>
        <v>866</v>
      </c>
      <c r="E6" s="31">
        <f t="shared" si="0"/>
        <v>-70</v>
      </c>
      <c r="F6" s="31">
        <f t="shared" si="1"/>
        <v>4900</v>
      </c>
      <c r="G6" s="36">
        <f t="shared" si="2"/>
        <v>70</v>
      </c>
      <c r="H6" s="33">
        <f t="shared" si="3"/>
        <v>7.4786324786324784E-2</v>
      </c>
      <c r="R6" s="16">
        <v>2011</v>
      </c>
      <c r="S6" s="3">
        <v>936</v>
      </c>
      <c r="T6" s="41">
        <f t="shared" ref="T6:T15" si="12">(S5*$Q$3)+(S4*$Q$4)</f>
        <v>891.8</v>
      </c>
      <c r="U6" s="31">
        <f t="shared" si="4"/>
        <v>-44.200000000000045</v>
      </c>
      <c r="V6" s="31">
        <f t="shared" si="5"/>
        <v>1953.640000000004</v>
      </c>
      <c r="W6" s="36">
        <f t="shared" si="6"/>
        <v>44.200000000000045</v>
      </c>
      <c r="X6" s="33">
        <f t="shared" si="7"/>
        <v>4.722222222222227E-2</v>
      </c>
      <c r="AI6" s="16">
        <v>2011</v>
      </c>
      <c r="AJ6" s="3">
        <v>936</v>
      </c>
      <c r="AK6" s="41">
        <f t="shared" si="8"/>
        <v>962</v>
      </c>
      <c r="AL6" s="31">
        <f t="shared" ref="AL5:AL14" si="13">AK6-AJ6</f>
        <v>26</v>
      </c>
      <c r="AM6" s="31">
        <f t="shared" si="9"/>
        <v>676</v>
      </c>
      <c r="AN6" s="36">
        <f>ABS(AL6)</f>
        <v>26</v>
      </c>
      <c r="AO6" s="33">
        <f t="shared" si="11"/>
        <v>2.7777777777777776E-2</v>
      </c>
    </row>
    <row r="7" spans="2:41" x14ac:dyDescent="0.25">
      <c r="B7" s="16">
        <v>2012</v>
      </c>
      <c r="C7" s="3">
        <v>1192</v>
      </c>
      <c r="D7" s="41">
        <f>AVERAGE(C3:C6)</f>
        <v>883.5</v>
      </c>
      <c r="E7" s="31">
        <f t="shared" si="0"/>
        <v>-308.5</v>
      </c>
      <c r="F7" s="31">
        <f t="shared" si="1"/>
        <v>95172.25</v>
      </c>
      <c r="G7" s="36">
        <f t="shared" si="2"/>
        <v>308.5</v>
      </c>
      <c r="H7" s="33">
        <f t="shared" si="3"/>
        <v>0.25880872483221479</v>
      </c>
      <c r="R7" s="16">
        <v>2012</v>
      </c>
      <c r="S7" s="3">
        <v>1192</v>
      </c>
      <c r="T7" s="41">
        <f t="shared" si="12"/>
        <v>926.9</v>
      </c>
      <c r="U7" s="31">
        <f t="shared" si="4"/>
        <v>-265.10000000000002</v>
      </c>
      <c r="V7" s="31">
        <f t="shared" si="5"/>
        <v>70278.010000000009</v>
      </c>
      <c r="W7" s="36">
        <f t="shared" si="6"/>
        <v>265.10000000000002</v>
      </c>
      <c r="X7" s="33">
        <f t="shared" si="7"/>
        <v>0.22239932885906041</v>
      </c>
      <c r="AI7" s="16">
        <v>2012</v>
      </c>
      <c r="AJ7" s="3">
        <v>1192</v>
      </c>
      <c r="AK7" s="41">
        <f t="shared" si="8"/>
        <v>962</v>
      </c>
      <c r="AL7" s="31">
        <f t="shared" si="13"/>
        <v>-230</v>
      </c>
      <c r="AM7" s="31">
        <f t="shared" si="9"/>
        <v>52900</v>
      </c>
      <c r="AN7" s="36">
        <f t="shared" si="10"/>
        <v>230</v>
      </c>
      <c r="AO7" s="33">
        <f t="shared" si="11"/>
        <v>0.19295302013422819</v>
      </c>
    </row>
    <row r="8" spans="2:41" x14ac:dyDescent="0.25">
      <c r="B8" s="16">
        <v>2013</v>
      </c>
      <c r="C8" s="3">
        <v>1213</v>
      </c>
      <c r="D8" s="31">
        <f>AVERAGE(C3:C7)</f>
        <v>945.2</v>
      </c>
      <c r="E8" s="31">
        <f t="shared" si="0"/>
        <v>-267.79999999999995</v>
      </c>
      <c r="F8" s="31">
        <f t="shared" si="1"/>
        <v>71716.839999999982</v>
      </c>
      <c r="G8" s="36">
        <f t="shared" si="2"/>
        <v>267.79999999999995</v>
      </c>
      <c r="H8" s="33">
        <f t="shared" si="3"/>
        <v>0.22077493816982685</v>
      </c>
      <c r="R8" s="16">
        <v>2013</v>
      </c>
      <c r="S8" s="3">
        <v>1213</v>
      </c>
      <c r="T8" s="41">
        <f t="shared" si="12"/>
        <v>1102.4000000000001</v>
      </c>
      <c r="U8" s="31">
        <f t="shared" si="4"/>
        <v>-110.59999999999991</v>
      </c>
      <c r="V8" s="31">
        <f t="shared" si="5"/>
        <v>12232.359999999981</v>
      </c>
      <c r="W8" s="36">
        <f t="shared" si="6"/>
        <v>110.59999999999991</v>
      </c>
      <c r="X8" s="33">
        <f t="shared" si="7"/>
        <v>9.1178895300906768E-2</v>
      </c>
      <c r="AI8" s="16">
        <v>2013</v>
      </c>
      <c r="AJ8" s="3">
        <v>1213</v>
      </c>
      <c r="AK8" s="41">
        <f t="shared" si="8"/>
        <v>1448</v>
      </c>
      <c r="AL8" s="31">
        <f t="shared" si="13"/>
        <v>235</v>
      </c>
      <c r="AM8" s="31">
        <f t="shared" si="9"/>
        <v>55225</v>
      </c>
      <c r="AN8" s="36">
        <f t="shared" si="10"/>
        <v>235</v>
      </c>
      <c r="AO8" s="33">
        <f t="shared" si="11"/>
        <v>0.19373454245671887</v>
      </c>
    </row>
    <row r="9" spans="2:41" x14ac:dyDescent="0.25">
      <c r="B9" s="16">
        <v>2014</v>
      </c>
      <c r="C9" s="3">
        <v>1394</v>
      </c>
      <c r="D9" s="31">
        <f>AVERAGE(C3:C8)</f>
        <v>989.83333333333337</v>
      </c>
      <c r="E9" s="31">
        <f t="shared" si="0"/>
        <v>-404.16666666666663</v>
      </c>
      <c r="F9" s="31">
        <f t="shared" si="1"/>
        <v>163350.69444444441</v>
      </c>
      <c r="G9" s="36">
        <f t="shared" si="2"/>
        <v>404.16666666666663</v>
      </c>
      <c r="H9" s="33">
        <f t="shared" si="3"/>
        <v>0.28993304638928741</v>
      </c>
      <c r="R9" s="16">
        <v>2014</v>
      </c>
      <c r="S9" s="3">
        <v>1394</v>
      </c>
      <c r="T9" s="41">
        <f t="shared" si="12"/>
        <v>1205.6500000000001</v>
      </c>
      <c r="U9" s="31">
        <f t="shared" si="4"/>
        <v>-188.34999999999991</v>
      </c>
      <c r="V9" s="31">
        <f t="shared" si="5"/>
        <v>35475.722499999967</v>
      </c>
      <c r="W9" s="36">
        <f t="shared" si="6"/>
        <v>188.34999999999991</v>
      </c>
      <c r="X9" s="33">
        <f t="shared" si="7"/>
        <v>0.13511477761836435</v>
      </c>
      <c r="AI9" s="16">
        <v>2014</v>
      </c>
      <c r="AJ9" s="3">
        <v>1394</v>
      </c>
      <c r="AK9" s="41">
        <f t="shared" si="8"/>
        <v>1234</v>
      </c>
      <c r="AL9" s="31">
        <f t="shared" si="13"/>
        <v>-160</v>
      </c>
      <c r="AM9" s="31">
        <f t="shared" si="9"/>
        <v>25600</v>
      </c>
      <c r="AN9" s="36">
        <f t="shared" si="10"/>
        <v>160</v>
      </c>
      <c r="AO9" s="33">
        <f t="shared" si="11"/>
        <v>0.11477761836441894</v>
      </c>
    </row>
    <row r="10" spans="2:41" x14ac:dyDescent="0.25">
      <c r="B10" s="16">
        <v>2015</v>
      </c>
      <c r="C10" s="3">
        <v>1555</v>
      </c>
      <c r="D10" s="31">
        <f>AVERAGE(C3:C9)</f>
        <v>1047.5714285714287</v>
      </c>
      <c r="E10" s="31">
        <f t="shared" si="0"/>
        <v>-507.42857142857133</v>
      </c>
      <c r="F10" s="31">
        <f t="shared" si="1"/>
        <v>257483.75510204071</v>
      </c>
      <c r="G10" s="36">
        <f t="shared" si="2"/>
        <v>507.42857142857133</v>
      </c>
      <c r="H10" s="33">
        <f t="shared" si="3"/>
        <v>0.32632062471290763</v>
      </c>
      <c r="R10" s="16">
        <v>2015</v>
      </c>
      <c r="S10" s="3">
        <v>1555</v>
      </c>
      <c r="T10" s="41">
        <f t="shared" si="12"/>
        <v>1330.65</v>
      </c>
      <c r="U10" s="31">
        <f t="shared" si="4"/>
        <v>-224.34999999999991</v>
      </c>
      <c r="V10" s="31">
        <f t="shared" si="5"/>
        <v>50332.922499999957</v>
      </c>
      <c r="W10" s="36">
        <f t="shared" si="6"/>
        <v>224.34999999999991</v>
      </c>
      <c r="X10" s="33">
        <f t="shared" si="7"/>
        <v>0.14427652733118965</v>
      </c>
      <c r="AI10" s="16">
        <v>2015</v>
      </c>
      <c r="AJ10" s="3">
        <v>1555</v>
      </c>
      <c r="AK10" s="41">
        <f t="shared" si="8"/>
        <v>1575</v>
      </c>
      <c r="AL10" s="31">
        <f t="shared" si="13"/>
        <v>20</v>
      </c>
      <c r="AM10" s="31">
        <f t="shared" si="9"/>
        <v>400</v>
      </c>
      <c r="AN10" s="36">
        <f t="shared" si="10"/>
        <v>20</v>
      </c>
      <c r="AO10" s="33">
        <f t="shared" si="11"/>
        <v>1.2861736334405145E-2</v>
      </c>
    </row>
    <row r="11" spans="2:41" x14ac:dyDescent="0.25">
      <c r="B11" s="16">
        <v>2016</v>
      </c>
      <c r="C11" s="3">
        <v>1543</v>
      </c>
      <c r="D11" s="31">
        <f>AVERAGE(C3:C10)</f>
        <v>1111</v>
      </c>
      <c r="E11" s="31">
        <f t="shared" si="0"/>
        <v>-432</v>
      </c>
      <c r="F11" s="31">
        <f t="shared" si="1"/>
        <v>186624</v>
      </c>
      <c r="G11" s="36">
        <f t="shared" si="2"/>
        <v>432</v>
      </c>
      <c r="H11" s="33">
        <f t="shared" si="3"/>
        <v>0.27997407647440054</v>
      </c>
      <c r="R11" s="16">
        <v>2016</v>
      </c>
      <c r="S11" s="3">
        <v>1543</v>
      </c>
      <c r="T11" s="41">
        <f t="shared" si="12"/>
        <v>1498.65</v>
      </c>
      <c r="U11" s="31">
        <f t="shared" si="4"/>
        <v>-44.349999999999909</v>
      </c>
      <c r="V11" s="31">
        <f t="shared" si="5"/>
        <v>1966.9224999999919</v>
      </c>
      <c r="W11" s="36">
        <f t="shared" si="6"/>
        <v>44.349999999999909</v>
      </c>
      <c r="X11" s="33">
        <f t="shared" si="7"/>
        <v>2.8742709008425085E-2</v>
      </c>
      <c r="AI11" s="16">
        <v>2016</v>
      </c>
      <c r="AJ11" s="3">
        <v>1543</v>
      </c>
      <c r="AK11" s="41">
        <f t="shared" si="8"/>
        <v>1716</v>
      </c>
      <c r="AL11" s="31">
        <f t="shared" si="13"/>
        <v>173</v>
      </c>
      <c r="AM11" s="31">
        <f t="shared" si="9"/>
        <v>29929</v>
      </c>
      <c r="AN11" s="36">
        <f t="shared" si="10"/>
        <v>173</v>
      </c>
      <c r="AO11" s="33">
        <f t="shared" si="11"/>
        <v>0.11211924821775761</v>
      </c>
    </row>
    <row r="12" spans="2:41" x14ac:dyDescent="0.25">
      <c r="B12" s="16">
        <v>2017</v>
      </c>
      <c r="C12" s="3">
        <v>1445</v>
      </c>
      <c r="D12" s="31">
        <f>AVERAGE(C3:C11)</f>
        <v>1159</v>
      </c>
      <c r="E12" s="31">
        <f t="shared" si="0"/>
        <v>-286</v>
      </c>
      <c r="F12" s="31">
        <f t="shared" si="1"/>
        <v>81796</v>
      </c>
      <c r="G12" s="36">
        <f t="shared" si="2"/>
        <v>286</v>
      </c>
      <c r="H12" s="33">
        <f t="shared" si="3"/>
        <v>0.19792387543252596</v>
      </c>
      <c r="R12" s="16">
        <v>2017</v>
      </c>
      <c r="S12" s="3">
        <v>1445</v>
      </c>
      <c r="T12" s="41">
        <f t="shared" si="12"/>
        <v>1547.2</v>
      </c>
      <c r="U12" s="31">
        <f t="shared" si="4"/>
        <v>102.20000000000005</v>
      </c>
      <c r="V12" s="31">
        <f t="shared" si="5"/>
        <v>10444.840000000009</v>
      </c>
      <c r="W12" s="36">
        <f t="shared" si="6"/>
        <v>102.20000000000005</v>
      </c>
      <c r="X12" s="33">
        <f t="shared" si="7"/>
        <v>7.0726643598615954E-2</v>
      </c>
      <c r="AI12" s="16">
        <v>2017</v>
      </c>
      <c r="AJ12" s="3">
        <v>1445</v>
      </c>
      <c r="AK12" s="41">
        <f t="shared" si="8"/>
        <v>1531</v>
      </c>
      <c r="AL12" s="31">
        <f t="shared" si="13"/>
        <v>86</v>
      </c>
      <c r="AM12" s="31">
        <f t="shared" si="9"/>
        <v>7396</v>
      </c>
      <c r="AN12" s="36">
        <f t="shared" si="10"/>
        <v>86</v>
      </c>
      <c r="AO12" s="33">
        <f t="shared" si="11"/>
        <v>5.9515570934256058E-2</v>
      </c>
    </row>
    <row r="13" spans="2:41" x14ac:dyDescent="0.25">
      <c r="B13" s="16">
        <v>2018</v>
      </c>
      <c r="C13" s="3">
        <v>1387</v>
      </c>
      <c r="D13" s="31">
        <f>AVERAGE(C3:C12)</f>
        <v>1187.5999999999999</v>
      </c>
      <c r="E13" s="31">
        <f t="shared" si="0"/>
        <v>-199.40000000000009</v>
      </c>
      <c r="F13" s="31">
        <f t="shared" si="1"/>
        <v>39760.360000000037</v>
      </c>
      <c r="G13" s="36">
        <f t="shared" si="2"/>
        <v>199.40000000000009</v>
      </c>
      <c r="H13" s="33">
        <f t="shared" si="3"/>
        <v>0.14376351838500367</v>
      </c>
      <c r="R13" s="16">
        <v>2018</v>
      </c>
      <c r="S13" s="3">
        <v>1387</v>
      </c>
      <c r="T13" s="41">
        <f t="shared" si="12"/>
        <v>1479.3</v>
      </c>
      <c r="U13" s="31">
        <f t="shared" si="4"/>
        <v>92.299999999999955</v>
      </c>
      <c r="V13" s="31">
        <f t="shared" si="5"/>
        <v>8519.2899999999918</v>
      </c>
      <c r="W13" s="36">
        <f t="shared" si="6"/>
        <v>92.299999999999955</v>
      </c>
      <c r="X13" s="33">
        <f t="shared" si="7"/>
        <v>6.6546503244412372E-2</v>
      </c>
      <c r="AI13" s="16">
        <v>2018</v>
      </c>
      <c r="AJ13" s="3">
        <v>1387</v>
      </c>
      <c r="AK13" s="41">
        <f t="shared" si="8"/>
        <v>1347</v>
      </c>
      <c r="AL13" s="31">
        <f t="shared" si="13"/>
        <v>-40</v>
      </c>
      <c r="AM13" s="31">
        <f t="shared" si="9"/>
        <v>1600</v>
      </c>
      <c r="AN13" s="36">
        <f t="shared" si="10"/>
        <v>40</v>
      </c>
      <c r="AO13" s="33">
        <f t="shared" si="11"/>
        <v>2.8839221341023791E-2</v>
      </c>
    </row>
    <row r="14" spans="2:41" x14ac:dyDescent="0.25">
      <c r="B14" s="16">
        <v>2019</v>
      </c>
      <c r="C14" s="3">
        <v>1295</v>
      </c>
      <c r="D14" s="31">
        <f>AVERAGE(C3:C13)</f>
        <v>1205.7272727272727</v>
      </c>
      <c r="E14" s="72">
        <f t="shared" si="0"/>
        <v>-89.272727272727252</v>
      </c>
      <c r="F14" s="31">
        <f t="shared" si="1"/>
        <v>7969.6198347107402</v>
      </c>
      <c r="G14" s="36">
        <f t="shared" si="2"/>
        <v>89.272727272727252</v>
      </c>
      <c r="H14" s="33">
        <f t="shared" si="3"/>
        <v>6.8936468936468917E-2</v>
      </c>
      <c r="R14" s="16">
        <v>2019</v>
      </c>
      <c r="S14" s="3">
        <v>1295</v>
      </c>
      <c r="T14" s="41">
        <f t="shared" si="12"/>
        <v>1407.3</v>
      </c>
      <c r="U14" s="72">
        <f t="shared" si="4"/>
        <v>112.29999999999995</v>
      </c>
      <c r="V14" s="31">
        <f t="shared" si="5"/>
        <v>12611.28999999999</v>
      </c>
      <c r="W14" s="36">
        <f t="shared" si="6"/>
        <v>112.29999999999995</v>
      </c>
      <c r="X14" s="33">
        <f t="shared" si="7"/>
        <v>8.6718146718146677E-2</v>
      </c>
      <c r="AI14" s="16">
        <v>2019</v>
      </c>
      <c r="AJ14" s="3">
        <v>1295</v>
      </c>
      <c r="AK14" s="41">
        <f t="shared" si="8"/>
        <v>1329</v>
      </c>
      <c r="AL14" s="72">
        <f t="shared" si="13"/>
        <v>34</v>
      </c>
      <c r="AM14" s="31">
        <f t="shared" si="9"/>
        <v>1156</v>
      </c>
      <c r="AN14" s="36">
        <f t="shared" si="10"/>
        <v>34</v>
      </c>
      <c r="AO14" s="33">
        <f t="shared" si="11"/>
        <v>2.6254826254826256E-2</v>
      </c>
    </row>
    <row r="15" spans="2:41" ht="15.75" thickBot="1" x14ac:dyDescent="0.3">
      <c r="B15" s="16">
        <v>2020</v>
      </c>
      <c r="C15" s="24"/>
      <c r="D15" s="32">
        <f>AVERAGE(C3:C14)</f>
        <v>1213.1666666666667</v>
      </c>
      <c r="E15" s="104"/>
      <c r="F15" s="103">
        <f>AVERAGE(F4:F14)</f>
        <v>83083.047216472347</v>
      </c>
      <c r="G15" s="101">
        <f>AVERAGE(G4:G14)</f>
        <v>241.68799685163322</v>
      </c>
      <c r="H15" s="102">
        <f>AVERAGE(H4:H14)</f>
        <v>0.17876210029822415</v>
      </c>
      <c r="R15" s="16">
        <v>2020</v>
      </c>
      <c r="S15" s="24"/>
      <c r="T15" s="37">
        <f t="shared" si="12"/>
        <v>1327.2</v>
      </c>
      <c r="U15" s="104"/>
      <c r="V15" s="103">
        <f>AVERAGE(V5:V14)</f>
        <v>20763.423749999987</v>
      </c>
      <c r="W15" s="101">
        <f>AVERAGE(W5:W14)</f>
        <v>124.55499999999998</v>
      </c>
      <c r="X15" s="102">
        <f>AVERAGE(X5:X14)</f>
        <v>9.608378418134314E-2</v>
      </c>
      <c r="AI15" s="16">
        <v>2020</v>
      </c>
      <c r="AJ15" s="24"/>
      <c r="AK15" s="37">
        <f t="shared" si="8"/>
        <v>1203</v>
      </c>
      <c r="AL15" s="104"/>
      <c r="AM15" s="103">
        <f>AVERAGE(AM5:AM14)</f>
        <v>17545.8</v>
      </c>
      <c r="AN15" s="101">
        <f>AVERAGE(AN5:AN14)</f>
        <v>102.8</v>
      </c>
      <c r="AO15" s="102">
        <f>AVERAGE(AO5:AO14)</f>
        <v>7.9520718818903907E-2</v>
      </c>
    </row>
    <row r="16" spans="2:41" s="46" customFormat="1" ht="15.75" thickBot="1" x14ac:dyDescent="0.3">
      <c r="B16" s="39"/>
      <c r="C16" s="42"/>
      <c r="D16" s="43"/>
      <c r="E16" s="1"/>
      <c r="F16" s="47" t="s">
        <v>73</v>
      </c>
      <c r="G16" s="47" t="s">
        <v>74</v>
      </c>
      <c r="H16" s="47" t="s">
        <v>75</v>
      </c>
      <c r="R16" s="39"/>
      <c r="S16" s="42"/>
      <c r="T16" s="43"/>
      <c r="U16" s="1"/>
      <c r="V16" s="47" t="s">
        <v>73</v>
      </c>
      <c r="W16" s="47" t="s">
        <v>74</v>
      </c>
      <c r="X16" s="47" t="s">
        <v>75</v>
      </c>
      <c r="AI16" s="39"/>
      <c r="AJ16" s="42"/>
      <c r="AK16" s="43"/>
      <c r="AL16" s="1"/>
      <c r="AM16" s="47" t="s">
        <v>73</v>
      </c>
      <c r="AN16" s="47" t="s">
        <v>74</v>
      </c>
      <c r="AO16" s="47" t="s">
        <v>75</v>
      </c>
    </row>
    <row r="17" spans="2:41" s="46" customFormat="1" ht="15.75" thickBot="1" x14ac:dyDescent="0.3">
      <c r="B17" s="39"/>
      <c r="C17" s="42"/>
      <c r="D17" s="43"/>
      <c r="E17" s="44"/>
      <c r="F17" s="44"/>
      <c r="G17" s="44"/>
      <c r="H17" s="45"/>
      <c r="J17" s="39"/>
      <c r="K17" s="42"/>
      <c r="L17" s="43"/>
      <c r="M17" s="44"/>
      <c r="N17" s="45"/>
    </row>
    <row r="18" spans="2:41" s="46" customFormat="1" ht="30.75" customHeight="1" thickBot="1" x14ac:dyDescent="0.3">
      <c r="B18" s="26" t="s">
        <v>1</v>
      </c>
      <c r="C18" s="27" t="s">
        <v>8</v>
      </c>
      <c r="D18" s="29" t="s">
        <v>25</v>
      </c>
      <c r="E18" s="29" t="s">
        <v>6</v>
      </c>
      <c r="F18" s="29" t="s">
        <v>71</v>
      </c>
      <c r="G18" s="29" t="s">
        <v>72</v>
      </c>
      <c r="H18" s="29" t="s">
        <v>7</v>
      </c>
      <c r="J18" s="39"/>
      <c r="K18" s="42"/>
      <c r="L18" s="43"/>
      <c r="M18" s="44"/>
      <c r="N18" s="45"/>
      <c r="Q18" s="47" t="s">
        <v>30</v>
      </c>
      <c r="R18" s="26" t="s">
        <v>1</v>
      </c>
      <c r="S18" s="27" t="s">
        <v>8</v>
      </c>
      <c r="T18" s="29" t="s">
        <v>28</v>
      </c>
      <c r="U18" s="29" t="s">
        <v>6</v>
      </c>
      <c r="V18" s="29" t="s">
        <v>71</v>
      </c>
      <c r="W18" s="29" t="s">
        <v>72</v>
      </c>
      <c r="X18" s="29" t="s">
        <v>7</v>
      </c>
      <c r="AI18" s="26" t="s">
        <v>1</v>
      </c>
      <c r="AJ18" s="27" t="s">
        <v>8</v>
      </c>
      <c r="AK18" s="29" t="s">
        <v>31</v>
      </c>
      <c r="AL18" s="29" t="s">
        <v>6</v>
      </c>
      <c r="AM18" s="29" t="s">
        <v>71</v>
      </c>
      <c r="AN18" s="29" t="s">
        <v>72</v>
      </c>
      <c r="AO18" s="29" t="s">
        <v>7</v>
      </c>
    </row>
    <row r="19" spans="2:41" s="46" customFormat="1" x14ac:dyDescent="0.25">
      <c r="B19" s="25">
        <v>2008</v>
      </c>
      <c r="C19" s="11">
        <v>830</v>
      </c>
      <c r="D19" s="28"/>
      <c r="E19" s="109"/>
      <c r="F19" s="34"/>
      <c r="G19" s="109"/>
      <c r="H19" s="35"/>
      <c r="J19" s="39"/>
      <c r="K19" s="42"/>
      <c r="L19" s="43"/>
      <c r="M19" s="44"/>
      <c r="N19" s="45"/>
      <c r="Q19" s="50">
        <v>0.55000000000000004</v>
      </c>
      <c r="R19" s="25">
        <v>2008</v>
      </c>
      <c r="S19" s="11">
        <v>830</v>
      </c>
      <c r="T19" s="28"/>
      <c r="U19" s="109"/>
      <c r="V19" s="34"/>
      <c r="W19" s="109"/>
      <c r="X19" s="35"/>
      <c r="AI19" s="16">
        <v>2015</v>
      </c>
      <c r="AJ19" s="3">
        <v>1555</v>
      </c>
      <c r="AK19" s="34"/>
      <c r="AL19" s="34"/>
      <c r="AM19" s="34"/>
      <c r="AN19" s="34"/>
      <c r="AO19" s="35"/>
    </row>
    <row r="20" spans="2:41" s="46" customFormat="1" x14ac:dyDescent="0.25">
      <c r="B20" s="16">
        <v>2009</v>
      </c>
      <c r="C20" s="3">
        <v>858</v>
      </c>
      <c r="D20" s="34"/>
      <c r="E20" s="34"/>
      <c r="F20" s="34"/>
      <c r="G20" s="109"/>
      <c r="H20" s="35"/>
      <c r="J20" s="39"/>
      <c r="K20" s="42"/>
      <c r="L20" s="43"/>
      <c r="M20" s="44"/>
      <c r="N20" s="45"/>
      <c r="Q20" s="48">
        <v>0.33</v>
      </c>
      <c r="R20" s="16">
        <v>2009</v>
      </c>
      <c r="S20" s="3">
        <v>858</v>
      </c>
      <c r="T20" s="34"/>
      <c r="U20" s="34"/>
      <c r="V20" s="34"/>
      <c r="W20" s="109"/>
      <c r="X20" s="35"/>
      <c r="AI20" s="16">
        <v>2016</v>
      </c>
      <c r="AJ20" s="3">
        <v>1543</v>
      </c>
      <c r="AK20" s="34"/>
      <c r="AL20" s="34"/>
      <c r="AM20" s="34"/>
      <c r="AN20" s="34"/>
      <c r="AO20" s="35"/>
    </row>
    <row r="21" spans="2:41" s="46" customFormat="1" x14ac:dyDescent="0.25">
      <c r="B21" s="16">
        <v>2010</v>
      </c>
      <c r="C21" s="3">
        <v>910</v>
      </c>
      <c r="D21" s="41">
        <f>AVERAGE(C19:C20)</f>
        <v>844</v>
      </c>
      <c r="E21" s="31">
        <f t="shared" ref="E21:E30" si="14">D21-C21</f>
        <v>-66</v>
      </c>
      <c r="F21" s="31">
        <f t="shared" ref="F21:F30" si="15">E21^2</f>
        <v>4356</v>
      </c>
      <c r="G21" s="36">
        <f t="shared" ref="G21:G30" si="16">ABS(E21)</f>
        <v>66</v>
      </c>
      <c r="H21" s="33">
        <f t="shared" ref="H21:H30" si="17">ABS(E21/C21)</f>
        <v>7.2527472527472533E-2</v>
      </c>
      <c r="J21" s="39"/>
      <c r="K21" s="42"/>
      <c r="L21" s="43"/>
      <c r="M21" s="44"/>
      <c r="N21" s="45"/>
      <c r="Q21" s="51">
        <v>0.12</v>
      </c>
      <c r="R21" s="16">
        <v>2010</v>
      </c>
      <c r="S21" s="3">
        <v>910</v>
      </c>
      <c r="T21" s="34"/>
      <c r="U21" s="34"/>
      <c r="V21" s="34"/>
      <c r="W21" s="109"/>
      <c r="X21" s="35"/>
      <c r="AI21" s="16">
        <v>2017</v>
      </c>
      <c r="AJ21" s="3">
        <v>1445</v>
      </c>
      <c r="AK21" s="41">
        <f>AJ20+(AJ20-AJ19)</f>
        <v>1531</v>
      </c>
      <c r="AL21" s="31">
        <f>AK21-AJ21</f>
        <v>86</v>
      </c>
      <c r="AM21" s="31">
        <f t="shared" ref="AM21:AM23" si="18">AL21^2</f>
        <v>7396</v>
      </c>
      <c r="AN21" s="36">
        <f t="shared" ref="AN21:AN23" si="19">ABS(AL21)</f>
        <v>86</v>
      </c>
      <c r="AO21" s="33">
        <f>ABS(AL21/AJ21)</f>
        <v>5.9515570934256058E-2</v>
      </c>
    </row>
    <row r="22" spans="2:41" s="46" customFormat="1" x14ac:dyDescent="0.25">
      <c r="B22" s="16">
        <v>2011</v>
      </c>
      <c r="C22" s="3">
        <v>936</v>
      </c>
      <c r="D22" s="41">
        <f t="shared" ref="D22:D30" si="20">AVERAGE(C20:C21)</f>
        <v>884</v>
      </c>
      <c r="E22" s="31">
        <f t="shared" si="14"/>
        <v>-52</v>
      </c>
      <c r="F22" s="31">
        <f t="shared" si="15"/>
        <v>2704</v>
      </c>
      <c r="G22" s="36">
        <f t="shared" si="16"/>
        <v>52</v>
      </c>
      <c r="H22" s="33">
        <f t="shared" si="17"/>
        <v>5.5555555555555552E-2</v>
      </c>
      <c r="J22" s="39"/>
      <c r="K22" s="42"/>
      <c r="L22" s="43"/>
      <c r="M22" s="44"/>
      <c r="N22" s="45"/>
      <c r="R22" s="16">
        <v>2011</v>
      </c>
      <c r="S22" s="3">
        <v>936</v>
      </c>
      <c r="T22" s="41">
        <f>(S21*$Q$19)+(S20*$Q$20)+(S19*$Q$21)</f>
        <v>883.24000000000012</v>
      </c>
      <c r="U22" s="31">
        <f t="shared" ref="U22:U30" si="21">T22-S22</f>
        <v>-52.759999999999877</v>
      </c>
      <c r="V22" s="31">
        <f t="shared" ref="V22:V30" si="22">U22^2</f>
        <v>2783.6175999999869</v>
      </c>
      <c r="W22" s="36">
        <f t="shared" ref="W22:W30" si="23">ABS(U22)</f>
        <v>52.759999999999877</v>
      </c>
      <c r="X22" s="33">
        <f t="shared" ref="X22:X30" si="24">ABS(U22/S22)</f>
        <v>5.6367521367521239E-2</v>
      </c>
      <c r="AI22" s="16">
        <v>2018</v>
      </c>
      <c r="AJ22" s="3">
        <v>1387</v>
      </c>
      <c r="AK22" s="41">
        <f>AJ21+(AJ21-AJ20)</f>
        <v>1347</v>
      </c>
      <c r="AL22" s="31">
        <f>AK22-AJ22</f>
        <v>-40</v>
      </c>
      <c r="AM22" s="31">
        <f t="shared" si="18"/>
        <v>1600</v>
      </c>
      <c r="AN22" s="36">
        <f t="shared" si="19"/>
        <v>40</v>
      </c>
      <c r="AO22" s="33">
        <f>ABS(AL22/AJ22)</f>
        <v>2.8839221341023791E-2</v>
      </c>
    </row>
    <row r="23" spans="2:41" s="46" customFormat="1" x14ac:dyDescent="0.25">
      <c r="B23" s="16">
        <v>2012</v>
      </c>
      <c r="C23" s="3">
        <v>1192</v>
      </c>
      <c r="D23" s="41">
        <f t="shared" si="20"/>
        <v>923</v>
      </c>
      <c r="E23" s="31">
        <f t="shared" si="14"/>
        <v>-269</v>
      </c>
      <c r="F23" s="31">
        <f t="shared" si="15"/>
        <v>72361</v>
      </c>
      <c r="G23" s="36">
        <f t="shared" si="16"/>
        <v>269</v>
      </c>
      <c r="H23" s="33">
        <f t="shared" si="17"/>
        <v>0.22567114093959731</v>
      </c>
      <c r="J23" s="39"/>
      <c r="K23" s="42"/>
      <c r="L23" s="43"/>
      <c r="M23" s="44"/>
      <c r="N23" s="45"/>
      <c r="R23" s="16">
        <v>2012</v>
      </c>
      <c r="S23" s="3">
        <v>1192</v>
      </c>
      <c r="T23" s="41">
        <f t="shared" ref="T23:T31" si="25">(S22*$Q$19)+(S21*$Q$20)+(S20*$Q$21)</f>
        <v>918.06000000000017</v>
      </c>
      <c r="U23" s="31">
        <f t="shared" si="21"/>
        <v>-273.93999999999983</v>
      </c>
      <c r="V23" s="31">
        <f t="shared" si="22"/>
        <v>75043.123599999904</v>
      </c>
      <c r="W23" s="36">
        <f t="shared" si="23"/>
        <v>273.93999999999983</v>
      </c>
      <c r="X23" s="33">
        <f t="shared" si="24"/>
        <v>0.2298154362416106</v>
      </c>
      <c r="AI23" s="16">
        <v>2019</v>
      </c>
      <c r="AJ23" s="3">
        <v>1295</v>
      </c>
      <c r="AK23" s="41">
        <f>AJ22+(AJ22-AJ21)</f>
        <v>1329</v>
      </c>
      <c r="AL23" s="72">
        <f>AK23-AJ23</f>
        <v>34</v>
      </c>
      <c r="AM23" s="31">
        <f t="shared" si="18"/>
        <v>1156</v>
      </c>
      <c r="AN23" s="36">
        <f t="shared" si="19"/>
        <v>34</v>
      </c>
      <c r="AO23" s="33">
        <f>ABS(AL23/AJ23)</f>
        <v>2.6254826254826256E-2</v>
      </c>
    </row>
    <row r="24" spans="2:41" s="46" customFormat="1" ht="15.75" thickBot="1" x14ac:dyDescent="0.3">
      <c r="B24" s="16">
        <v>2013</v>
      </c>
      <c r="C24" s="3">
        <v>1213</v>
      </c>
      <c r="D24" s="41">
        <f t="shared" si="20"/>
        <v>1064</v>
      </c>
      <c r="E24" s="31">
        <f t="shared" si="14"/>
        <v>-149</v>
      </c>
      <c r="F24" s="31">
        <f t="shared" si="15"/>
        <v>22201</v>
      </c>
      <c r="G24" s="36">
        <f t="shared" si="16"/>
        <v>149</v>
      </c>
      <c r="H24" s="33">
        <f t="shared" si="17"/>
        <v>0.12283594394064304</v>
      </c>
      <c r="J24" s="39"/>
      <c r="K24" s="42"/>
      <c r="L24" s="43"/>
      <c r="M24" s="44"/>
      <c r="N24" s="45"/>
      <c r="R24" s="16">
        <v>2013</v>
      </c>
      <c r="S24" s="3">
        <v>1213</v>
      </c>
      <c r="T24" s="41">
        <f t="shared" si="25"/>
        <v>1073.68</v>
      </c>
      <c r="U24" s="31">
        <f t="shared" si="21"/>
        <v>-139.31999999999994</v>
      </c>
      <c r="V24" s="31">
        <f t="shared" si="22"/>
        <v>19410.062399999981</v>
      </c>
      <c r="W24" s="36">
        <f t="shared" si="23"/>
        <v>139.31999999999994</v>
      </c>
      <c r="X24" s="33">
        <f t="shared" si="24"/>
        <v>0.11485572959604282</v>
      </c>
      <c r="AI24" s="16">
        <v>2020</v>
      </c>
      <c r="AJ24" s="24"/>
      <c r="AK24" s="32">
        <f>AJ23+(AJ23-AJ22)</f>
        <v>1203</v>
      </c>
      <c r="AL24" s="104"/>
      <c r="AM24" s="103">
        <f>AVERAGE(AM21:AM23)</f>
        <v>3384</v>
      </c>
      <c r="AN24" s="101">
        <f>AVERAGE(AN21:AN23)</f>
        <v>53.333333333333336</v>
      </c>
      <c r="AO24" s="102">
        <f>AVERAGE(AO21:AO23)</f>
        <v>3.8203206176702031E-2</v>
      </c>
    </row>
    <row r="25" spans="2:41" s="46" customFormat="1" ht="15.75" thickBot="1" x14ac:dyDescent="0.3">
      <c r="B25" s="16">
        <v>2014</v>
      </c>
      <c r="C25" s="3">
        <v>1394</v>
      </c>
      <c r="D25" s="41">
        <f t="shared" si="20"/>
        <v>1202.5</v>
      </c>
      <c r="E25" s="31">
        <f t="shared" si="14"/>
        <v>-191.5</v>
      </c>
      <c r="F25" s="31">
        <f t="shared" si="15"/>
        <v>36672.25</v>
      </c>
      <c r="G25" s="36">
        <f t="shared" si="16"/>
        <v>191.5</v>
      </c>
      <c r="H25" s="33">
        <f t="shared" si="17"/>
        <v>0.1373744619799139</v>
      </c>
      <c r="J25" s="39"/>
      <c r="K25" s="42"/>
      <c r="L25" s="43"/>
      <c r="M25" s="44"/>
      <c r="N25" s="45"/>
      <c r="R25" s="16">
        <v>2014</v>
      </c>
      <c r="S25" s="3">
        <v>1394</v>
      </c>
      <c r="T25" s="41">
        <f t="shared" si="25"/>
        <v>1172.8300000000002</v>
      </c>
      <c r="U25" s="31">
        <f t="shared" si="21"/>
        <v>-221.16999999999985</v>
      </c>
      <c r="V25" s="31">
        <f t="shared" si="22"/>
        <v>48916.168899999931</v>
      </c>
      <c r="W25" s="36">
        <f t="shared" si="23"/>
        <v>221.16999999999985</v>
      </c>
      <c r="X25" s="33">
        <f t="shared" si="24"/>
        <v>0.15865853658536574</v>
      </c>
      <c r="AI25" s="39"/>
      <c r="AJ25" s="71"/>
      <c r="AK25" s="43"/>
      <c r="AL25" s="1"/>
      <c r="AM25" s="47" t="s">
        <v>73</v>
      </c>
      <c r="AN25" s="47" t="s">
        <v>74</v>
      </c>
      <c r="AO25" s="47" t="s">
        <v>75</v>
      </c>
    </row>
    <row r="26" spans="2:41" s="46" customFormat="1" x14ac:dyDescent="0.25">
      <c r="B26" s="16">
        <v>2015</v>
      </c>
      <c r="C26" s="3">
        <v>1555</v>
      </c>
      <c r="D26" s="41">
        <f t="shared" si="20"/>
        <v>1303.5</v>
      </c>
      <c r="E26" s="31">
        <f t="shared" si="14"/>
        <v>-251.5</v>
      </c>
      <c r="F26" s="31">
        <f t="shared" si="15"/>
        <v>63252.25</v>
      </c>
      <c r="G26" s="36">
        <f t="shared" si="16"/>
        <v>251.5</v>
      </c>
      <c r="H26" s="33">
        <f t="shared" si="17"/>
        <v>0.1617363344051447</v>
      </c>
      <c r="J26" s="39"/>
      <c r="K26" s="42"/>
      <c r="L26" s="43"/>
      <c r="M26" s="44"/>
      <c r="N26" s="45"/>
      <c r="R26" s="16">
        <v>2015</v>
      </c>
      <c r="S26" s="3">
        <v>1555</v>
      </c>
      <c r="T26" s="41">
        <f t="shared" si="25"/>
        <v>1310.03</v>
      </c>
      <c r="U26" s="31">
        <f t="shared" si="21"/>
        <v>-244.97000000000003</v>
      </c>
      <c r="V26" s="31">
        <f t="shared" si="22"/>
        <v>60010.300900000017</v>
      </c>
      <c r="W26" s="36">
        <f t="shared" si="23"/>
        <v>244.97000000000003</v>
      </c>
      <c r="X26" s="33">
        <f t="shared" si="24"/>
        <v>0.15753697749196144</v>
      </c>
    </row>
    <row r="27" spans="2:41" s="46" customFormat="1" x14ac:dyDescent="0.25">
      <c r="B27" s="16">
        <v>2016</v>
      </c>
      <c r="C27" s="3">
        <v>1543</v>
      </c>
      <c r="D27" s="41">
        <f t="shared" si="20"/>
        <v>1474.5</v>
      </c>
      <c r="E27" s="31">
        <f t="shared" si="14"/>
        <v>-68.5</v>
      </c>
      <c r="F27" s="31">
        <f t="shared" si="15"/>
        <v>4692.25</v>
      </c>
      <c r="G27" s="36">
        <f t="shared" si="16"/>
        <v>68.5</v>
      </c>
      <c r="H27" s="33">
        <f t="shared" si="17"/>
        <v>4.4394037589112118E-2</v>
      </c>
      <c r="J27" s="39"/>
      <c r="K27" s="42"/>
      <c r="L27" s="43"/>
      <c r="M27" s="44"/>
      <c r="N27" s="45"/>
      <c r="R27" s="16">
        <v>2016</v>
      </c>
      <c r="S27" s="3">
        <v>1543</v>
      </c>
      <c r="T27" s="41">
        <f t="shared" si="25"/>
        <v>1460.8300000000002</v>
      </c>
      <c r="U27" s="31">
        <f t="shared" si="21"/>
        <v>-82.169999999999845</v>
      </c>
      <c r="V27" s="31">
        <f t="shared" si="22"/>
        <v>6751.9088999999749</v>
      </c>
      <c r="W27" s="36">
        <f t="shared" si="23"/>
        <v>82.169999999999845</v>
      </c>
      <c r="X27" s="33">
        <f t="shared" si="24"/>
        <v>5.3253402462734835E-2</v>
      </c>
    </row>
    <row r="28" spans="2:41" s="46" customFormat="1" x14ac:dyDescent="0.25">
      <c r="B28" s="16">
        <v>2017</v>
      </c>
      <c r="C28" s="3">
        <v>1445</v>
      </c>
      <c r="D28" s="41">
        <f t="shared" si="20"/>
        <v>1549</v>
      </c>
      <c r="E28" s="31">
        <f t="shared" si="14"/>
        <v>104</v>
      </c>
      <c r="F28" s="31">
        <f t="shared" si="15"/>
        <v>10816</v>
      </c>
      <c r="G28" s="36">
        <f t="shared" si="16"/>
        <v>104</v>
      </c>
      <c r="H28" s="33">
        <f t="shared" si="17"/>
        <v>7.1972318339100352E-2</v>
      </c>
      <c r="J28" s="39"/>
      <c r="K28" s="42"/>
      <c r="L28" s="43"/>
      <c r="M28" s="44"/>
      <c r="N28" s="45"/>
      <c r="R28" s="16">
        <v>2017</v>
      </c>
      <c r="S28" s="3">
        <v>1445</v>
      </c>
      <c r="T28" s="41">
        <f t="shared" si="25"/>
        <v>1529.0800000000002</v>
      </c>
      <c r="U28" s="31">
        <f t="shared" si="21"/>
        <v>84.080000000000155</v>
      </c>
      <c r="V28" s="31">
        <f t="shared" si="22"/>
        <v>7069.4464000000262</v>
      </c>
      <c r="W28" s="36">
        <f t="shared" si="23"/>
        <v>84.080000000000155</v>
      </c>
      <c r="X28" s="33">
        <f t="shared" si="24"/>
        <v>5.8186851211072768E-2</v>
      </c>
    </row>
    <row r="29" spans="2:41" s="46" customFormat="1" x14ac:dyDescent="0.25">
      <c r="B29" s="16">
        <v>2018</v>
      </c>
      <c r="C29" s="3">
        <v>1387</v>
      </c>
      <c r="D29" s="41">
        <f t="shared" si="20"/>
        <v>1494</v>
      </c>
      <c r="E29" s="31">
        <f t="shared" si="14"/>
        <v>107</v>
      </c>
      <c r="F29" s="31">
        <f t="shared" si="15"/>
        <v>11449</v>
      </c>
      <c r="G29" s="36">
        <f t="shared" si="16"/>
        <v>107</v>
      </c>
      <c r="H29" s="33">
        <f t="shared" si="17"/>
        <v>7.714491708723864E-2</v>
      </c>
      <c r="J29" s="39"/>
      <c r="K29" s="42"/>
      <c r="L29" s="43"/>
      <c r="M29" s="44"/>
      <c r="N29" s="45"/>
      <c r="R29" s="16">
        <v>2018</v>
      </c>
      <c r="S29" s="3">
        <v>1387</v>
      </c>
      <c r="T29" s="41">
        <f t="shared" si="25"/>
        <v>1490.54</v>
      </c>
      <c r="U29" s="31">
        <f t="shared" si="21"/>
        <v>103.53999999999996</v>
      </c>
      <c r="V29" s="31">
        <f t="shared" si="22"/>
        <v>10720.531599999993</v>
      </c>
      <c r="W29" s="36">
        <f t="shared" si="23"/>
        <v>103.53999999999996</v>
      </c>
      <c r="X29" s="33">
        <f t="shared" si="24"/>
        <v>7.4650324441240062E-2</v>
      </c>
    </row>
    <row r="30" spans="2:41" s="46" customFormat="1" x14ac:dyDescent="0.25">
      <c r="B30" s="16">
        <v>2019</v>
      </c>
      <c r="C30" s="3">
        <v>1295</v>
      </c>
      <c r="D30" s="41">
        <f t="shared" si="20"/>
        <v>1416</v>
      </c>
      <c r="E30" s="72">
        <f t="shared" si="14"/>
        <v>121</v>
      </c>
      <c r="F30" s="31">
        <f t="shared" si="15"/>
        <v>14641</v>
      </c>
      <c r="G30" s="36">
        <f t="shared" si="16"/>
        <v>121</v>
      </c>
      <c r="H30" s="33">
        <f t="shared" si="17"/>
        <v>9.3436293436293436E-2</v>
      </c>
      <c r="J30" s="39"/>
      <c r="K30" s="42"/>
      <c r="L30" s="43"/>
      <c r="M30" s="44"/>
      <c r="N30" s="45"/>
      <c r="R30" s="16">
        <v>2019</v>
      </c>
      <c r="S30" s="3">
        <v>1295</v>
      </c>
      <c r="T30" s="41">
        <f t="shared" si="25"/>
        <v>1424.8600000000001</v>
      </c>
      <c r="U30" s="72">
        <f t="shared" si="21"/>
        <v>129.86000000000013</v>
      </c>
      <c r="V30" s="31">
        <f t="shared" si="22"/>
        <v>16863.619600000035</v>
      </c>
      <c r="W30" s="36">
        <f t="shared" si="23"/>
        <v>129.86000000000013</v>
      </c>
      <c r="X30" s="33">
        <f t="shared" si="24"/>
        <v>0.10027799227799238</v>
      </c>
    </row>
    <row r="31" spans="2:41" s="46" customFormat="1" ht="15.75" thickBot="1" x14ac:dyDescent="0.3">
      <c r="B31" s="16">
        <v>2020</v>
      </c>
      <c r="C31" s="24"/>
      <c r="D31" s="32">
        <f>AVERAGE(C29:C30)</f>
        <v>1341</v>
      </c>
      <c r="E31" s="104"/>
      <c r="F31" s="103">
        <f>AVERAGE(F21:F30)</f>
        <v>24314.474999999999</v>
      </c>
      <c r="G31" s="101">
        <f>AVERAGE(G21:G30)</f>
        <v>137.94999999999999</v>
      </c>
      <c r="H31" s="102">
        <f>AVERAGE(H21:H30)</f>
        <v>0.10626484758000714</v>
      </c>
      <c r="J31" s="39"/>
      <c r="K31" s="42"/>
      <c r="L31" s="43"/>
      <c r="M31" s="44"/>
      <c r="N31" s="45"/>
      <c r="R31" s="16">
        <v>2020</v>
      </c>
      <c r="S31" s="24"/>
      <c r="T31" s="37">
        <f t="shared" si="25"/>
        <v>1343.3600000000001</v>
      </c>
      <c r="U31" s="104"/>
      <c r="V31" s="103">
        <f>AVERAGE(V22:V30)</f>
        <v>27507.642211111095</v>
      </c>
      <c r="W31" s="101">
        <f>AVERAGE(W22:W30)</f>
        <v>147.97888888888883</v>
      </c>
      <c r="X31" s="102">
        <f>AVERAGE(X22:X30)</f>
        <v>0.11151141907506022</v>
      </c>
    </row>
    <row r="32" spans="2:41" s="46" customFormat="1" ht="15.75" thickBot="1" x14ac:dyDescent="0.3">
      <c r="B32" s="39"/>
      <c r="C32" s="42"/>
      <c r="D32" s="43"/>
      <c r="E32" s="1"/>
      <c r="F32" s="47" t="s">
        <v>73</v>
      </c>
      <c r="G32" s="47" t="s">
        <v>74</v>
      </c>
      <c r="H32" s="47" t="s">
        <v>75</v>
      </c>
      <c r="J32" s="39"/>
      <c r="K32" s="42"/>
      <c r="L32" s="43"/>
      <c r="M32" s="44"/>
      <c r="N32" s="45"/>
      <c r="R32" s="39"/>
      <c r="S32" s="42"/>
      <c r="T32" s="43"/>
      <c r="U32" s="1"/>
      <c r="V32" s="47" t="s">
        <v>73</v>
      </c>
      <c r="W32" s="47" t="s">
        <v>74</v>
      </c>
      <c r="X32" s="47" t="s">
        <v>75</v>
      </c>
    </row>
    <row r="33" spans="2:47" ht="15.75" thickBot="1" x14ac:dyDescent="0.3"/>
    <row r="34" spans="2:47" ht="30.75" customHeight="1" thickBot="1" x14ac:dyDescent="0.3">
      <c r="B34" s="26" t="s">
        <v>1</v>
      </c>
      <c r="C34" s="27" t="s">
        <v>8</v>
      </c>
      <c r="D34" s="29" t="s">
        <v>21</v>
      </c>
      <c r="E34" s="29" t="s">
        <v>6</v>
      </c>
      <c r="F34" s="29" t="s">
        <v>71</v>
      </c>
      <c r="G34" s="29" t="s">
        <v>72</v>
      </c>
      <c r="H34" s="29" t="s">
        <v>7</v>
      </c>
      <c r="Q34" s="47" t="s">
        <v>30</v>
      </c>
      <c r="R34" s="26" t="s">
        <v>1</v>
      </c>
      <c r="S34" s="27" t="s">
        <v>8</v>
      </c>
      <c r="T34" s="29" t="s">
        <v>29</v>
      </c>
      <c r="U34" s="29" t="s">
        <v>6</v>
      </c>
      <c r="V34" s="29" t="s">
        <v>71</v>
      </c>
      <c r="W34" s="29" t="s">
        <v>72</v>
      </c>
      <c r="X34" s="29" t="s">
        <v>7</v>
      </c>
      <c r="AI34" s="26" t="s">
        <v>1</v>
      </c>
      <c r="AJ34" s="52" t="s">
        <v>36</v>
      </c>
      <c r="AK34" s="27" t="s">
        <v>8</v>
      </c>
      <c r="AL34" s="53" t="s">
        <v>32</v>
      </c>
      <c r="AM34" s="54" t="s">
        <v>33</v>
      </c>
      <c r="AN34" s="46"/>
      <c r="AO34" s="26" t="s">
        <v>1</v>
      </c>
      <c r="AP34" s="27" t="s">
        <v>8</v>
      </c>
      <c r="AQ34" s="29" t="s">
        <v>35</v>
      </c>
      <c r="AR34" s="29" t="s">
        <v>6</v>
      </c>
      <c r="AS34" s="29" t="s">
        <v>71</v>
      </c>
      <c r="AT34" s="29" t="s">
        <v>72</v>
      </c>
      <c r="AU34" s="29" t="s">
        <v>7</v>
      </c>
    </row>
    <row r="35" spans="2:47" x14ac:dyDescent="0.25">
      <c r="B35" s="25">
        <v>2008</v>
      </c>
      <c r="C35" s="11">
        <v>830</v>
      </c>
      <c r="D35" s="28"/>
      <c r="E35" s="109"/>
      <c r="F35" s="34"/>
      <c r="G35" s="109"/>
      <c r="H35" s="35"/>
      <c r="Q35" s="50">
        <v>0.5</v>
      </c>
      <c r="R35" s="25">
        <v>2008</v>
      </c>
      <c r="S35" s="11">
        <v>830</v>
      </c>
      <c r="T35" s="28"/>
      <c r="U35" s="109"/>
      <c r="V35" s="34"/>
      <c r="W35" s="109"/>
      <c r="X35" s="35"/>
      <c r="AI35" s="25">
        <v>2008</v>
      </c>
      <c r="AJ35" s="40">
        <v>1</v>
      </c>
      <c r="AK35" s="11">
        <v>830</v>
      </c>
      <c r="AL35" s="40">
        <f t="shared" ref="AL35:AL46" si="26">AJ35*AK35</f>
        <v>830</v>
      </c>
      <c r="AM35" s="40">
        <f t="shared" ref="AM35:AM46" si="27">AJ35^2</f>
        <v>1</v>
      </c>
      <c r="AN35" s="46"/>
      <c r="AO35" s="25">
        <v>2008</v>
      </c>
      <c r="AP35" s="11">
        <v>830</v>
      </c>
      <c r="AQ35" s="40">
        <f t="shared" ref="AQ35:AQ46" si="28">$AJ$51+($AJ$50*AJ35)</f>
        <v>868.43589743589746</v>
      </c>
      <c r="AR35" s="31">
        <f t="shared" ref="AR35:AR46" si="29">AQ35-AP35</f>
        <v>38.435897435897459</v>
      </c>
      <c r="AS35" s="31">
        <f t="shared" ref="AS35:AS46" si="30">AR35^2</f>
        <v>1477.3182117028289</v>
      </c>
      <c r="AT35" s="36">
        <f>ABS(AR35)</f>
        <v>38.435897435897459</v>
      </c>
      <c r="AU35" s="33">
        <f t="shared" ref="AU35:AU36" si="31">ABS(AR35/AP35)</f>
        <v>4.6308310163731881E-2</v>
      </c>
    </row>
    <row r="36" spans="2:47" x14ac:dyDescent="0.25">
      <c r="B36" s="16">
        <v>2009</v>
      </c>
      <c r="C36" s="3">
        <v>858</v>
      </c>
      <c r="D36" s="34"/>
      <c r="E36" s="34"/>
      <c r="F36" s="34"/>
      <c r="G36" s="109"/>
      <c r="H36" s="35"/>
      <c r="Q36" s="48">
        <v>0.25</v>
      </c>
      <c r="R36" s="16">
        <v>2009</v>
      </c>
      <c r="S36" s="3">
        <v>858</v>
      </c>
      <c r="T36" s="34"/>
      <c r="U36" s="34"/>
      <c r="V36" s="34"/>
      <c r="W36" s="109"/>
      <c r="X36" s="35"/>
      <c r="AI36" s="16">
        <v>2009</v>
      </c>
      <c r="AJ36" s="51">
        <v>2</v>
      </c>
      <c r="AK36" s="3">
        <v>858</v>
      </c>
      <c r="AL36" s="40">
        <f t="shared" si="26"/>
        <v>1716</v>
      </c>
      <c r="AM36" s="40">
        <f t="shared" si="27"/>
        <v>4</v>
      </c>
      <c r="AN36" s="46"/>
      <c r="AO36" s="16">
        <v>2009</v>
      </c>
      <c r="AP36" s="3">
        <v>858</v>
      </c>
      <c r="AQ36" s="40">
        <f t="shared" si="28"/>
        <v>931.11421911421917</v>
      </c>
      <c r="AR36" s="31">
        <f t="shared" si="29"/>
        <v>73.114219114219168</v>
      </c>
      <c r="AS36" s="31">
        <f t="shared" si="30"/>
        <v>5345.6890366820517</v>
      </c>
      <c r="AT36" s="36">
        <f t="shared" ref="AT35:AT46" si="32">ABS(AR36)</f>
        <v>73.114219114219168</v>
      </c>
      <c r="AU36" s="33">
        <f t="shared" si="31"/>
        <v>8.5214707592330033E-2</v>
      </c>
    </row>
    <row r="37" spans="2:47" x14ac:dyDescent="0.25">
      <c r="B37" s="16">
        <v>2010</v>
      </c>
      <c r="C37" s="3">
        <v>910</v>
      </c>
      <c r="D37" s="34"/>
      <c r="E37" s="34"/>
      <c r="F37" s="34"/>
      <c r="G37" s="109"/>
      <c r="H37" s="35"/>
      <c r="Q37" s="48">
        <v>0.15</v>
      </c>
      <c r="R37" s="16">
        <v>2010</v>
      </c>
      <c r="S37" s="3">
        <v>910</v>
      </c>
      <c r="T37" s="34"/>
      <c r="U37" s="34"/>
      <c r="V37" s="34"/>
      <c r="W37" s="109"/>
      <c r="X37" s="35"/>
      <c r="AI37" s="16">
        <v>2010</v>
      </c>
      <c r="AJ37" s="51">
        <v>3</v>
      </c>
      <c r="AK37" s="3">
        <v>910</v>
      </c>
      <c r="AL37" s="40">
        <f t="shared" si="26"/>
        <v>2730</v>
      </c>
      <c r="AM37" s="40">
        <f t="shared" si="27"/>
        <v>9</v>
      </c>
      <c r="AN37" s="46"/>
      <c r="AO37" s="16">
        <v>2010</v>
      </c>
      <c r="AP37" s="3">
        <v>910</v>
      </c>
      <c r="AQ37" s="40">
        <f t="shared" si="28"/>
        <v>993.79254079254076</v>
      </c>
      <c r="AR37" s="31">
        <f t="shared" si="29"/>
        <v>83.792540792540763</v>
      </c>
      <c r="AS37" s="31">
        <f t="shared" si="30"/>
        <v>7021.1898924696079</v>
      </c>
      <c r="AT37" s="36">
        <f t="shared" si="32"/>
        <v>83.792540792540763</v>
      </c>
      <c r="AU37" s="33">
        <f t="shared" ref="AU37:AU46" si="33">ABS(AR37/AP37)</f>
        <v>9.2079715156638195E-2</v>
      </c>
    </row>
    <row r="38" spans="2:47" x14ac:dyDescent="0.25">
      <c r="B38" s="16">
        <v>2011</v>
      </c>
      <c r="C38" s="3">
        <v>936</v>
      </c>
      <c r="D38" s="41">
        <f>AVERAGE(C35:C37)</f>
        <v>866</v>
      </c>
      <c r="E38" s="31">
        <f t="shared" ref="E38:E46" si="34">D38-C38</f>
        <v>-70</v>
      </c>
      <c r="F38" s="31">
        <f t="shared" ref="F38:F46" si="35">E38^2</f>
        <v>4900</v>
      </c>
      <c r="G38" s="36">
        <f t="shared" ref="G38:G46" si="36">ABS(E38)</f>
        <v>70</v>
      </c>
      <c r="H38" s="33">
        <f t="shared" ref="H38:H46" si="37">ABS(E38/C38)</f>
        <v>7.4786324786324784E-2</v>
      </c>
      <c r="Q38" s="48">
        <v>0.1</v>
      </c>
      <c r="R38" s="16">
        <v>2011</v>
      </c>
      <c r="S38" s="3">
        <v>936</v>
      </c>
      <c r="T38" s="34"/>
      <c r="U38" s="34"/>
      <c r="V38" s="34"/>
      <c r="W38" s="109"/>
      <c r="X38" s="35"/>
      <c r="AI38" s="16">
        <v>2011</v>
      </c>
      <c r="AJ38" s="51">
        <v>4</v>
      </c>
      <c r="AK38" s="3">
        <v>936</v>
      </c>
      <c r="AL38" s="51">
        <f t="shared" si="26"/>
        <v>3744</v>
      </c>
      <c r="AM38" s="51">
        <f t="shared" si="27"/>
        <v>16</v>
      </c>
      <c r="AN38" s="46"/>
      <c r="AO38" s="16">
        <v>2011</v>
      </c>
      <c r="AP38" s="3">
        <v>936</v>
      </c>
      <c r="AQ38" s="40">
        <f t="shared" si="28"/>
        <v>1056.4708624708624</v>
      </c>
      <c r="AR38" s="31">
        <f t="shared" si="29"/>
        <v>120.47086247086236</v>
      </c>
      <c r="AS38" s="31">
        <f t="shared" si="30"/>
        <v>14513.228704473433</v>
      </c>
      <c r="AT38" s="36">
        <f t="shared" si="32"/>
        <v>120.47086247086236</v>
      </c>
      <c r="AU38" s="33">
        <f t="shared" si="33"/>
        <v>0.12870818640049397</v>
      </c>
    </row>
    <row r="39" spans="2:47" x14ac:dyDescent="0.25">
      <c r="B39" s="16">
        <v>2012</v>
      </c>
      <c r="C39" s="3">
        <v>1192</v>
      </c>
      <c r="D39" s="41">
        <f t="shared" ref="D39:D46" si="38">AVERAGE(C36:C38)</f>
        <v>901.33333333333337</v>
      </c>
      <c r="E39" s="31">
        <f t="shared" si="34"/>
        <v>-290.66666666666663</v>
      </c>
      <c r="F39" s="31">
        <f t="shared" si="35"/>
        <v>84487.111111111095</v>
      </c>
      <c r="G39" s="36">
        <f t="shared" si="36"/>
        <v>290.66666666666663</v>
      </c>
      <c r="H39" s="33">
        <f t="shared" si="37"/>
        <v>0.2438478747203579</v>
      </c>
      <c r="R39" s="16">
        <v>2012</v>
      </c>
      <c r="S39" s="3">
        <v>1192</v>
      </c>
      <c r="T39" s="41">
        <f>(S38*$Q$35)+(S37*$Q$36)+(S36*$Q$37)+(S35*$Q$38)</f>
        <v>907.2</v>
      </c>
      <c r="U39" s="31">
        <f t="shared" ref="U39:U46" si="39">T39-S39</f>
        <v>-284.79999999999995</v>
      </c>
      <c r="V39" s="31">
        <f t="shared" ref="V39:V46" si="40">U39^2</f>
        <v>81111.039999999979</v>
      </c>
      <c r="W39" s="36">
        <f t="shared" ref="W39:W46" si="41">ABS(U39)</f>
        <v>284.79999999999995</v>
      </c>
      <c r="X39" s="33">
        <f t="shared" ref="X39:X46" si="42">ABS(U39/S39)</f>
        <v>0.23892617449664424</v>
      </c>
      <c r="AI39" s="16">
        <v>2012</v>
      </c>
      <c r="AJ39" s="51">
        <v>5</v>
      </c>
      <c r="AK39" s="3">
        <v>1192</v>
      </c>
      <c r="AL39" s="51">
        <f t="shared" si="26"/>
        <v>5960</v>
      </c>
      <c r="AM39" s="51">
        <f t="shared" si="27"/>
        <v>25</v>
      </c>
      <c r="AN39" s="46"/>
      <c r="AO39" s="16">
        <v>2012</v>
      </c>
      <c r="AP39" s="3">
        <v>1192</v>
      </c>
      <c r="AQ39" s="40">
        <f t="shared" si="28"/>
        <v>1119.1491841491843</v>
      </c>
      <c r="AR39" s="31">
        <f t="shared" si="29"/>
        <v>-72.850815850815707</v>
      </c>
      <c r="AS39" s="31">
        <f t="shared" si="30"/>
        <v>5307.2413701294608</v>
      </c>
      <c r="AT39" s="36">
        <f t="shared" si="32"/>
        <v>72.850815850815707</v>
      </c>
      <c r="AU39" s="33">
        <f t="shared" si="33"/>
        <v>6.111645625068432E-2</v>
      </c>
    </row>
    <row r="40" spans="2:47" x14ac:dyDescent="0.25">
      <c r="B40" s="16">
        <v>2013</v>
      </c>
      <c r="C40" s="3">
        <v>1213</v>
      </c>
      <c r="D40" s="41">
        <f t="shared" si="38"/>
        <v>1012.6666666666666</v>
      </c>
      <c r="E40" s="31">
        <f t="shared" si="34"/>
        <v>-200.33333333333337</v>
      </c>
      <c r="F40" s="31">
        <f t="shared" si="35"/>
        <v>40133.44444444446</v>
      </c>
      <c r="G40" s="36">
        <f t="shared" si="36"/>
        <v>200.33333333333337</v>
      </c>
      <c r="H40" s="33">
        <f t="shared" si="37"/>
        <v>0.16515526243473486</v>
      </c>
      <c r="R40" s="16">
        <v>2013</v>
      </c>
      <c r="S40" s="3">
        <v>1213</v>
      </c>
      <c r="T40" s="41">
        <f t="shared" ref="T40:T46" si="43">(S39*$Q$35)+(S38*$Q$36)+(S37*$Q$37)+(S36*$Q$38)</f>
        <v>1052.3</v>
      </c>
      <c r="U40" s="31">
        <f t="shared" si="39"/>
        <v>-160.70000000000005</v>
      </c>
      <c r="V40" s="31">
        <f t="shared" si="40"/>
        <v>25824.490000000016</v>
      </c>
      <c r="W40" s="36">
        <f t="shared" si="41"/>
        <v>160.70000000000005</v>
      </c>
      <c r="X40" s="33">
        <f t="shared" si="42"/>
        <v>0.13248145094806268</v>
      </c>
      <c r="AI40" s="16">
        <v>2013</v>
      </c>
      <c r="AJ40" s="51">
        <v>6</v>
      </c>
      <c r="AK40" s="3">
        <v>1213</v>
      </c>
      <c r="AL40" s="51">
        <f t="shared" si="26"/>
        <v>7278</v>
      </c>
      <c r="AM40" s="51">
        <f t="shared" si="27"/>
        <v>36</v>
      </c>
      <c r="AN40" s="46"/>
      <c r="AO40" s="16">
        <v>2013</v>
      </c>
      <c r="AP40" s="3">
        <v>1213</v>
      </c>
      <c r="AQ40" s="40">
        <f t="shared" si="28"/>
        <v>1181.8275058275058</v>
      </c>
      <c r="AR40" s="31">
        <f t="shared" si="29"/>
        <v>-31.172494172494225</v>
      </c>
      <c r="AS40" s="31">
        <f t="shared" si="30"/>
        <v>971.72439293418643</v>
      </c>
      <c r="AT40" s="36">
        <f t="shared" si="32"/>
        <v>31.172494172494225</v>
      </c>
      <c r="AU40" s="33">
        <f t="shared" si="33"/>
        <v>2.5698676152097467E-2</v>
      </c>
    </row>
    <row r="41" spans="2:47" x14ac:dyDescent="0.25">
      <c r="B41" s="16">
        <v>2014</v>
      </c>
      <c r="C41" s="3">
        <v>1394</v>
      </c>
      <c r="D41" s="41">
        <f t="shared" si="38"/>
        <v>1113.6666666666667</v>
      </c>
      <c r="E41" s="31">
        <f t="shared" si="34"/>
        <v>-280.33333333333326</v>
      </c>
      <c r="F41" s="31">
        <f t="shared" si="35"/>
        <v>78586.777777777737</v>
      </c>
      <c r="G41" s="36">
        <f t="shared" si="36"/>
        <v>280.33333333333326</v>
      </c>
      <c r="H41" s="33">
        <f t="shared" si="37"/>
        <v>0.2010999521759923</v>
      </c>
      <c r="R41" s="16">
        <v>2014</v>
      </c>
      <c r="S41" s="3">
        <v>1394</v>
      </c>
      <c r="T41" s="41">
        <f t="shared" si="43"/>
        <v>1135.9000000000001</v>
      </c>
      <c r="U41" s="31">
        <f t="shared" si="39"/>
        <v>-258.09999999999991</v>
      </c>
      <c r="V41" s="31">
        <f t="shared" si="40"/>
        <v>66615.609999999957</v>
      </c>
      <c r="W41" s="36">
        <f t="shared" si="41"/>
        <v>258.09999999999991</v>
      </c>
      <c r="X41" s="33">
        <f t="shared" si="42"/>
        <v>0.18515064562410324</v>
      </c>
      <c r="AI41" s="16">
        <v>2014</v>
      </c>
      <c r="AJ41" s="51">
        <v>7</v>
      </c>
      <c r="AK41" s="3">
        <v>1394</v>
      </c>
      <c r="AL41" s="51">
        <f t="shared" si="26"/>
        <v>9758</v>
      </c>
      <c r="AM41" s="51">
        <f t="shared" si="27"/>
        <v>49</v>
      </c>
      <c r="AN41" s="46"/>
      <c r="AO41" s="16">
        <v>2014</v>
      </c>
      <c r="AP41" s="3">
        <v>1394</v>
      </c>
      <c r="AQ41" s="40">
        <f t="shared" si="28"/>
        <v>1244.5058275058275</v>
      </c>
      <c r="AR41" s="31">
        <f t="shared" si="29"/>
        <v>-149.49417249417252</v>
      </c>
      <c r="AS41" s="31">
        <f t="shared" si="30"/>
        <v>22348.507609717406</v>
      </c>
      <c r="AT41" s="36">
        <f t="shared" si="32"/>
        <v>149.49417249417252</v>
      </c>
      <c r="AU41" s="33">
        <f t="shared" si="33"/>
        <v>0.10724115673900468</v>
      </c>
    </row>
    <row r="42" spans="2:47" x14ac:dyDescent="0.25">
      <c r="B42" s="16">
        <v>2015</v>
      </c>
      <c r="C42" s="3">
        <v>1555</v>
      </c>
      <c r="D42" s="41">
        <f t="shared" si="38"/>
        <v>1266.3333333333333</v>
      </c>
      <c r="E42" s="31">
        <f t="shared" si="34"/>
        <v>-288.66666666666674</v>
      </c>
      <c r="F42" s="31">
        <f t="shared" si="35"/>
        <v>83328.444444444482</v>
      </c>
      <c r="G42" s="36">
        <f t="shared" si="36"/>
        <v>288.66666666666674</v>
      </c>
      <c r="H42" s="33">
        <f t="shared" si="37"/>
        <v>0.1856377277599143</v>
      </c>
      <c r="R42" s="16">
        <v>2015</v>
      </c>
      <c r="S42" s="3">
        <v>1555</v>
      </c>
      <c r="T42" s="41">
        <f t="shared" si="43"/>
        <v>1272.6499999999999</v>
      </c>
      <c r="U42" s="31">
        <f t="shared" si="39"/>
        <v>-282.35000000000014</v>
      </c>
      <c r="V42" s="31">
        <f t="shared" si="40"/>
        <v>79721.522500000079</v>
      </c>
      <c r="W42" s="36">
        <f t="shared" si="41"/>
        <v>282.35000000000014</v>
      </c>
      <c r="X42" s="33">
        <f t="shared" si="42"/>
        <v>0.18157556270096473</v>
      </c>
      <c r="AI42" s="16">
        <v>2015</v>
      </c>
      <c r="AJ42" s="51">
        <v>8</v>
      </c>
      <c r="AK42" s="3">
        <v>1555</v>
      </c>
      <c r="AL42" s="51">
        <f t="shared" si="26"/>
        <v>12440</v>
      </c>
      <c r="AM42" s="51">
        <f t="shared" si="27"/>
        <v>64</v>
      </c>
      <c r="AN42" s="46"/>
      <c r="AO42" s="16">
        <v>2015</v>
      </c>
      <c r="AP42" s="3">
        <v>1555</v>
      </c>
      <c r="AQ42" s="40">
        <f t="shared" si="28"/>
        <v>1307.1841491841492</v>
      </c>
      <c r="AR42" s="31">
        <f t="shared" si="29"/>
        <v>-247.81585081585081</v>
      </c>
      <c r="AS42" s="31">
        <f t="shared" si="30"/>
        <v>61412.695915584023</v>
      </c>
      <c r="AT42" s="36">
        <f t="shared" si="32"/>
        <v>247.81585081585081</v>
      </c>
      <c r="AU42" s="33">
        <f t="shared" si="33"/>
        <v>0.15936710663398765</v>
      </c>
    </row>
    <row r="43" spans="2:47" x14ac:dyDescent="0.25">
      <c r="B43" s="16">
        <v>2016</v>
      </c>
      <c r="C43" s="3">
        <v>1543</v>
      </c>
      <c r="D43" s="41">
        <f t="shared" si="38"/>
        <v>1387.3333333333333</v>
      </c>
      <c r="E43" s="31">
        <f t="shared" si="34"/>
        <v>-155.66666666666674</v>
      </c>
      <c r="F43" s="31">
        <f t="shared" si="35"/>
        <v>24232.111111111135</v>
      </c>
      <c r="G43" s="36">
        <f t="shared" si="36"/>
        <v>155.66666666666674</v>
      </c>
      <c r="H43" s="33">
        <f t="shared" si="37"/>
        <v>0.10088572045798233</v>
      </c>
      <c r="R43" s="16">
        <v>2016</v>
      </c>
      <c r="S43" s="3">
        <v>1543</v>
      </c>
      <c r="T43" s="41">
        <f t="shared" si="43"/>
        <v>1427.15</v>
      </c>
      <c r="U43" s="31">
        <f t="shared" si="39"/>
        <v>-115.84999999999991</v>
      </c>
      <c r="V43" s="31">
        <f t="shared" si="40"/>
        <v>13421.222499999978</v>
      </c>
      <c r="W43" s="36">
        <f t="shared" si="41"/>
        <v>115.84999999999991</v>
      </c>
      <c r="X43" s="33">
        <f t="shared" si="42"/>
        <v>7.5081011017498325E-2</v>
      </c>
      <c r="AI43" s="16">
        <v>2016</v>
      </c>
      <c r="AJ43" s="51">
        <v>9</v>
      </c>
      <c r="AK43" s="3">
        <v>1543</v>
      </c>
      <c r="AL43" s="51">
        <f t="shared" si="26"/>
        <v>13887</v>
      </c>
      <c r="AM43" s="51">
        <f t="shared" si="27"/>
        <v>81</v>
      </c>
      <c r="AN43" s="46"/>
      <c r="AO43" s="16">
        <v>2016</v>
      </c>
      <c r="AP43" s="3">
        <v>1543</v>
      </c>
      <c r="AQ43" s="40">
        <f t="shared" si="28"/>
        <v>1369.8624708624709</v>
      </c>
      <c r="AR43" s="31">
        <f t="shared" si="29"/>
        <v>-173.1375291375291</v>
      </c>
      <c r="AS43" s="31">
        <f t="shared" si="30"/>
        <v>29976.603995848738</v>
      </c>
      <c r="AT43" s="36">
        <f t="shared" si="32"/>
        <v>173.1375291375291</v>
      </c>
      <c r="AU43" s="33">
        <f t="shared" si="33"/>
        <v>0.11220837922069288</v>
      </c>
    </row>
    <row r="44" spans="2:47" x14ac:dyDescent="0.25">
      <c r="B44" s="16">
        <v>2017</v>
      </c>
      <c r="C44" s="3">
        <v>1445</v>
      </c>
      <c r="D44" s="41">
        <f t="shared" si="38"/>
        <v>1497.3333333333333</v>
      </c>
      <c r="E44" s="31">
        <f t="shared" si="34"/>
        <v>52.333333333333258</v>
      </c>
      <c r="F44" s="31">
        <f t="shared" si="35"/>
        <v>2738.7777777777696</v>
      </c>
      <c r="G44" s="36">
        <f t="shared" si="36"/>
        <v>52.333333333333258</v>
      </c>
      <c r="H44" s="33">
        <f t="shared" si="37"/>
        <v>3.6216839677047238E-2</v>
      </c>
      <c r="R44" s="16">
        <v>2017</v>
      </c>
      <c r="S44" s="3">
        <v>1445</v>
      </c>
      <c r="T44" s="41">
        <f t="shared" si="43"/>
        <v>1490.6499999999999</v>
      </c>
      <c r="U44" s="31">
        <f t="shared" si="39"/>
        <v>45.649999999999864</v>
      </c>
      <c r="V44" s="31">
        <f t="shared" si="40"/>
        <v>2083.9224999999874</v>
      </c>
      <c r="W44" s="36">
        <f t="shared" si="41"/>
        <v>45.649999999999864</v>
      </c>
      <c r="X44" s="33">
        <f t="shared" si="42"/>
        <v>3.1591695501730008E-2</v>
      </c>
      <c r="AI44" s="16">
        <v>2017</v>
      </c>
      <c r="AJ44" s="51">
        <v>10</v>
      </c>
      <c r="AK44" s="3">
        <v>1445</v>
      </c>
      <c r="AL44" s="51">
        <f t="shared" si="26"/>
        <v>14450</v>
      </c>
      <c r="AM44" s="51">
        <f t="shared" si="27"/>
        <v>100</v>
      </c>
      <c r="AN44" s="46"/>
      <c r="AO44" s="16">
        <v>2017</v>
      </c>
      <c r="AP44" s="3">
        <v>1445</v>
      </c>
      <c r="AQ44" s="40">
        <f t="shared" si="28"/>
        <v>1432.5407925407926</v>
      </c>
      <c r="AR44" s="31">
        <f t="shared" si="29"/>
        <v>-12.459207459207391</v>
      </c>
      <c r="AS44" s="31">
        <f t="shared" si="30"/>
        <v>155.23185051156909</v>
      </c>
      <c r="AT44" s="36">
        <f t="shared" si="32"/>
        <v>12.459207459207391</v>
      </c>
      <c r="AU44" s="33">
        <f t="shared" si="33"/>
        <v>8.6222888991054607E-3</v>
      </c>
    </row>
    <row r="45" spans="2:47" x14ac:dyDescent="0.25">
      <c r="B45" s="16">
        <v>2018</v>
      </c>
      <c r="C45" s="3">
        <v>1387</v>
      </c>
      <c r="D45" s="41">
        <f t="shared" si="38"/>
        <v>1514.3333333333333</v>
      </c>
      <c r="E45" s="31">
        <f t="shared" si="34"/>
        <v>127.33333333333326</v>
      </c>
      <c r="F45" s="31">
        <f t="shared" si="35"/>
        <v>16213.777777777759</v>
      </c>
      <c r="G45" s="36">
        <f t="shared" si="36"/>
        <v>127.33333333333326</v>
      </c>
      <c r="H45" s="33">
        <f t="shared" si="37"/>
        <v>9.1804854602259012E-2</v>
      </c>
      <c r="R45" s="16">
        <v>2018</v>
      </c>
      <c r="S45" s="3">
        <v>1387</v>
      </c>
      <c r="T45" s="41">
        <f t="shared" si="43"/>
        <v>1480.9</v>
      </c>
      <c r="U45" s="31">
        <f t="shared" si="39"/>
        <v>93.900000000000091</v>
      </c>
      <c r="V45" s="31">
        <f t="shared" si="40"/>
        <v>8817.2100000000173</v>
      </c>
      <c r="W45" s="36">
        <f t="shared" si="41"/>
        <v>93.900000000000091</v>
      </c>
      <c r="X45" s="33">
        <f t="shared" si="42"/>
        <v>6.7700072098053413E-2</v>
      </c>
      <c r="AI45" s="16">
        <v>2018</v>
      </c>
      <c r="AJ45" s="51">
        <v>11</v>
      </c>
      <c r="AK45" s="3">
        <v>1387</v>
      </c>
      <c r="AL45" s="51">
        <f t="shared" si="26"/>
        <v>15257</v>
      </c>
      <c r="AM45" s="51">
        <f t="shared" si="27"/>
        <v>121</v>
      </c>
      <c r="AN45" s="46"/>
      <c r="AO45" s="16">
        <v>2018</v>
      </c>
      <c r="AP45" s="3">
        <v>1387</v>
      </c>
      <c r="AQ45" s="40">
        <f t="shared" si="28"/>
        <v>1495.2191142191141</v>
      </c>
      <c r="AR45" s="31">
        <f t="shared" si="29"/>
        <v>108.21911421911409</v>
      </c>
      <c r="AS45" s="31">
        <f t="shared" si="30"/>
        <v>11711.376682369661</v>
      </c>
      <c r="AT45" s="36">
        <f t="shared" si="32"/>
        <v>108.21911421911409</v>
      </c>
      <c r="AU45" s="33">
        <f t="shared" si="33"/>
        <v>7.802387470736416E-2</v>
      </c>
    </row>
    <row r="46" spans="2:47" ht="15.75" thickBot="1" x14ac:dyDescent="0.3">
      <c r="B46" s="16">
        <v>2019</v>
      </c>
      <c r="C46" s="3">
        <v>1295</v>
      </c>
      <c r="D46" s="41">
        <f t="shared" si="38"/>
        <v>1458.3333333333333</v>
      </c>
      <c r="E46" s="72">
        <f t="shared" si="34"/>
        <v>163.33333333333326</v>
      </c>
      <c r="F46" s="31">
        <f t="shared" si="35"/>
        <v>26677.777777777752</v>
      </c>
      <c r="G46" s="36">
        <f t="shared" si="36"/>
        <v>163.33333333333326</v>
      </c>
      <c r="H46" s="33">
        <f t="shared" si="37"/>
        <v>0.12612612612612606</v>
      </c>
      <c r="R46" s="16">
        <v>2019</v>
      </c>
      <c r="S46" s="3">
        <v>1295</v>
      </c>
      <c r="T46" s="41">
        <f t="shared" si="43"/>
        <v>1441.7</v>
      </c>
      <c r="U46" s="72">
        <f t="shared" si="39"/>
        <v>146.70000000000005</v>
      </c>
      <c r="V46" s="31">
        <f t="shared" si="40"/>
        <v>21520.890000000014</v>
      </c>
      <c r="W46" s="36">
        <f t="shared" si="41"/>
        <v>146.70000000000005</v>
      </c>
      <c r="X46" s="33">
        <f t="shared" si="42"/>
        <v>0.11328185328185332</v>
      </c>
      <c r="AI46" s="16">
        <v>2019</v>
      </c>
      <c r="AJ46" s="51">
        <v>12</v>
      </c>
      <c r="AK46" s="55">
        <v>1295</v>
      </c>
      <c r="AL46" s="51">
        <f t="shared" si="26"/>
        <v>15540</v>
      </c>
      <c r="AM46" s="51">
        <f t="shared" si="27"/>
        <v>144</v>
      </c>
      <c r="AN46" s="46"/>
      <c r="AO46" s="16">
        <v>2019</v>
      </c>
      <c r="AP46" s="3">
        <v>1295</v>
      </c>
      <c r="AQ46" s="40">
        <f t="shared" si="28"/>
        <v>1557.897435897436</v>
      </c>
      <c r="AR46" s="72">
        <f t="shared" si="29"/>
        <v>262.89743589743603</v>
      </c>
      <c r="AS46" s="31">
        <f t="shared" si="30"/>
        <v>69115.061801446485</v>
      </c>
      <c r="AT46" s="36">
        <f t="shared" si="32"/>
        <v>262.89743589743603</v>
      </c>
      <c r="AU46" s="33">
        <f t="shared" si="33"/>
        <v>0.20300960300960311</v>
      </c>
    </row>
    <row r="47" spans="2:47" ht="15.75" thickBot="1" x14ac:dyDescent="0.3">
      <c r="B47" s="16">
        <v>2020</v>
      </c>
      <c r="C47" s="24"/>
      <c r="D47" s="32">
        <f>AVERAGE(C44:C46)</f>
        <v>1375.6666666666667</v>
      </c>
      <c r="E47" s="104"/>
      <c r="F47" s="103">
        <f>AVERAGE(F38:F46)</f>
        <v>40144.246913580246</v>
      </c>
      <c r="G47" s="101">
        <f>AVERAGE(G38:G46)</f>
        <v>180.96296296296293</v>
      </c>
      <c r="H47" s="102">
        <f>AVERAGE(H38:H46)</f>
        <v>0.13617340919341542</v>
      </c>
      <c r="R47" s="16">
        <v>2020</v>
      </c>
      <c r="S47" s="24"/>
      <c r="T47" s="37">
        <f>(S46*$Q$35)+(S45*$Q$36)+(S44*$Q$37)+(S43*$Q$38)</f>
        <v>1365.3</v>
      </c>
      <c r="U47" s="104"/>
      <c r="V47" s="103">
        <f>AVERAGE(V39:V46)</f>
        <v>37389.488437500004</v>
      </c>
      <c r="W47" s="101">
        <f>AVERAGE(W39:W46)</f>
        <v>173.50624999999999</v>
      </c>
      <c r="X47" s="102">
        <f>AVERAGE(X39:X46)</f>
        <v>0.12822355820861375</v>
      </c>
      <c r="AI47" s="56" t="s">
        <v>37</v>
      </c>
      <c r="AJ47" s="57">
        <f>SUM(AJ35:AJ46)</f>
        <v>78</v>
      </c>
      <c r="AK47" s="68">
        <f>SUM(AK35:AK46)</f>
        <v>14558</v>
      </c>
      <c r="AL47" s="58">
        <f>SUM(AL35:AL46)</f>
        <v>103590</v>
      </c>
      <c r="AM47" s="58">
        <f>SUM(AM35:AM46)</f>
        <v>650</v>
      </c>
      <c r="AN47" s="46"/>
      <c r="AO47" s="16">
        <v>2020</v>
      </c>
      <c r="AP47" s="24"/>
      <c r="AQ47" s="69">
        <f>$AJ$51+($AJ$50*13)</f>
        <v>1620.5757575757575</v>
      </c>
      <c r="AR47" s="104"/>
      <c r="AS47" s="103">
        <f>AVERAGE(AS35:AS46)</f>
        <v>19112.989121989118</v>
      </c>
      <c r="AT47" s="101">
        <f>AVERAGE(AT35:AT46)</f>
        <v>114.48834498834496</v>
      </c>
      <c r="AU47" s="102">
        <f>AVERAGE(AU35:AU46)</f>
        <v>9.2299871743811143E-2</v>
      </c>
    </row>
    <row r="48" spans="2:47" s="46" customFormat="1" ht="15.75" thickBot="1" x14ac:dyDescent="0.3">
      <c r="B48" s="39"/>
      <c r="C48" s="42"/>
      <c r="D48" s="43"/>
      <c r="E48" s="1"/>
      <c r="F48" s="47" t="s">
        <v>73</v>
      </c>
      <c r="G48" s="47" t="s">
        <v>74</v>
      </c>
      <c r="H48" s="47" t="s">
        <v>75</v>
      </c>
      <c r="R48" s="39"/>
      <c r="S48" s="42"/>
      <c r="T48" s="43"/>
      <c r="U48" s="1"/>
      <c r="V48" s="47" t="s">
        <v>73</v>
      </c>
      <c r="W48" s="47" t="s">
        <v>74</v>
      </c>
      <c r="X48" s="47" t="s">
        <v>75</v>
      </c>
      <c r="AI48" s="70" t="s">
        <v>38</v>
      </c>
      <c r="AJ48" s="63">
        <f>AVERAGE(AJ35:AJ46)</f>
        <v>6.5</v>
      </c>
      <c r="AK48" s="67">
        <f>AVERAGE(AK35:AK46)</f>
        <v>1213.1666666666667</v>
      </c>
      <c r="AL48" s="62">
        <f>AVERAGE(AL35:AL46)</f>
        <v>8632.5</v>
      </c>
      <c r="AM48" s="62">
        <f>AVERAGE(AM35:AM46)</f>
        <v>54.166666666666664</v>
      </c>
      <c r="AO48" s="39"/>
      <c r="AP48" s="42"/>
      <c r="AQ48" s="42"/>
      <c r="AR48" s="1"/>
      <c r="AS48" s="47" t="s">
        <v>73</v>
      </c>
      <c r="AT48" s="47" t="s">
        <v>74</v>
      </c>
      <c r="AU48" s="47" t="s">
        <v>75</v>
      </c>
    </row>
    <row r="49" spans="2:47" ht="15.75" thickBot="1" x14ac:dyDescent="0.3">
      <c r="AI49" s="61" t="s">
        <v>34</v>
      </c>
      <c r="AJ49" s="64">
        <f>12</f>
        <v>12</v>
      </c>
      <c r="AN49"/>
    </row>
    <row r="50" spans="2:47" ht="30.75" thickBot="1" x14ac:dyDescent="0.3">
      <c r="B50" s="26" t="s">
        <v>1</v>
      </c>
      <c r="C50" s="27" t="s">
        <v>8</v>
      </c>
      <c r="D50" s="29" t="s">
        <v>10</v>
      </c>
      <c r="E50" s="29" t="s">
        <v>6</v>
      </c>
      <c r="F50" s="29" t="s">
        <v>71</v>
      </c>
      <c r="G50" s="29" t="s">
        <v>72</v>
      </c>
      <c r="H50" s="29" t="s">
        <v>7</v>
      </c>
      <c r="AI50" s="59" t="s">
        <v>62</v>
      </c>
      <c r="AJ50" s="65">
        <f>(AJ49*AL47-AJ47*AK47)/(AJ49*AM47-AJ47^2)</f>
        <v>62.67832167832168</v>
      </c>
    </row>
    <row r="51" spans="2:47" ht="15.75" thickBot="1" x14ac:dyDescent="0.3">
      <c r="B51" s="25">
        <v>2008</v>
      </c>
      <c r="C51" s="11">
        <v>830</v>
      </c>
      <c r="D51" s="28"/>
      <c r="E51" s="109"/>
      <c r="F51" s="34"/>
      <c r="G51" s="109"/>
      <c r="H51" s="35"/>
      <c r="AI51" s="60" t="s">
        <v>63</v>
      </c>
      <c r="AJ51" s="66">
        <f>AK48-AJ50*AJ48</f>
        <v>805.75757575757575</v>
      </c>
    </row>
    <row r="52" spans="2:47" x14ac:dyDescent="0.25">
      <c r="B52" s="16">
        <v>2009</v>
      </c>
      <c r="C52" s="3">
        <v>858</v>
      </c>
      <c r="D52" s="34"/>
      <c r="E52" s="34"/>
      <c r="F52" s="34"/>
      <c r="G52" s="109"/>
      <c r="H52" s="35"/>
    </row>
    <row r="53" spans="2:47" ht="15.75" thickBot="1" x14ac:dyDescent="0.3">
      <c r="B53" s="16">
        <v>2010</v>
      </c>
      <c r="C53" s="3">
        <v>910</v>
      </c>
      <c r="D53" s="34"/>
      <c r="E53" s="34"/>
      <c r="F53" s="34"/>
      <c r="G53" s="109"/>
      <c r="H53" s="35"/>
    </row>
    <row r="54" spans="2:47" ht="30.75" customHeight="1" thickBot="1" x14ac:dyDescent="0.3">
      <c r="B54" s="16">
        <v>2011</v>
      </c>
      <c r="C54" s="3">
        <v>936</v>
      </c>
      <c r="D54" s="34"/>
      <c r="E54" s="34"/>
      <c r="F54" s="34"/>
      <c r="G54" s="109"/>
      <c r="H54" s="35"/>
      <c r="AI54" s="26" t="s">
        <v>1</v>
      </c>
      <c r="AJ54" s="52" t="s">
        <v>36</v>
      </c>
      <c r="AK54" s="27" t="s">
        <v>8</v>
      </c>
      <c r="AL54" s="53" t="s">
        <v>32</v>
      </c>
      <c r="AM54" s="54" t="s">
        <v>33</v>
      </c>
      <c r="AN54"/>
      <c r="AO54" s="26" t="s">
        <v>1</v>
      </c>
      <c r="AP54" s="27" t="s">
        <v>8</v>
      </c>
      <c r="AQ54" s="29" t="s">
        <v>35</v>
      </c>
      <c r="AR54" s="29" t="s">
        <v>6</v>
      </c>
      <c r="AS54" s="29" t="s">
        <v>71</v>
      </c>
      <c r="AT54" s="29" t="s">
        <v>72</v>
      </c>
      <c r="AU54" s="29" t="s">
        <v>7</v>
      </c>
    </row>
    <row r="55" spans="2:47" x14ac:dyDescent="0.25">
      <c r="B55" s="16">
        <v>2012</v>
      </c>
      <c r="C55" s="3">
        <v>1192</v>
      </c>
      <c r="D55" s="31">
        <f>AVERAGE(C51:C54)</f>
        <v>883.5</v>
      </c>
      <c r="E55" s="31">
        <f t="shared" ref="E55:E62" si="44">D55-C55</f>
        <v>-308.5</v>
      </c>
      <c r="F55" s="31">
        <f t="shared" ref="F55:F62" si="45">E55^2</f>
        <v>95172.25</v>
      </c>
      <c r="G55" s="36">
        <f t="shared" ref="G55:G62" si="46">ABS(E55)</f>
        <v>308.5</v>
      </c>
      <c r="H55" s="33">
        <f t="shared" ref="H55:H62" si="47">ABS(E55/C55)</f>
        <v>0.25880872483221479</v>
      </c>
      <c r="AI55" s="16">
        <v>2015</v>
      </c>
      <c r="AJ55" s="51">
        <v>1</v>
      </c>
      <c r="AK55" s="3">
        <v>1555</v>
      </c>
      <c r="AL55" s="51">
        <f>AJ55*AK55</f>
        <v>1555</v>
      </c>
      <c r="AM55" s="51">
        <f>AJ55^2</f>
        <v>1</v>
      </c>
      <c r="AN55"/>
      <c r="AO55" s="16">
        <v>2015</v>
      </c>
      <c r="AP55" s="3">
        <v>1555</v>
      </c>
      <c r="AQ55" s="40">
        <f>$AJ$64+($AJ$63*AJ55)</f>
        <v>1580.2</v>
      </c>
      <c r="AR55" s="31">
        <f t="shared" ref="AR55:AR56" si="48">AQ55-AP55</f>
        <v>25.200000000000045</v>
      </c>
      <c r="AS55" s="31">
        <f t="shared" ref="AS55:AS59" si="49">AR55^2</f>
        <v>635.04000000000224</v>
      </c>
      <c r="AT55" s="36">
        <f t="shared" ref="AT55:AT59" si="50">ABS(AR55)</f>
        <v>25.200000000000045</v>
      </c>
      <c r="AU55" s="33">
        <f t="shared" ref="AU55:AU56" si="51">ABS(AR55/AP55)</f>
        <v>1.6205787781350511E-2</v>
      </c>
    </row>
    <row r="56" spans="2:47" x14ac:dyDescent="0.25">
      <c r="B56" s="16">
        <v>2013</v>
      </c>
      <c r="C56" s="3">
        <v>1213</v>
      </c>
      <c r="D56" s="31">
        <f t="shared" ref="D56:D62" si="52">AVERAGE(C52:C55)</f>
        <v>974</v>
      </c>
      <c r="E56" s="31">
        <f t="shared" si="44"/>
        <v>-239</v>
      </c>
      <c r="F56" s="31">
        <f t="shared" si="45"/>
        <v>57121</v>
      </c>
      <c r="G56" s="36">
        <f t="shared" si="46"/>
        <v>239</v>
      </c>
      <c r="H56" s="33">
        <f t="shared" si="47"/>
        <v>0.19703215169002472</v>
      </c>
      <c r="AI56" s="16">
        <v>2016</v>
      </c>
      <c r="AJ56" s="51">
        <v>2</v>
      </c>
      <c r="AK56" s="3">
        <v>1543</v>
      </c>
      <c r="AL56" s="51">
        <f>AJ56*AK56</f>
        <v>3086</v>
      </c>
      <c r="AM56" s="51">
        <f>AJ56^2</f>
        <v>4</v>
      </c>
      <c r="AN56"/>
      <c r="AO56" s="16">
        <v>2016</v>
      </c>
      <c r="AP56" s="3">
        <v>1543</v>
      </c>
      <c r="AQ56" s="40">
        <f>$AJ$64+($AJ$63*AJ56)</f>
        <v>1512.6</v>
      </c>
      <c r="AR56" s="31">
        <f t="shared" si="48"/>
        <v>-30.400000000000091</v>
      </c>
      <c r="AS56" s="31">
        <f t="shared" si="49"/>
        <v>924.16000000000554</v>
      </c>
      <c r="AT56" s="36">
        <f t="shared" si="50"/>
        <v>30.400000000000091</v>
      </c>
      <c r="AU56" s="33">
        <f t="shared" si="51"/>
        <v>1.970187945560602E-2</v>
      </c>
    </row>
    <row r="57" spans="2:47" x14ac:dyDescent="0.25">
      <c r="B57" s="16">
        <v>2014</v>
      </c>
      <c r="C57" s="3">
        <v>1394</v>
      </c>
      <c r="D57" s="31">
        <f t="shared" si="52"/>
        <v>1062.75</v>
      </c>
      <c r="E57" s="31">
        <f t="shared" si="44"/>
        <v>-331.25</v>
      </c>
      <c r="F57" s="31">
        <f t="shared" si="45"/>
        <v>109726.5625</v>
      </c>
      <c r="G57" s="36">
        <f t="shared" si="46"/>
        <v>331.25</v>
      </c>
      <c r="H57" s="33">
        <f t="shared" si="47"/>
        <v>0.2376255380200861</v>
      </c>
      <c r="AI57" s="16">
        <v>2017</v>
      </c>
      <c r="AJ57" s="51">
        <v>3</v>
      </c>
      <c r="AK57" s="3">
        <v>1445</v>
      </c>
      <c r="AL57" s="51">
        <f>AJ57*AK57</f>
        <v>4335</v>
      </c>
      <c r="AM57" s="51">
        <f>AJ57^2</f>
        <v>9</v>
      </c>
      <c r="AN57"/>
      <c r="AO57" s="16">
        <v>2017</v>
      </c>
      <c r="AP57" s="3">
        <v>1445</v>
      </c>
      <c r="AQ57" s="40">
        <f>$AJ$64+($AJ$63*AJ57)</f>
        <v>1445</v>
      </c>
      <c r="AR57" s="31">
        <f>AQ57-AP57</f>
        <v>0</v>
      </c>
      <c r="AS57" s="31">
        <f t="shared" si="49"/>
        <v>0</v>
      </c>
      <c r="AT57" s="36">
        <f t="shared" si="50"/>
        <v>0</v>
      </c>
      <c r="AU57" s="33">
        <f>ABS(AR57/AP57)</f>
        <v>0</v>
      </c>
    </row>
    <row r="58" spans="2:47" x14ac:dyDescent="0.25">
      <c r="B58" s="16">
        <v>2015</v>
      </c>
      <c r="C58" s="3">
        <v>1555</v>
      </c>
      <c r="D58" s="31">
        <f t="shared" si="52"/>
        <v>1183.75</v>
      </c>
      <c r="E58" s="31">
        <f t="shared" si="44"/>
        <v>-371.25</v>
      </c>
      <c r="F58" s="31">
        <f t="shared" si="45"/>
        <v>137826.5625</v>
      </c>
      <c r="G58" s="36">
        <f t="shared" si="46"/>
        <v>371.25</v>
      </c>
      <c r="H58" s="33">
        <f t="shared" si="47"/>
        <v>0.2387459807073955</v>
      </c>
      <c r="AI58" s="16">
        <v>2018</v>
      </c>
      <c r="AJ58" s="51">
        <v>4</v>
      </c>
      <c r="AK58" s="3">
        <v>1387</v>
      </c>
      <c r="AL58" s="51">
        <f>AJ58*AK58</f>
        <v>5548</v>
      </c>
      <c r="AM58" s="51">
        <f>AJ58^2</f>
        <v>16</v>
      </c>
      <c r="AN58"/>
      <c r="AO58" s="16">
        <v>2018</v>
      </c>
      <c r="AP58" s="3">
        <v>1387</v>
      </c>
      <c r="AQ58" s="40">
        <f>$AJ$64+($AJ$63*AJ58)</f>
        <v>1377.4</v>
      </c>
      <c r="AR58" s="31">
        <f>AQ58-AP58</f>
        <v>-9.5999999999999091</v>
      </c>
      <c r="AS58" s="31">
        <f t="shared" si="49"/>
        <v>92.159999999998249</v>
      </c>
      <c r="AT58" s="36">
        <f t="shared" si="50"/>
        <v>9.5999999999999091</v>
      </c>
      <c r="AU58" s="33">
        <f>ABS(AR58/AP58)</f>
        <v>6.9214131218456442E-3</v>
      </c>
    </row>
    <row r="59" spans="2:47" ht="15.75" thickBot="1" x14ac:dyDescent="0.3">
      <c r="B59" s="16">
        <v>2016</v>
      </c>
      <c r="C59" s="3">
        <v>1543</v>
      </c>
      <c r="D59" s="31">
        <f t="shared" si="52"/>
        <v>1338.5</v>
      </c>
      <c r="E59" s="31">
        <f t="shared" si="44"/>
        <v>-204.5</v>
      </c>
      <c r="F59" s="31">
        <f t="shared" si="45"/>
        <v>41820.25</v>
      </c>
      <c r="G59" s="36">
        <f t="shared" si="46"/>
        <v>204.5</v>
      </c>
      <c r="H59" s="33">
        <f t="shared" si="47"/>
        <v>0.13253402462734931</v>
      </c>
      <c r="AI59" s="16">
        <v>2019</v>
      </c>
      <c r="AJ59" s="51">
        <v>5</v>
      </c>
      <c r="AK59" s="55">
        <v>1295</v>
      </c>
      <c r="AL59" s="51">
        <f>AJ59*AK59</f>
        <v>6475</v>
      </c>
      <c r="AM59" s="51">
        <f>AJ59^2</f>
        <v>25</v>
      </c>
      <c r="AN59"/>
      <c r="AO59" s="16">
        <v>2019</v>
      </c>
      <c r="AP59" s="3">
        <v>1295</v>
      </c>
      <c r="AQ59" s="40">
        <f>$AJ$64+($AJ$63*AJ59)</f>
        <v>1309.8</v>
      </c>
      <c r="AR59" s="72">
        <f>AQ59-AP59</f>
        <v>14.799999999999955</v>
      </c>
      <c r="AS59" s="31">
        <f t="shared" si="49"/>
        <v>219.03999999999866</v>
      </c>
      <c r="AT59" s="36">
        <f t="shared" si="50"/>
        <v>14.799999999999955</v>
      </c>
      <c r="AU59" s="33">
        <f>ABS(AR59/AP59)</f>
        <v>1.1428571428571394E-2</v>
      </c>
    </row>
    <row r="60" spans="2:47" ht="15.75" thickBot="1" x14ac:dyDescent="0.3">
      <c r="B60" s="16">
        <v>2017</v>
      </c>
      <c r="C60" s="3">
        <v>1445</v>
      </c>
      <c r="D60" s="31">
        <f t="shared" si="52"/>
        <v>1426.25</v>
      </c>
      <c r="E60" s="31">
        <f t="shared" si="44"/>
        <v>-18.75</v>
      </c>
      <c r="F60" s="31">
        <f t="shared" si="45"/>
        <v>351.5625</v>
      </c>
      <c r="G60" s="36">
        <f t="shared" si="46"/>
        <v>18.75</v>
      </c>
      <c r="H60" s="33">
        <f t="shared" si="47"/>
        <v>1.2975778546712802E-2</v>
      </c>
      <c r="AI60" s="56" t="s">
        <v>37</v>
      </c>
      <c r="AJ60" s="57">
        <f>SUM(AJ55:AJ59)</f>
        <v>15</v>
      </c>
      <c r="AK60" s="68">
        <f>SUM(AK55:AK59)</f>
        <v>7225</v>
      </c>
      <c r="AL60" s="58">
        <f>SUM(AL55:AL59)</f>
        <v>20999</v>
      </c>
      <c r="AM60" s="58">
        <f>SUM(AM55:AM59)</f>
        <v>55</v>
      </c>
      <c r="AN60"/>
      <c r="AO60" s="16">
        <v>2020</v>
      </c>
      <c r="AP60" s="24"/>
      <c r="AQ60" s="69">
        <f>$AJ$64+($AJ$63*6)</f>
        <v>1242.2</v>
      </c>
      <c r="AR60" s="104"/>
      <c r="AS60" s="103">
        <f>AVERAGE(AS55:AS59)</f>
        <v>374.08000000000095</v>
      </c>
      <c r="AT60" s="101">
        <f>AVERAGE(AT55:AT59)</f>
        <v>16</v>
      </c>
      <c r="AU60" s="102">
        <f>AVERAGE(AU55:AU59)</f>
        <v>1.0851530357474713E-2</v>
      </c>
    </row>
    <row r="61" spans="2:47" ht="15.75" thickBot="1" x14ac:dyDescent="0.3">
      <c r="B61" s="16">
        <v>2018</v>
      </c>
      <c r="C61" s="3">
        <v>1387</v>
      </c>
      <c r="D61" s="31">
        <f t="shared" si="52"/>
        <v>1484.25</v>
      </c>
      <c r="E61" s="31">
        <f t="shared" si="44"/>
        <v>97.25</v>
      </c>
      <c r="F61" s="31">
        <f t="shared" si="45"/>
        <v>9457.5625</v>
      </c>
      <c r="G61" s="36">
        <f t="shared" si="46"/>
        <v>97.25</v>
      </c>
      <c r="H61" s="33">
        <f t="shared" si="47"/>
        <v>7.0115356885364091E-2</v>
      </c>
      <c r="AI61" s="30" t="s">
        <v>38</v>
      </c>
      <c r="AJ61" s="63">
        <f>AVERAGE(AJ55:AJ59)</f>
        <v>3</v>
      </c>
      <c r="AK61" s="67">
        <f>AVERAGE(AK55:AK59)</f>
        <v>1445</v>
      </c>
      <c r="AL61" s="62">
        <f>AVERAGE(AL55:AL59)</f>
        <v>4199.8</v>
      </c>
      <c r="AM61" s="62">
        <f>AVERAGE(AM55:AM59)</f>
        <v>11</v>
      </c>
      <c r="AN61"/>
      <c r="AR61" s="1"/>
      <c r="AS61" s="47" t="s">
        <v>73</v>
      </c>
      <c r="AT61" s="47" t="s">
        <v>74</v>
      </c>
      <c r="AU61" s="47" t="s">
        <v>75</v>
      </c>
    </row>
    <row r="62" spans="2:47" x14ac:dyDescent="0.25">
      <c r="B62" s="16">
        <v>2019</v>
      </c>
      <c r="C62" s="3">
        <v>1295</v>
      </c>
      <c r="D62" s="31">
        <f t="shared" si="52"/>
        <v>1482.5</v>
      </c>
      <c r="E62" s="72">
        <f t="shared" si="44"/>
        <v>187.5</v>
      </c>
      <c r="F62" s="31">
        <f t="shared" si="45"/>
        <v>35156.25</v>
      </c>
      <c r="G62" s="36">
        <f t="shared" si="46"/>
        <v>187.5</v>
      </c>
      <c r="H62" s="33">
        <f t="shared" si="47"/>
        <v>0.14478764478764478</v>
      </c>
      <c r="AI62" s="61" t="s">
        <v>34</v>
      </c>
      <c r="AJ62" s="64">
        <f>5</f>
        <v>5</v>
      </c>
      <c r="AK62" s="1"/>
      <c r="AL62" s="1"/>
      <c r="AO62" s="1"/>
    </row>
    <row r="63" spans="2:47" ht="15.75" thickBot="1" x14ac:dyDescent="0.3">
      <c r="B63" s="16">
        <v>2020</v>
      </c>
      <c r="C63" s="24"/>
      <c r="D63" s="32">
        <f>AVERAGE(C59:C62)</f>
        <v>1417.5</v>
      </c>
      <c r="E63" s="104"/>
      <c r="F63" s="103">
        <f>AVERAGE(F55:F62)</f>
        <v>60829</v>
      </c>
      <c r="G63" s="101">
        <f>AVERAGE(G55:G62)</f>
        <v>219.75</v>
      </c>
      <c r="H63" s="102">
        <f>AVERAGE(H55:H62)</f>
        <v>0.16157815001209902</v>
      </c>
      <c r="AI63" s="59" t="s">
        <v>62</v>
      </c>
      <c r="AJ63" s="65">
        <f>(AJ62*AL60-AJ60*AK60)/(AJ62*AM60-AJ60^2)</f>
        <v>-67.599999999999994</v>
      </c>
      <c r="AK63" s="1"/>
      <c r="AL63" s="1"/>
      <c r="AO63" s="1"/>
    </row>
    <row r="64" spans="2:47" s="46" customFormat="1" ht="15.75" thickBot="1" x14ac:dyDescent="0.3">
      <c r="B64" s="39"/>
      <c r="C64" s="42"/>
      <c r="D64" s="43"/>
      <c r="E64" s="1"/>
      <c r="F64" s="47" t="s">
        <v>73</v>
      </c>
      <c r="G64" s="47" t="s">
        <v>74</v>
      </c>
      <c r="H64" s="47" t="s">
        <v>75</v>
      </c>
      <c r="AI64" s="60" t="s">
        <v>63</v>
      </c>
      <c r="AJ64" s="66">
        <f>AK61-AJ63*AJ61</f>
        <v>1647.8</v>
      </c>
    </row>
    <row r="65" spans="2:41" ht="15.75" thickBot="1" x14ac:dyDescent="0.3">
      <c r="AK65" s="1"/>
      <c r="AL65" s="1"/>
      <c r="AO65" s="1"/>
    </row>
    <row r="66" spans="2:41" ht="30.75" thickBot="1" x14ac:dyDescent="0.3">
      <c r="B66" s="26" t="s">
        <v>1</v>
      </c>
      <c r="C66" s="27" t="s">
        <v>8</v>
      </c>
      <c r="D66" s="29" t="s">
        <v>22</v>
      </c>
      <c r="E66" s="29" t="s">
        <v>6</v>
      </c>
      <c r="F66" s="29" t="s">
        <v>71</v>
      </c>
      <c r="G66" s="29" t="s">
        <v>72</v>
      </c>
      <c r="H66" s="29" t="s">
        <v>7</v>
      </c>
    </row>
    <row r="67" spans="2:41" x14ac:dyDescent="0.25">
      <c r="B67" s="25">
        <v>2008</v>
      </c>
      <c r="C67" s="11">
        <v>830</v>
      </c>
      <c r="D67" s="28"/>
      <c r="E67" s="109"/>
      <c r="F67" s="34"/>
      <c r="G67" s="109"/>
      <c r="H67" s="35"/>
    </row>
    <row r="68" spans="2:41" x14ac:dyDescent="0.25">
      <c r="B68" s="16">
        <v>2009</v>
      </c>
      <c r="C68" s="3">
        <v>858</v>
      </c>
      <c r="D68" s="34"/>
      <c r="E68" s="34"/>
      <c r="F68" s="34"/>
      <c r="G68" s="109"/>
      <c r="H68" s="35"/>
    </row>
    <row r="69" spans="2:41" x14ac:dyDescent="0.25">
      <c r="B69" s="16">
        <v>2010</v>
      </c>
      <c r="C69" s="3">
        <v>910</v>
      </c>
      <c r="D69" s="34"/>
      <c r="E69" s="34"/>
      <c r="F69" s="34"/>
      <c r="G69" s="109"/>
      <c r="H69" s="35"/>
    </row>
    <row r="70" spans="2:41" x14ac:dyDescent="0.25">
      <c r="B70" s="16">
        <v>2011</v>
      </c>
      <c r="C70" s="3">
        <v>936</v>
      </c>
      <c r="D70" s="34"/>
      <c r="E70" s="34"/>
      <c r="F70" s="34"/>
      <c r="G70" s="109"/>
      <c r="H70" s="35"/>
    </row>
    <row r="71" spans="2:41" x14ac:dyDescent="0.25">
      <c r="B71" s="16">
        <v>2012</v>
      </c>
      <c r="C71" s="3">
        <v>1192</v>
      </c>
      <c r="D71" s="34"/>
      <c r="E71" s="34"/>
      <c r="F71" s="34"/>
      <c r="G71" s="109"/>
      <c r="H71" s="35"/>
    </row>
    <row r="72" spans="2:41" x14ac:dyDescent="0.25">
      <c r="B72" s="16">
        <v>2013</v>
      </c>
      <c r="C72" s="3">
        <v>1213</v>
      </c>
      <c r="D72" s="31">
        <f>AVERAGE(C67:C71)</f>
        <v>945.2</v>
      </c>
      <c r="E72" s="31">
        <f t="shared" ref="E72:E78" si="53">D72-C72</f>
        <v>-267.79999999999995</v>
      </c>
      <c r="F72" s="31">
        <f t="shared" ref="F72:F78" si="54">E72^2</f>
        <v>71716.839999999982</v>
      </c>
      <c r="G72" s="36">
        <f t="shared" ref="G72:G78" si="55">ABS(E72)</f>
        <v>267.79999999999995</v>
      </c>
      <c r="H72" s="33">
        <f t="shared" ref="H72:H78" si="56">ABS(E72/C72)</f>
        <v>0.22077493816982685</v>
      </c>
    </row>
    <row r="73" spans="2:41" x14ac:dyDescent="0.25">
      <c r="B73" s="16">
        <v>2014</v>
      </c>
      <c r="C73" s="3">
        <v>1394</v>
      </c>
      <c r="D73" s="31">
        <f t="shared" ref="D73:D78" si="57">AVERAGE(C68:C72)</f>
        <v>1021.8</v>
      </c>
      <c r="E73" s="31">
        <f t="shared" si="53"/>
        <v>-372.20000000000005</v>
      </c>
      <c r="F73" s="31">
        <f t="shared" si="54"/>
        <v>138532.84000000003</v>
      </c>
      <c r="G73" s="36">
        <f t="shared" si="55"/>
        <v>372.20000000000005</v>
      </c>
      <c r="H73" s="33">
        <f t="shared" si="56"/>
        <v>0.26700143472022958</v>
      </c>
    </row>
    <row r="74" spans="2:41" x14ac:dyDescent="0.25">
      <c r="B74" s="16">
        <v>2015</v>
      </c>
      <c r="C74" s="3">
        <v>1555</v>
      </c>
      <c r="D74" s="31">
        <f t="shared" si="57"/>
        <v>1129</v>
      </c>
      <c r="E74" s="31">
        <f t="shared" si="53"/>
        <v>-426</v>
      </c>
      <c r="F74" s="31">
        <f t="shared" si="54"/>
        <v>181476</v>
      </c>
      <c r="G74" s="36">
        <f t="shared" si="55"/>
        <v>426</v>
      </c>
      <c r="H74" s="33">
        <f t="shared" si="56"/>
        <v>0.27395498392282958</v>
      </c>
    </row>
    <row r="75" spans="2:41" x14ac:dyDescent="0.25">
      <c r="B75" s="16">
        <v>2016</v>
      </c>
      <c r="C75" s="3">
        <v>1543</v>
      </c>
      <c r="D75" s="31">
        <f t="shared" si="57"/>
        <v>1258</v>
      </c>
      <c r="E75" s="31">
        <f t="shared" si="53"/>
        <v>-285</v>
      </c>
      <c r="F75" s="31">
        <f t="shared" si="54"/>
        <v>81225</v>
      </c>
      <c r="G75" s="36">
        <f t="shared" si="55"/>
        <v>285</v>
      </c>
      <c r="H75" s="33">
        <f t="shared" si="56"/>
        <v>0.18470511989630589</v>
      </c>
    </row>
    <row r="76" spans="2:41" x14ac:dyDescent="0.25">
      <c r="B76" s="16">
        <v>2017</v>
      </c>
      <c r="C76" s="3">
        <v>1445</v>
      </c>
      <c r="D76" s="31">
        <f t="shared" si="57"/>
        <v>1379.4</v>
      </c>
      <c r="E76" s="31">
        <f t="shared" si="53"/>
        <v>-65.599999999999909</v>
      </c>
      <c r="F76" s="31">
        <f t="shared" si="54"/>
        <v>4303.3599999999878</v>
      </c>
      <c r="G76" s="36">
        <f t="shared" si="55"/>
        <v>65.599999999999909</v>
      </c>
      <c r="H76" s="33">
        <f t="shared" si="56"/>
        <v>4.5397923875432462E-2</v>
      </c>
    </row>
    <row r="77" spans="2:41" x14ac:dyDescent="0.25">
      <c r="B77" s="16">
        <v>2018</v>
      </c>
      <c r="C77" s="3">
        <v>1387</v>
      </c>
      <c r="D77" s="31">
        <f t="shared" si="57"/>
        <v>1430</v>
      </c>
      <c r="E77" s="31">
        <f t="shared" si="53"/>
        <v>43</v>
      </c>
      <c r="F77" s="31">
        <f t="shared" si="54"/>
        <v>1849</v>
      </c>
      <c r="G77" s="36">
        <f t="shared" si="55"/>
        <v>43</v>
      </c>
      <c r="H77" s="33">
        <f t="shared" si="56"/>
        <v>3.1002162941600575E-2</v>
      </c>
    </row>
    <row r="78" spans="2:41" x14ac:dyDescent="0.25">
      <c r="B78" s="16">
        <v>2019</v>
      </c>
      <c r="C78" s="3">
        <v>1295</v>
      </c>
      <c r="D78" s="31">
        <f t="shared" si="57"/>
        <v>1464.8</v>
      </c>
      <c r="E78" s="72">
        <f t="shared" si="53"/>
        <v>169.79999999999995</v>
      </c>
      <c r="F78" s="31">
        <f t="shared" si="54"/>
        <v>28832.039999999986</v>
      </c>
      <c r="G78" s="36">
        <f t="shared" si="55"/>
        <v>169.79999999999995</v>
      </c>
      <c r="H78" s="33">
        <f t="shared" si="56"/>
        <v>0.13111969111969107</v>
      </c>
    </row>
    <row r="79" spans="2:41" ht="15.75" thickBot="1" x14ac:dyDescent="0.3">
      <c r="B79" s="16">
        <v>2020</v>
      </c>
      <c r="C79" s="24"/>
      <c r="D79" s="32">
        <f>AVERAGE(C74:C78)</f>
        <v>1445</v>
      </c>
      <c r="E79" s="104"/>
      <c r="F79" s="103">
        <f>AVERAGE(F71:F78)</f>
        <v>72562.154285714278</v>
      </c>
      <c r="G79" s="101">
        <f>AVERAGE(G71:G78)</f>
        <v>232.77142857142854</v>
      </c>
      <c r="H79" s="102">
        <f>AVERAGE(H68:H78)</f>
        <v>0.16485089352084517</v>
      </c>
    </row>
    <row r="80" spans="2:41" s="46" customFormat="1" ht="15.75" thickBot="1" x14ac:dyDescent="0.3">
      <c r="B80" s="39"/>
      <c r="C80" s="42"/>
      <c r="D80" s="43"/>
      <c r="E80" s="1"/>
      <c r="F80" s="47" t="s">
        <v>73</v>
      </c>
      <c r="G80" s="47" t="s">
        <v>74</v>
      </c>
      <c r="H80" s="47" t="s">
        <v>75</v>
      </c>
    </row>
    <row r="81" spans="2:8" ht="15.75" thickBot="1" x14ac:dyDescent="0.3"/>
    <row r="82" spans="2:8" ht="30.75" thickBot="1" x14ac:dyDescent="0.3">
      <c r="B82" s="26" t="s">
        <v>1</v>
      </c>
      <c r="C82" s="27" t="s">
        <v>8</v>
      </c>
      <c r="D82" s="29" t="s">
        <v>23</v>
      </c>
      <c r="E82" s="29" t="s">
        <v>6</v>
      </c>
      <c r="F82" s="29" t="s">
        <v>71</v>
      </c>
      <c r="G82" s="29" t="s">
        <v>72</v>
      </c>
      <c r="H82" s="29" t="s">
        <v>7</v>
      </c>
    </row>
    <row r="83" spans="2:8" x14ac:dyDescent="0.25">
      <c r="B83" s="25">
        <v>2008</v>
      </c>
      <c r="C83" s="11">
        <v>830</v>
      </c>
      <c r="D83" s="28"/>
      <c r="E83" s="109"/>
      <c r="F83" s="34"/>
      <c r="G83" s="109"/>
      <c r="H83" s="35"/>
    </row>
    <row r="84" spans="2:8" x14ac:dyDescent="0.25">
      <c r="B84" s="16">
        <v>2009</v>
      </c>
      <c r="C84" s="3">
        <v>858</v>
      </c>
      <c r="D84" s="34"/>
      <c r="E84" s="34"/>
      <c r="F84" s="34"/>
      <c r="G84" s="109"/>
      <c r="H84" s="35"/>
    </row>
    <row r="85" spans="2:8" x14ac:dyDescent="0.25">
      <c r="B85" s="16">
        <v>2010</v>
      </c>
      <c r="C85" s="3">
        <v>910</v>
      </c>
      <c r="D85" s="34"/>
      <c r="E85" s="34"/>
      <c r="F85" s="34"/>
      <c r="G85" s="109"/>
      <c r="H85" s="35"/>
    </row>
    <row r="86" spans="2:8" x14ac:dyDescent="0.25">
      <c r="B86" s="16">
        <v>2011</v>
      </c>
      <c r="C86" s="3">
        <v>936</v>
      </c>
      <c r="D86" s="34"/>
      <c r="E86" s="34"/>
      <c r="F86" s="34"/>
      <c r="G86" s="109"/>
      <c r="H86" s="35"/>
    </row>
    <row r="87" spans="2:8" x14ac:dyDescent="0.25">
      <c r="B87" s="16">
        <v>2012</v>
      </c>
      <c r="C87" s="3">
        <v>1192</v>
      </c>
      <c r="D87" s="34"/>
      <c r="E87" s="34"/>
      <c r="F87" s="34"/>
      <c r="G87" s="109"/>
      <c r="H87" s="35"/>
    </row>
    <row r="88" spans="2:8" x14ac:dyDescent="0.25">
      <c r="B88" s="16">
        <v>2013</v>
      </c>
      <c r="C88" s="3">
        <v>1213</v>
      </c>
      <c r="D88" s="34"/>
      <c r="E88" s="34"/>
      <c r="F88" s="34"/>
      <c r="G88" s="109"/>
      <c r="H88" s="35"/>
    </row>
    <row r="89" spans="2:8" x14ac:dyDescent="0.25">
      <c r="B89" s="16">
        <v>2014</v>
      </c>
      <c r="C89" s="3">
        <v>1394</v>
      </c>
      <c r="D89" s="31">
        <f>AVERAGE(C83:C88)</f>
        <v>989.83333333333337</v>
      </c>
      <c r="E89" s="31">
        <f t="shared" ref="E89:E94" si="58">D89-C89</f>
        <v>-404.16666666666663</v>
      </c>
      <c r="F89" s="31">
        <f t="shared" ref="F89:F94" si="59">E89^2</f>
        <v>163350.69444444441</v>
      </c>
      <c r="G89" s="36">
        <f t="shared" ref="G89:G94" si="60">ABS(E89)</f>
        <v>404.16666666666663</v>
      </c>
      <c r="H89" s="33">
        <f t="shared" ref="H89:H94" si="61">ABS(E89/C89)</f>
        <v>0.28993304638928741</v>
      </c>
    </row>
    <row r="90" spans="2:8" x14ac:dyDescent="0.25">
      <c r="B90" s="16">
        <v>2015</v>
      </c>
      <c r="C90" s="3">
        <v>1555</v>
      </c>
      <c r="D90" s="31">
        <f t="shared" ref="D90:D94" si="62">AVERAGE(C84:C89)</f>
        <v>1083.8333333333333</v>
      </c>
      <c r="E90" s="31">
        <f t="shared" si="58"/>
        <v>-471.16666666666674</v>
      </c>
      <c r="F90" s="31">
        <f t="shared" si="59"/>
        <v>221998.02777777784</v>
      </c>
      <c r="G90" s="36">
        <f t="shared" si="60"/>
        <v>471.16666666666674</v>
      </c>
      <c r="H90" s="33">
        <f t="shared" si="61"/>
        <v>0.30300107181136127</v>
      </c>
    </row>
    <row r="91" spans="2:8" x14ac:dyDescent="0.25">
      <c r="B91" s="16">
        <v>2016</v>
      </c>
      <c r="C91" s="3">
        <v>1543</v>
      </c>
      <c r="D91" s="31">
        <f t="shared" si="62"/>
        <v>1200</v>
      </c>
      <c r="E91" s="31">
        <f t="shared" si="58"/>
        <v>-343</v>
      </c>
      <c r="F91" s="31">
        <f t="shared" si="59"/>
        <v>117649</v>
      </c>
      <c r="G91" s="36">
        <f t="shared" si="60"/>
        <v>343</v>
      </c>
      <c r="H91" s="33">
        <f t="shared" si="61"/>
        <v>0.22229423201555412</v>
      </c>
    </row>
    <row r="92" spans="2:8" x14ac:dyDescent="0.25">
      <c r="B92" s="16">
        <v>2017</v>
      </c>
      <c r="C92" s="3">
        <v>1445</v>
      </c>
      <c r="D92" s="31">
        <f t="shared" si="62"/>
        <v>1305.5</v>
      </c>
      <c r="E92" s="31">
        <f t="shared" si="58"/>
        <v>-139.5</v>
      </c>
      <c r="F92" s="31">
        <f t="shared" si="59"/>
        <v>19460.25</v>
      </c>
      <c r="G92" s="36">
        <f t="shared" si="60"/>
        <v>139.5</v>
      </c>
      <c r="H92" s="33">
        <f t="shared" si="61"/>
        <v>9.6539792387543247E-2</v>
      </c>
    </row>
    <row r="93" spans="2:8" x14ac:dyDescent="0.25">
      <c r="B93" s="16">
        <v>2018</v>
      </c>
      <c r="C93" s="3">
        <v>1387</v>
      </c>
      <c r="D93" s="31">
        <f t="shared" si="62"/>
        <v>1390.3333333333333</v>
      </c>
      <c r="E93" s="31">
        <f t="shared" si="58"/>
        <v>3.3333333333332575</v>
      </c>
      <c r="F93" s="31">
        <f t="shared" si="59"/>
        <v>11.111111111110606</v>
      </c>
      <c r="G93" s="36">
        <f t="shared" si="60"/>
        <v>3.3333333333332575</v>
      </c>
      <c r="H93" s="33">
        <f t="shared" si="61"/>
        <v>2.4032684450852613E-3</v>
      </c>
    </row>
    <row r="94" spans="2:8" x14ac:dyDescent="0.25">
      <c r="B94" s="16">
        <v>2019</v>
      </c>
      <c r="C94" s="3">
        <v>1295</v>
      </c>
      <c r="D94" s="31">
        <f t="shared" si="62"/>
        <v>1422.8333333333333</v>
      </c>
      <c r="E94" s="72">
        <f t="shared" si="58"/>
        <v>127.83333333333326</v>
      </c>
      <c r="F94" s="31">
        <f t="shared" si="59"/>
        <v>16341.361111111091</v>
      </c>
      <c r="G94" s="36">
        <f t="shared" si="60"/>
        <v>127.83333333333326</v>
      </c>
      <c r="H94" s="33">
        <f t="shared" si="61"/>
        <v>9.8712998712998656E-2</v>
      </c>
    </row>
    <row r="95" spans="2:8" ht="15.75" thickBot="1" x14ac:dyDescent="0.3">
      <c r="B95" s="16">
        <v>2020</v>
      </c>
      <c r="C95" s="24"/>
      <c r="D95" s="32">
        <f>AVERAGE(C89:C94)</f>
        <v>1436.5</v>
      </c>
      <c r="E95" s="104"/>
      <c r="F95" s="103">
        <f>AVERAGE(F87:F94)</f>
        <v>89801.740740740745</v>
      </c>
      <c r="G95" s="101">
        <f>AVERAGE(G87:G94)</f>
        <v>248.16666666666666</v>
      </c>
      <c r="H95" s="102">
        <f>AVERAGE(H84:H94)</f>
        <v>0.16881406829363832</v>
      </c>
    </row>
    <row r="96" spans="2:8" s="46" customFormat="1" ht="15.75" thickBot="1" x14ac:dyDescent="0.3">
      <c r="B96" s="39"/>
      <c r="C96" s="42"/>
      <c r="D96" s="43"/>
      <c r="E96" s="1"/>
      <c r="F96" s="47" t="s">
        <v>73</v>
      </c>
      <c r="G96" s="47" t="s">
        <v>74</v>
      </c>
      <c r="H96" s="47" t="s">
        <v>75</v>
      </c>
    </row>
    <row r="97" spans="2:8" ht="15.75" thickBot="1" x14ac:dyDescent="0.3"/>
    <row r="98" spans="2:8" ht="30.75" thickBot="1" x14ac:dyDescent="0.3">
      <c r="B98" s="26" t="s">
        <v>1</v>
      </c>
      <c r="C98" s="27" t="s">
        <v>8</v>
      </c>
      <c r="D98" s="29" t="s">
        <v>24</v>
      </c>
      <c r="E98" s="29" t="s">
        <v>6</v>
      </c>
      <c r="F98" s="29" t="s">
        <v>71</v>
      </c>
      <c r="G98" s="29" t="s">
        <v>72</v>
      </c>
      <c r="H98" s="29" t="s">
        <v>7</v>
      </c>
    </row>
    <row r="99" spans="2:8" x14ac:dyDescent="0.25">
      <c r="B99" s="25">
        <v>2008</v>
      </c>
      <c r="C99" s="11">
        <v>830</v>
      </c>
      <c r="D99" s="28"/>
      <c r="E99" s="109"/>
      <c r="F99" s="34"/>
      <c r="G99" s="109"/>
      <c r="H99" s="35"/>
    </row>
    <row r="100" spans="2:8" x14ac:dyDescent="0.25">
      <c r="B100" s="16">
        <v>2009</v>
      </c>
      <c r="C100" s="3">
        <v>858</v>
      </c>
      <c r="D100" s="34"/>
      <c r="E100" s="34"/>
      <c r="F100" s="34"/>
      <c r="G100" s="109"/>
      <c r="H100" s="35"/>
    </row>
    <row r="101" spans="2:8" x14ac:dyDescent="0.25">
      <c r="B101" s="16">
        <v>2010</v>
      </c>
      <c r="C101" s="3">
        <v>910</v>
      </c>
      <c r="D101" s="34"/>
      <c r="E101" s="34"/>
      <c r="F101" s="34"/>
      <c r="G101" s="109"/>
      <c r="H101" s="35"/>
    </row>
    <row r="102" spans="2:8" x14ac:dyDescent="0.25">
      <c r="B102" s="16">
        <v>2011</v>
      </c>
      <c r="C102" s="3">
        <v>936</v>
      </c>
      <c r="D102" s="34"/>
      <c r="E102" s="34"/>
      <c r="F102" s="34"/>
      <c r="G102" s="109"/>
      <c r="H102" s="35"/>
    </row>
    <row r="103" spans="2:8" x14ac:dyDescent="0.25">
      <c r="B103" s="16">
        <v>2012</v>
      </c>
      <c r="C103" s="3">
        <v>1192</v>
      </c>
      <c r="D103" s="34"/>
      <c r="E103" s="34"/>
      <c r="F103" s="34"/>
      <c r="G103" s="109"/>
      <c r="H103" s="35"/>
    </row>
    <row r="104" spans="2:8" x14ac:dyDescent="0.25">
      <c r="B104" s="16">
        <v>2013</v>
      </c>
      <c r="C104" s="3">
        <v>1213</v>
      </c>
      <c r="D104" s="34"/>
      <c r="E104" s="34"/>
      <c r="F104" s="34"/>
      <c r="G104" s="109"/>
      <c r="H104" s="35"/>
    </row>
    <row r="105" spans="2:8" x14ac:dyDescent="0.25">
      <c r="B105" s="16">
        <v>2014</v>
      </c>
      <c r="C105" s="3">
        <v>1394</v>
      </c>
      <c r="D105" s="34"/>
      <c r="E105" s="34"/>
      <c r="F105" s="34"/>
      <c r="G105" s="109"/>
      <c r="H105" s="35"/>
    </row>
    <row r="106" spans="2:8" x14ac:dyDescent="0.25">
      <c r="B106" s="16">
        <v>2015</v>
      </c>
      <c r="C106" s="3">
        <v>1555</v>
      </c>
      <c r="D106" s="31">
        <f>AVERAGE(C99:C105)</f>
        <v>1047.5714285714287</v>
      </c>
      <c r="E106" s="31">
        <f>D106-C106</f>
        <v>-507.42857142857133</v>
      </c>
      <c r="F106" s="31">
        <f t="shared" ref="F106:F110" si="63">E106^2</f>
        <v>257483.75510204071</v>
      </c>
      <c r="G106" s="36">
        <f t="shared" ref="G106:G110" si="64">ABS(E106)</f>
        <v>507.42857142857133</v>
      </c>
      <c r="H106" s="33">
        <f>ABS(E106/C106)</f>
        <v>0.32632062471290763</v>
      </c>
    </row>
    <row r="107" spans="2:8" x14ac:dyDescent="0.25">
      <c r="B107" s="16">
        <v>2016</v>
      </c>
      <c r="C107" s="3">
        <v>1543</v>
      </c>
      <c r="D107" s="31">
        <f t="shared" ref="D107:D110" si="65">AVERAGE(C100:C106)</f>
        <v>1151.1428571428571</v>
      </c>
      <c r="E107" s="31">
        <f>D107-C107</f>
        <v>-391.85714285714289</v>
      </c>
      <c r="F107" s="31">
        <f t="shared" si="63"/>
        <v>153552.02040816328</v>
      </c>
      <c r="G107" s="36">
        <f t="shared" si="64"/>
        <v>391.85714285714289</v>
      </c>
      <c r="H107" s="33">
        <f>ABS(E107/C107)</f>
        <v>0.25395796685492084</v>
      </c>
    </row>
    <row r="108" spans="2:8" x14ac:dyDescent="0.25">
      <c r="B108" s="16">
        <v>2017</v>
      </c>
      <c r="C108" s="3">
        <v>1445</v>
      </c>
      <c r="D108" s="31">
        <f t="shared" si="65"/>
        <v>1249</v>
      </c>
      <c r="E108" s="31">
        <f>D108-C108</f>
        <v>-196</v>
      </c>
      <c r="F108" s="31">
        <f t="shared" si="63"/>
        <v>38416</v>
      </c>
      <c r="G108" s="36">
        <f t="shared" si="64"/>
        <v>196</v>
      </c>
      <c r="H108" s="33">
        <f>ABS(E108/C108)</f>
        <v>0.13564013840830449</v>
      </c>
    </row>
    <row r="109" spans="2:8" x14ac:dyDescent="0.25">
      <c r="B109" s="16">
        <v>2018</v>
      </c>
      <c r="C109" s="3">
        <v>1387</v>
      </c>
      <c r="D109" s="31">
        <f t="shared" si="65"/>
        <v>1325.4285714285713</v>
      </c>
      <c r="E109" s="31">
        <f>D109-C109</f>
        <v>-61.571428571428669</v>
      </c>
      <c r="F109" s="31">
        <f t="shared" si="63"/>
        <v>3791.0408163265424</v>
      </c>
      <c r="G109" s="36">
        <f t="shared" si="64"/>
        <v>61.571428571428669</v>
      </c>
      <c r="H109" s="33">
        <f>ABS(E109/C109)</f>
        <v>4.439180142136169E-2</v>
      </c>
    </row>
    <row r="110" spans="2:8" x14ac:dyDescent="0.25">
      <c r="B110" s="16">
        <v>2019</v>
      </c>
      <c r="C110" s="3">
        <v>1295</v>
      </c>
      <c r="D110" s="31">
        <f t="shared" si="65"/>
        <v>1389.8571428571429</v>
      </c>
      <c r="E110" s="72">
        <f>D110-C110</f>
        <v>94.85714285714289</v>
      </c>
      <c r="F110" s="31">
        <f t="shared" si="63"/>
        <v>8997.8775510204141</v>
      </c>
      <c r="G110" s="36">
        <f t="shared" si="64"/>
        <v>94.85714285714289</v>
      </c>
      <c r="H110" s="33">
        <f>ABS(E110/C110)</f>
        <v>7.3248758963044697E-2</v>
      </c>
    </row>
    <row r="111" spans="2:8" ht="15.75" thickBot="1" x14ac:dyDescent="0.3">
      <c r="B111" s="16">
        <v>2020</v>
      </c>
      <c r="C111" s="24"/>
      <c r="D111" s="32">
        <f>AVERAGE(C104:C110)</f>
        <v>1404.5714285714287</v>
      </c>
      <c r="E111" s="104"/>
      <c r="F111" s="103">
        <f>AVERAGE(F103:F110)</f>
        <v>92448.138775510204</v>
      </c>
      <c r="G111" s="101">
        <f>AVERAGE(G103:G110)</f>
        <v>250.34285714285716</v>
      </c>
      <c r="H111" s="102">
        <f>AVERAGE(H100:H110)</f>
        <v>0.16671185807210787</v>
      </c>
    </row>
    <row r="112" spans="2:8" ht="15.75" thickBot="1" x14ac:dyDescent="0.3">
      <c r="E112" s="1"/>
      <c r="F112" s="47" t="s">
        <v>73</v>
      </c>
      <c r="G112" s="47" t="s">
        <v>74</v>
      </c>
      <c r="H112" s="47" t="s"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3EF5-E137-43FC-999D-AF23E7311BA0}">
  <dimension ref="B4:J19"/>
  <sheetViews>
    <sheetView workbookViewId="0">
      <selection activeCell="F3" sqref="F3"/>
    </sheetView>
  </sheetViews>
  <sheetFormatPr defaultRowHeight="15" x14ac:dyDescent="0.25"/>
  <cols>
    <col min="3" max="3" width="13" customWidth="1"/>
    <col min="6" max="6" width="14.140625" customWidth="1"/>
    <col min="7" max="7" width="9.140625" customWidth="1"/>
    <col min="8" max="8" width="14.7109375" customWidth="1"/>
    <col min="9" max="9" width="10.42578125" customWidth="1"/>
    <col min="10" max="10" width="15.5703125" customWidth="1"/>
  </cols>
  <sheetData>
    <row r="4" spans="2:10" ht="15.75" thickBot="1" x14ac:dyDescent="0.3"/>
    <row r="5" spans="2:10" ht="30.75" customHeight="1" thickBot="1" x14ac:dyDescent="0.3">
      <c r="B5" s="26" t="s">
        <v>1</v>
      </c>
      <c r="C5" s="27" t="s">
        <v>8</v>
      </c>
      <c r="D5" s="26" t="s">
        <v>76</v>
      </c>
      <c r="E5" s="26" t="s">
        <v>77</v>
      </c>
      <c r="F5" s="26" t="s">
        <v>78</v>
      </c>
      <c r="G5" s="26" t="s">
        <v>6</v>
      </c>
      <c r="H5" s="29" t="s">
        <v>71</v>
      </c>
      <c r="I5" s="29" t="s">
        <v>72</v>
      </c>
      <c r="J5" s="29" t="s">
        <v>7</v>
      </c>
    </row>
    <row r="6" spans="2:10" x14ac:dyDescent="0.25">
      <c r="B6" s="25">
        <v>2008</v>
      </c>
      <c r="C6" s="110">
        <v>830</v>
      </c>
      <c r="D6" s="28"/>
      <c r="E6" s="28"/>
      <c r="F6" s="28"/>
      <c r="G6" s="28"/>
      <c r="H6" s="28"/>
      <c r="I6" s="28"/>
      <c r="J6" s="28"/>
    </row>
    <row r="7" spans="2:10" x14ac:dyDescent="0.25">
      <c r="B7" s="16">
        <v>2009</v>
      </c>
      <c r="C7" s="111">
        <v>858</v>
      </c>
      <c r="D7" s="31">
        <f>C7</f>
        <v>858</v>
      </c>
      <c r="E7" s="31">
        <f>D7-C6</f>
        <v>28</v>
      </c>
      <c r="F7" s="24"/>
      <c r="G7" s="24"/>
      <c r="H7" s="34"/>
      <c r="I7" s="34"/>
      <c r="J7" s="35"/>
    </row>
    <row r="8" spans="2:10" x14ac:dyDescent="0.25">
      <c r="B8" s="16">
        <v>2010</v>
      </c>
      <c r="C8" s="111">
        <v>910</v>
      </c>
      <c r="D8" s="48">
        <f>$C$19*C8+(1-$C$19)*(D7+E7)</f>
        <v>901.11831113629898</v>
      </c>
      <c r="E8" s="48">
        <f>$E$19*(D8-D7)+(1-$E$19)*E7</f>
        <v>43.118311136298985</v>
      </c>
      <c r="F8" s="31">
        <f>D7+E7</f>
        <v>886</v>
      </c>
      <c r="G8" s="31">
        <f>F8-C8</f>
        <v>-24</v>
      </c>
      <c r="H8" s="31">
        <f>G8^2</f>
        <v>576</v>
      </c>
      <c r="I8" s="31">
        <f>ABS(G8)</f>
        <v>24</v>
      </c>
      <c r="J8" s="33">
        <f>ABS(G8/C8)</f>
        <v>2.6373626373626374E-2</v>
      </c>
    </row>
    <row r="9" spans="2:10" x14ac:dyDescent="0.25">
      <c r="B9" s="16">
        <v>2011</v>
      </c>
      <c r="C9" s="111">
        <v>936</v>
      </c>
      <c r="D9" s="48">
        <f>$C$19*C9+(1-$C$19)*(D8+E8)</f>
        <v>939.04812984637692</v>
      </c>
      <c r="E9" s="48">
        <f>$E$19*(D9-D8)+(1-$E$19)*E8</f>
        <v>37.929818710077939</v>
      </c>
      <c r="F9" s="31">
        <f t="shared" ref="F9:F18" si="0">D8+E8</f>
        <v>944.23662227259797</v>
      </c>
      <c r="G9" s="31">
        <f t="shared" ref="G9:G17" si="1">F9-C9</f>
        <v>8.2366222725979696</v>
      </c>
      <c r="H9" s="31">
        <f t="shared" ref="H9:H16" si="2">G9^2</f>
        <v>67.841946461456942</v>
      </c>
      <c r="I9" s="31">
        <f t="shared" ref="I9:I17" si="3">ABS(G9)</f>
        <v>8.2366222725979696</v>
      </c>
      <c r="J9" s="33">
        <f t="shared" ref="J9:J17" si="4">ABS(G9/C9)</f>
        <v>8.7998101202969754E-3</v>
      </c>
    </row>
    <row r="10" spans="2:10" x14ac:dyDescent="0.25">
      <c r="B10" s="16">
        <v>2012</v>
      </c>
      <c r="C10" s="111">
        <v>1192</v>
      </c>
      <c r="D10" s="48">
        <f>$C$19*C10+(1-$C$19)*(D9+E9)</f>
        <v>1112.4267100101547</v>
      </c>
      <c r="E10" s="48">
        <f>$E$19*(D10-D9)+(1-$E$19)*E9</f>
        <v>173.37858016377777</v>
      </c>
      <c r="F10" s="31">
        <f t="shared" si="0"/>
        <v>976.97794855645486</v>
      </c>
      <c r="G10" s="31">
        <f t="shared" si="1"/>
        <v>-215.02205144354514</v>
      </c>
      <c r="H10" s="31">
        <f t="shared" si="2"/>
        <v>46234.482606990568</v>
      </c>
      <c r="I10" s="31">
        <f t="shared" si="3"/>
        <v>215.02205144354514</v>
      </c>
      <c r="J10" s="33">
        <f t="shared" si="4"/>
        <v>0.18038762704995398</v>
      </c>
    </row>
    <row r="11" spans="2:10" x14ac:dyDescent="0.25">
      <c r="B11" s="16">
        <v>2013</v>
      </c>
      <c r="C11" s="111">
        <v>1213</v>
      </c>
      <c r="D11" s="48">
        <f>$C$19*C11+(1-$C$19)*(D10+E10)</f>
        <v>1239.9430806231808</v>
      </c>
      <c r="E11" s="48">
        <f>$E$19*(D11-D10)+(1-$E$19)*E10</f>
        <v>127.51637061302608</v>
      </c>
      <c r="F11" s="31">
        <f t="shared" si="0"/>
        <v>1285.8052901739325</v>
      </c>
      <c r="G11" s="31">
        <f t="shared" si="1"/>
        <v>72.805290173932462</v>
      </c>
      <c r="H11" s="31">
        <f t="shared" si="2"/>
        <v>5300.6102773105067</v>
      </c>
      <c r="I11" s="31">
        <f t="shared" si="3"/>
        <v>72.805290173932462</v>
      </c>
      <c r="J11" s="33">
        <f t="shared" si="4"/>
        <v>6.00208492777679E-2</v>
      </c>
    </row>
    <row r="12" spans="2:10" x14ac:dyDescent="0.25">
      <c r="B12" s="16">
        <v>2014</v>
      </c>
      <c r="C12" s="111">
        <v>1394</v>
      </c>
      <c r="D12" s="48">
        <f>$C$19*C12+(1-$C$19)*(D11+E11)</f>
        <v>1384.1781293170043</v>
      </c>
      <c r="E12" s="48">
        <f>$E$19*(D12-D11)+(1-$E$19)*E11</f>
        <v>144.2350486938235</v>
      </c>
      <c r="F12" s="31">
        <f t="shared" si="0"/>
        <v>1367.4594512362069</v>
      </c>
      <c r="G12" s="31">
        <f t="shared" si="1"/>
        <v>-26.54054876379314</v>
      </c>
      <c r="H12" s="31">
        <f t="shared" si="2"/>
        <v>704.40072868328161</v>
      </c>
      <c r="I12" s="31">
        <f t="shared" si="3"/>
        <v>26.54054876379314</v>
      </c>
      <c r="J12" s="33">
        <f t="shared" si="4"/>
        <v>1.9039131107455625E-2</v>
      </c>
    </row>
    <row r="13" spans="2:10" x14ac:dyDescent="0.25">
      <c r="B13" s="16">
        <v>2015</v>
      </c>
      <c r="C13" s="111">
        <v>1555</v>
      </c>
      <c r="D13" s="48">
        <f>$C$19*C13+(1-$C$19)*(D12+E12)</f>
        <v>1545.1610049673986</v>
      </c>
      <c r="E13" s="48">
        <f>$E$19*(D13-D12)+(1-$E$19)*E12</f>
        <v>160.98287565039436</v>
      </c>
      <c r="F13" s="31">
        <f t="shared" si="0"/>
        <v>1528.4131780108278</v>
      </c>
      <c r="G13" s="31">
        <f t="shared" si="1"/>
        <v>-26.586821989172222</v>
      </c>
      <c r="H13" s="31">
        <f t="shared" si="2"/>
        <v>706.85910348393156</v>
      </c>
      <c r="I13" s="31">
        <f t="shared" si="3"/>
        <v>26.586821989172222</v>
      </c>
      <c r="J13" s="33">
        <f t="shared" si="4"/>
        <v>1.7097634719724902E-2</v>
      </c>
    </row>
    <row r="14" spans="2:10" x14ac:dyDescent="0.25">
      <c r="B14" s="16">
        <v>2016</v>
      </c>
      <c r="C14" s="111">
        <v>1543</v>
      </c>
      <c r="D14" s="48">
        <f>$C$19*C14+(1-$C$19)*(D13+E13)</f>
        <v>1603.3747161526676</v>
      </c>
      <c r="E14" s="48">
        <f>$E$19*(D14-D13)+(1-$E$19)*E13</f>
        <v>58.213711185268949</v>
      </c>
      <c r="F14" s="31">
        <f t="shared" si="0"/>
        <v>1706.143880617793</v>
      </c>
      <c r="G14" s="31">
        <f t="shared" si="1"/>
        <v>163.143880617793</v>
      </c>
      <c r="H14" s="31">
        <f t="shared" si="2"/>
        <v>26615.925783032693</v>
      </c>
      <c r="I14" s="31">
        <f t="shared" si="3"/>
        <v>163.143880617793</v>
      </c>
      <c r="J14" s="33">
        <f t="shared" si="4"/>
        <v>0.10573161413985288</v>
      </c>
    </row>
    <row r="15" spans="2:10" x14ac:dyDescent="0.25">
      <c r="B15" s="16">
        <v>2017</v>
      </c>
      <c r="C15" s="111">
        <v>1445</v>
      </c>
      <c r="D15" s="48">
        <f>$C$19*C15+(1-$C$19)*(D14+E14)</f>
        <v>1525.1529592955781</v>
      </c>
      <c r="E15" s="48">
        <f>$E$19*(D15-D14)+(1-$E$19)*E14</f>
        <v>-78.221756857089531</v>
      </c>
      <c r="F15" s="31">
        <f t="shared" si="0"/>
        <v>1661.5884273379365</v>
      </c>
      <c r="G15" s="31">
        <f t="shared" si="1"/>
        <v>216.58842733793654</v>
      </c>
      <c r="H15" s="31">
        <f t="shared" si="2"/>
        <v>46910.546856720612</v>
      </c>
      <c r="I15" s="31">
        <f t="shared" si="3"/>
        <v>216.58842733793654</v>
      </c>
      <c r="J15" s="33">
        <f t="shared" si="4"/>
        <v>0.14988818500895262</v>
      </c>
    </row>
    <row r="16" spans="2:10" x14ac:dyDescent="0.25">
      <c r="B16" s="16">
        <v>2018</v>
      </c>
      <c r="C16" s="111">
        <v>1387</v>
      </c>
      <c r="D16" s="48">
        <f>$C$19*C16+(1-$C$19)*(D15+E15)</f>
        <v>1409.1787622202555</v>
      </c>
      <c r="E16" s="48">
        <f>$E$19*(D16-D15)+(1-$E$19)*E15</f>
        <v>-115.97419707532254</v>
      </c>
      <c r="F16" s="31">
        <f t="shared" si="0"/>
        <v>1446.9312024384885</v>
      </c>
      <c r="G16" s="31">
        <f t="shared" si="1"/>
        <v>59.931202438488526</v>
      </c>
      <c r="H16" s="31">
        <f t="shared" si="2"/>
        <v>3591.7490257230929</v>
      </c>
      <c r="I16" s="31">
        <f t="shared" si="3"/>
        <v>59.931202438488526</v>
      </c>
      <c r="J16" s="33">
        <f t="shared" si="4"/>
        <v>4.3209230308931888E-2</v>
      </c>
    </row>
    <row r="17" spans="2:10" x14ac:dyDescent="0.25">
      <c r="B17" s="16">
        <v>2019</v>
      </c>
      <c r="C17" s="111">
        <v>1295</v>
      </c>
      <c r="D17" s="48">
        <f>$C$19*C17+(1-$C$19)*(D16+E16)</f>
        <v>1294.3355627600938</v>
      </c>
      <c r="E17" s="48">
        <f>$E$19*(D17-D16)+(1-$E$19)*E16</f>
        <v>-114.84319946016171</v>
      </c>
      <c r="F17" s="31">
        <f t="shared" si="0"/>
        <v>1293.204565144933</v>
      </c>
      <c r="G17" s="31">
        <f t="shared" si="1"/>
        <v>-1.7954348550670147</v>
      </c>
      <c r="H17" s="31">
        <f>G17^2</f>
        <v>3.2235863187895122</v>
      </c>
      <c r="I17" s="31">
        <f t="shared" si="3"/>
        <v>1.7954348550670147</v>
      </c>
      <c r="J17" s="33">
        <f t="shared" si="4"/>
        <v>1.3864361815189303E-3</v>
      </c>
    </row>
    <row r="18" spans="2:10" ht="15.75" thickBot="1" x14ac:dyDescent="0.3">
      <c r="B18" s="16">
        <v>2020</v>
      </c>
      <c r="C18" s="105"/>
      <c r="D18" s="24"/>
      <c r="E18" s="24"/>
      <c r="F18" s="37">
        <f>D17+E17</f>
        <v>1179.4923632999321</v>
      </c>
      <c r="G18" s="34"/>
      <c r="H18" s="106">
        <f>AVERAGE(H7:H17)</f>
        <v>13071.163991472495</v>
      </c>
      <c r="I18" s="107">
        <f>AVERAGE(I7:I17)</f>
        <v>81.465027989232595</v>
      </c>
      <c r="J18" s="108">
        <f>AVERAGE(J7:J17)</f>
        <v>6.1193414428808213E-2</v>
      </c>
    </row>
    <row r="19" spans="2:10" ht="15.75" thickBot="1" x14ac:dyDescent="0.3">
      <c r="B19" s="47" t="s">
        <v>79</v>
      </c>
      <c r="C19" s="118">
        <v>0.62992963067912311</v>
      </c>
      <c r="D19" s="47" t="s">
        <v>80</v>
      </c>
      <c r="E19" s="63">
        <v>1</v>
      </c>
      <c r="H19" s="47" t="s">
        <v>73</v>
      </c>
      <c r="I19" s="47" t="s">
        <v>74</v>
      </c>
      <c r="J19" s="47" t="s"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72B5-6656-41F5-9FAA-AB7F5FB902FE}">
  <dimension ref="B1:O63"/>
  <sheetViews>
    <sheetView tabSelected="1" topLeftCell="A34" workbookViewId="0">
      <selection activeCell="B43" sqref="B43:G60"/>
    </sheetView>
  </sheetViews>
  <sheetFormatPr defaultRowHeight="15" x14ac:dyDescent="0.25"/>
  <cols>
    <col min="2" max="2" width="15.140625" customWidth="1"/>
    <col min="3" max="3" width="15" customWidth="1"/>
    <col min="4" max="4" width="15.85546875" customWidth="1"/>
    <col min="5" max="5" width="16.28515625" customWidth="1"/>
    <col min="7" max="7" width="17.42578125" bestFit="1" customWidth="1"/>
    <col min="8" max="8" width="13.28515625" customWidth="1"/>
    <col min="9" max="9" width="15" customWidth="1"/>
    <col min="10" max="10" width="15.42578125" customWidth="1"/>
    <col min="11" max="11" width="12.42578125" customWidth="1"/>
  </cols>
  <sheetData>
    <row r="1" spans="2:4" ht="15.75" thickBot="1" x14ac:dyDescent="0.3"/>
    <row r="2" spans="2:4" ht="33" customHeight="1" thickBot="1" x14ac:dyDescent="0.3">
      <c r="B2" s="80" t="s">
        <v>61</v>
      </c>
      <c r="C2" s="84" t="s">
        <v>54</v>
      </c>
      <c r="D2" s="29" t="s">
        <v>55</v>
      </c>
    </row>
    <row r="3" spans="2:4" x14ac:dyDescent="0.25">
      <c r="B3" s="79" t="s">
        <v>39</v>
      </c>
      <c r="C3" s="81">
        <v>567</v>
      </c>
      <c r="D3" s="82">
        <v>226</v>
      </c>
    </row>
    <row r="4" spans="2:4" x14ac:dyDescent="0.25">
      <c r="B4" s="73" t="s">
        <v>40</v>
      </c>
      <c r="C4" s="74">
        <v>136</v>
      </c>
      <c r="D4" s="75">
        <v>50</v>
      </c>
    </row>
    <row r="5" spans="2:4" x14ac:dyDescent="0.25">
      <c r="B5" s="73" t="s">
        <v>41</v>
      </c>
      <c r="C5" s="74">
        <v>209</v>
      </c>
      <c r="D5" s="75">
        <v>83</v>
      </c>
    </row>
    <row r="6" spans="2:4" x14ac:dyDescent="0.25">
      <c r="B6" s="73" t="s">
        <v>42</v>
      </c>
      <c r="C6" s="74">
        <v>602</v>
      </c>
      <c r="D6" s="75">
        <v>194</v>
      </c>
    </row>
    <row r="7" spans="2:4" x14ac:dyDescent="0.25">
      <c r="B7" s="73" t="s">
        <v>43</v>
      </c>
      <c r="C7" s="74">
        <v>479</v>
      </c>
      <c r="D7" s="75">
        <v>235</v>
      </c>
    </row>
    <row r="8" spans="2:4" x14ac:dyDescent="0.25">
      <c r="B8" s="73" t="s">
        <v>44</v>
      </c>
      <c r="C8" s="74">
        <v>712</v>
      </c>
      <c r="D8" s="75">
        <v>355</v>
      </c>
    </row>
    <row r="9" spans="2:4" x14ac:dyDescent="0.25">
      <c r="B9" s="73" t="s">
        <v>45</v>
      </c>
      <c r="C9" s="74">
        <v>1277</v>
      </c>
      <c r="D9" s="75">
        <v>840</v>
      </c>
    </row>
    <row r="10" spans="2:4" x14ac:dyDescent="0.25">
      <c r="B10" s="73" t="s">
        <v>46</v>
      </c>
      <c r="C10" s="74">
        <v>398</v>
      </c>
      <c r="D10" s="75">
        <v>153</v>
      </c>
    </row>
    <row r="11" spans="2:4" x14ac:dyDescent="0.25">
      <c r="B11" s="73" t="s">
        <v>47</v>
      </c>
      <c r="C11" s="74">
        <v>943</v>
      </c>
      <c r="D11" s="75">
        <v>411</v>
      </c>
    </row>
    <row r="12" spans="2:4" x14ac:dyDescent="0.25">
      <c r="B12" s="73" t="s">
        <v>48</v>
      </c>
      <c r="C12" s="74">
        <v>1018</v>
      </c>
      <c r="D12" s="75">
        <v>476</v>
      </c>
    </row>
    <row r="13" spans="2:4" x14ac:dyDescent="0.25">
      <c r="B13" s="73" t="s">
        <v>49</v>
      </c>
      <c r="C13" s="74">
        <v>11</v>
      </c>
      <c r="D13" s="75">
        <v>15</v>
      </c>
    </row>
    <row r="14" spans="2:4" x14ac:dyDescent="0.25">
      <c r="B14" s="73" t="s">
        <v>50</v>
      </c>
      <c r="C14" s="74">
        <v>17</v>
      </c>
      <c r="D14" s="75">
        <v>9</v>
      </c>
    </row>
    <row r="15" spans="2:4" x14ac:dyDescent="0.25">
      <c r="B15" s="73" t="s">
        <v>51</v>
      </c>
      <c r="C15" s="74">
        <v>588</v>
      </c>
      <c r="D15" s="75">
        <v>266</v>
      </c>
    </row>
    <row r="16" spans="2:4" x14ac:dyDescent="0.25">
      <c r="B16" s="73" t="s">
        <v>52</v>
      </c>
      <c r="C16" s="74">
        <v>23</v>
      </c>
      <c r="D16" s="75">
        <v>12</v>
      </c>
    </row>
    <row r="17" spans="2:11" x14ac:dyDescent="0.25">
      <c r="B17" s="73" t="s">
        <v>53</v>
      </c>
      <c r="C17" s="74">
        <v>9</v>
      </c>
      <c r="D17" s="75">
        <v>14</v>
      </c>
    </row>
    <row r="19" spans="2:11" ht="15.75" thickBot="1" x14ac:dyDescent="0.3"/>
    <row r="20" spans="2:11" ht="33" customHeight="1" thickBot="1" x14ac:dyDescent="0.3">
      <c r="B20" s="29" t="s">
        <v>56</v>
      </c>
      <c r="C20" s="84" t="s">
        <v>59</v>
      </c>
      <c r="D20" s="29" t="s">
        <v>60</v>
      </c>
      <c r="E20" s="53" t="s">
        <v>57</v>
      </c>
      <c r="F20" s="53" t="s">
        <v>58</v>
      </c>
      <c r="H20" s="80" t="s">
        <v>61</v>
      </c>
      <c r="I20" s="84" t="s">
        <v>54</v>
      </c>
      <c r="J20" s="29" t="s">
        <v>55</v>
      </c>
      <c r="K20" s="53" t="s">
        <v>64</v>
      </c>
    </row>
    <row r="21" spans="2:11" x14ac:dyDescent="0.25">
      <c r="B21" s="83">
        <v>1</v>
      </c>
      <c r="C21" s="81">
        <v>567</v>
      </c>
      <c r="D21" s="82">
        <v>226</v>
      </c>
      <c r="E21" s="50">
        <f>C21*D21</f>
        <v>128142</v>
      </c>
      <c r="F21" s="87">
        <f>C21^2</f>
        <v>321489</v>
      </c>
      <c r="H21" s="79" t="s">
        <v>39</v>
      </c>
      <c r="I21" s="81">
        <v>567</v>
      </c>
      <c r="J21" s="82">
        <v>226</v>
      </c>
      <c r="K21" s="50">
        <f>$C$40+$C$39*I21</f>
        <v>277.45144962715614</v>
      </c>
    </row>
    <row r="22" spans="2:11" x14ac:dyDescent="0.25">
      <c r="B22" s="78">
        <v>2</v>
      </c>
      <c r="C22" s="76">
        <v>136</v>
      </c>
      <c r="D22" s="77">
        <v>50</v>
      </c>
      <c r="E22" s="48">
        <f t="shared" ref="E22:E35" si="0">C22*D22</f>
        <v>6800</v>
      </c>
      <c r="F22" s="31">
        <f t="shared" ref="F22:F35" si="1">C22^2</f>
        <v>18496</v>
      </c>
      <c r="H22" s="73" t="s">
        <v>40</v>
      </c>
      <c r="I22" s="76">
        <v>136</v>
      </c>
      <c r="J22" s="77">
        <v>50</v>
      </c>
      <c r="K22" s="50">
        <f t="shared" ref="K22:K35" si="2">$C$40+$C$39*I22</f>
        <v>43.536791421638682</v>
      </c>
    </row>
    <row r="23" spans="2:11" x14ac:dyDescent="0.25">
      <c r="B23" s="78">
        <v>3</v>
      </c>
      <c r="C23" s="76">
        <v>209</v>
      </c>
      <c r="D23" s="77">
        <v>83</v>
      </c>
      <c r="E23" s="48">
        <f t="shared" si="0"/>
        <v>17347</v>
      </c>
      <c r="F23" s="31">
        <f t="shared" si="1"/>
        <v>43681</v>
      </c>
      <c r="H23" s="73" t="s">
        <v>41</v>
      </c>
      <c r="I23" s="76">
        <v>209</v>
      </c>
      <c r="J23" s="77">
        <v>83</v>
      </c>
      <c r="K23" s="50">
        <f t="shared" si="2"/>
        <v>83.155747451807528</v>
      </c>
    </row>
    <row r="24" spans="2:11" x14ac:dyDescent="0.25">
      <c r="B24" s="78">
        <v>4</v>
      </c>
      <c r="C24" s="76">
        <v>602</v>
      </c>
      <c r="D24" s="77">
        <v>194</v>
      </c>
      <c r="E24" s="48">
        <f t="shared" si="0"/>
        <v>116788</v>
      </c>
      <c r="F24" s="31">
        <f t="shared" si="1"/>
        <v>362404</v>
      </c>
      <c r="H24" s="73" t="s">
        <v>42</v>
      </c>
      <c r="I24" s="76">
        <v>602</v>
      </c>
      <c r="J24" s="77">
        <v>194</v>
      </c>
      <c r="K24" s="50">
        <f t="shared" si="2"/>
        <v>296.44683950463434</v>
      </c>
    </row>
    <row r="25" spans="2:11" x14ac:dyDescent="0.25">
      <c r="B25" s="78">
        <v>5</v>
      </c>
      <c r="C25" s="76">
        <v>479</v>
      </c>
      <c r="D25" s="77">
        <v>235</v>
      </c>
      <c r="E25" s="48">
        <f t="shared" si="0"/>
        <v>112565</v>
      </c>
      <c r="F25" s="31">
        <f t="shared" si="1"/>
        <v>229441</v>
      </c>
      <c r="H25" s="73" t="s">
        <v>43</v>
      </c>
      <c r="I25" s="76">
        <v>479</v>
      </c>
      <c r="J25" s="77">
        <v>235</v>
      </c>
      <c r="K25" s="50">
        <f t="shared" si="2"/>
        <v>229.69161222092521</v>
      </c>
    </row>
    <row r="26" spans="2:11" x14ac:dyDescent="0.25">
      <c r="B26" s="78">
        <v>6</v>
      </c>
      <c r="C26" s="76">
        <v>712</v>
      </c>
      <c r="D26" s="77">
        <v>355</v>
      </c>
      <c r="E26" s="48">
        <f t="shared" si="0"/>
        <v>252760</v>
      </c>
      <c r="F26" s="31">
        <f t="shared" si="1"/>
        <v>506944</v>
      </c>
      <c r="H26" s="73" t="s">
        <v>44</v>
      </c>
      <c r="I26" s="76">
        <v>712</v>
      </c>
      <c r="J26" s="77">
        <v>355</v>
      </c>
      <c r="K26" s="50">
        <f t="shared" si="2"/>
        <v>356.14663626242299</v>
      </c>
    </row>
    <row r="27" spans="2:11" x14ac:dyDescent="0.25">
      <c r="B27" s="78">
        <v>7</v>
      </c>
      <c r="C27" s="76">
        <v>1277</v>
      </c>
      <c r="D27" s="77">
        <v>840</v>
      </c>
      <c r="E27" s="48">
        <f t="shared" si="0"/>
        <v>1072680</v>
      </c>
      <c r="F27" s="31">
        <f t="shared" si="1"/>
        <v>1630729</v>
      </c>
      <c r="H27" s="73" t="s">
        <v>45</v>
      </c>
      <c r="I27" s="76">
        <v>1277</v>
      </c>
      <c r="J27" s="77">
        <v>840</v>
      </c>
      <c r="K27" s="50">
        <f t="shared" si="2"/>
        <v>662.78650142742845</v>
      </c>
    </row>
    <row r="28" spans="2:11" x14ac:dyDescent="0.25">
      <c r="B28" s="78">
        <v>8</v>
      </c>
      <c r="C28" s="76">
        <v>398</v>
      </c>
      <c r="D28" s="77">
        <v>153</v>
      </c>
      <c r="E28" s="48">
        <f t="shared" si="0"/>
        <v>60894</v>
      </c>
      <c r="F28" s="31">
        <f t="shared" si="1"/>
        <v>158404</v>
      </c>
      <c r="H28" s="73" t="s">
        <v>46</v>
      </c>
      <c r="I28" s="76">
        <v>398</v>
      </c>
      <c r="J28" s="77">
        <v>153</v>
      </c>
      <c r="K28" s="50">
        <f t="shared" si="2"/>
        <v>185.73085279018989</v>
      </c>
    </row>
    <row r="29" spans="2:11" x14ac:dyDescent="0.25">
      <c r="B29" s="78">
        <v>9</v>
      </c>
      <c r="C29" s="76">
        <v>943</v>
      </c>
      <c r="D29" s="77">
        <v>411</v>
      </c>
      <c r="E29" s="48">
        <f t="shared" si="0"/>
        <v>387573</v>
      </c>
      <c r="F29" s="31">
        <f t="shared" si="1"/>
        <v>889249</v>
      </c>
      <c r="H29" s="73" t="s">
        <v>47</v>
      </c>
      <c r="I29" s="76">
        <v>943</v>
      </c>
      <c r="J29" s="77">
        <v>411</v>
      </c>
      <c r="K29" s="50">
        <f t="shared" si="2"/>
        <v>481.5162094537792</v>
      </c>
    </row>
    <row r="30" spans="2:11" x14ac:dyDescent="0.25">
      <c r="B30" s="78">
        <v>10</v>
      </c>
      <c r="C30" s="76">
        <v>1018</v>
      </c>
      <c r="D30" s="77">
        <v>476</v>
      </c>
      <c r="E30" s="48">
        <f t="shared" si="0"/>
        <v>484568</v>
      </c>
      <c r="F30" s="31">
        <f t="shared" si="1"/>
        <v>1036324</v>
      </c>
      <c r="H30" s="73" t="s">
        <v>48</v>
      </c>
      <c r="I30" s="76">
        <v>1018</v>
      </c>
      <c r="J30" s="77">
        <v>476</v>
      </c>
      <c r="K30" s="50">
        <f t="shared" si="2"/>
        <v>522.22061633408975</v>
      </c>
    </row>
    <row r="31" spans="2:11" x14ac:dyDescent="0.25">
      <c r="B31" s="78">
        <v>11</v>
      </c>
      <c r="C31" s="76">
        <v>11</v>
      </c>
      <c r="D31" s="77">
        <v>15</v>
      </c>
      <c r="E31" s="48">
        <f t="shared" si="0"/>
        <v>165</v>
      </c>
      <c r="F31" s="31">
        <f t="shared" si="1"/>
        <v>121</v>
      </c>
      <c r="H31" s="73" t="s">
        <v>49</v>
      </c>
      <c r="I31" s="76">
        <v>11</v>
      </c>
      <c r="J31" s="77">
        <v>15</v>
      </c>
      <c r="K31" s="50">
        <f t="shared" si="2"/>
        <v>-24.303886712212083</v>
      </c>
    </row>
    <row r="32" spans="2:11" x14ac:dyDescent="0.25">
      <c r="B32" s="78">
        <v>12</v>
      </c>
      <c r="C32" s="76">
        <v>17</v>
      </c>
      <c r="D32" s="77">
        <v>9</v>
      </c>
      <c r="E32" s="48">
        <f t="shared" si="0"/>
        <v>153</v>
      </c>
      <c r="F32" s="31">
        <f t="shared" si="1"/>
        <v>289</v>
      </c>
      <c r="H32" s="73" t="s">
        <v>50</v>
      </c>
      <c r="I32" s="76">
        <v>17</v>
      </c>
      <c r="J32" s="77">
        <v>9</v>
      </c>
      <c r="K32" s="50">
        <f t="shared" si="2"/>
        <v>-21.047534161787247</v>
      </c>
    </row>
    <row r="33" spans="2:15" x14ac:dyDescent="0.25">
      <c r="B33" s="78">
        <v>13</v>
      </c>
      <c r="C33" s="76">
        <v>588</v>
      </c>
      <c r="D33" s="77">
        <v>266</v>
      </c>
      <c r="E33" s="48">
        <f t="shared" si="0"/>
        <v>156408</v>
      </c>
      <c r="F33" s="31">
        <f t="shared" si="1"/>
        <v>345744</v>
      </c>
      <c r="H33" s="73" t="s">
        <v>51</v>
      </c>
      <c r="I33" s="76">
        <v>588</v>
      </c>
      <c r="J33" s="77">
        <v>266</v>
      </c>
      <c r="K33" s="50">
        <f t="shared" si="2"/>
        <v>288.84868355364307</v>
      </c>
    </row>
    <row r="34" spans="2:15" x14ac:dyDescent="0.25">
      <c r="B34" s="78">
        <v>14</v>
      </c>
      <c r="C34" s="76">
        <v>23</v>
      </c>
      <c r="D34" s="77">
        <v>12</v>
      </c>
      <c r="E34" s="48">
        <f t="shared" si="0"/>
        <v>276</v>
      </c>
      <c r="F34" s="31">
        <f t="shared" si="1"/>
        <v>529</v>
      </c>
      <c r="H34" s="73" t="s">
        <v>52</v>
      </c>
      <c r="I34" s="76">
        <v>23</v>
      </c>
      <c r="J34" s="77">
        <v>12</v>
      </c>
      <c r="K34" s="50">
        <f t="shared" si="2"/>
        <v>-17.791181611362411</v>
      </c>
    </row>
    <row r="35" spans="2:15" ht="15.75" thickBot="1" x14ac:dyDescent="0.3">
      <c r="B35" s="85">
        <v>15</v>
      </c>
      <c r="C35" s="88">
        <v>9</v>
      </c>
      <c r="D35" s="89">
        <v>14</v>
      </c>
      <c r="E35" s="90">
        <f t="shared" si="0"/>
        <v>126</v>
      </c>
      <c r="F35" s="91">
        <f t="shared" si="1"/>
        <v>81</v>
      </c>
      <c r="H35" s="73" t="s">
        <v>53</v>
      </c>
      <c r="I35" s="76">
        <v>9</v>
      </c>
      <c r="J35" s="77">
        <v>14</v>
      </c>
      <c r="K35" s="50">
        <f t="shared" si="2"/>
        <v>-25.389337562353695</v>
      </c>
    </row>
    <row r="36" spans="2:15" ht="16.5" thickTop="1" thickBot="1" x14ac:dyDescent="0.3">
      <c r="B36" s="30" t="s">
        <v>37</v>
      </c>
      <c r="C36" s="92">
        <f>SUM(C21:C35)</f>
        <v>6989</v>
      </c>
      <c r="D36" s="92">
        <f t="shared" ref="D36:F36" si="3">SUM(D21:D35)</f>
        <v>3339</v>
      </c>
      <c r="E36" s="92">
        <f t="shared" si="3"/>
        <v>2797245</v>
      </c>
      <c r="F36" s="92">
        <f t="shared" si="3"/>
        <v>5543925</v>
      </c>
    </row>
    <row r="37" spans="2:15" ht="15.75" thickBot="1" x14ac:dyDescent="0.3">
      <c r="B37" s="30" t="s">
        <v>38</v>
      </c>
      <c r="C37" s="93">
        <f>AVERAGE(C21:C35)</f>
        <v>465.93333333333334</v>
      </c>
      <c r="D37" s="93">
        <f t="shared" ref="D37:F37" si="4">AVERAGE(D21:D35)</f>
        <v>222.6</v>
      </c>
      <c r="E37" s="93">
        <f t="shared" si="4"/>
        <v>186483</v>
      </c>
      <c r="F37" s="93">
        <f t="shared" si="4"/>
        <v>369595</v>
      </c>
    </row>
    <row r="38" spans="2:15" x14ac:dyDescent="0.25">
      <c r="B38" s="61" t="s">
        <v>34</v>
      </c>
      <c r="C38" s="64">
        <f>COUNT(B21:B35)</f>
        <v>15</v>
      </c>
    </row>
    <row r="39" spans="2:15" x14ac:dyDescent="0.25">
      <c r="B39" s="59" t="s">
        <v>62</v>
      </c>
      <c r="C39" s="65">
        <f>(E36-((C36*D36)/C38))/(F36-((C36^2)/C38))</f>
        <v>0.54272542507080612</v>
      </c>
    </row>
    <row r="40" spans="2:15" ht="15.75" thickBot="1" x14ac:dyDescent="0.3">
      <c r="B40" s="60" t="s">
        <v>63</v>
      </c>
      <c r="C40" s="66">
        <f>D37-C39*C37</f>
        <v>-30.27386638799095</v>
      </c>
    </row>
    <row r="42" spans="2:15" ht="15.75" thickBot="1" x14ac:dyDescent="0.3"/>
    <row r="43" spans="2:15" ht="50.25" customHeight="1" thickBot="1" x14ac:dyDescent="0.3">
      <c r="B43" s="29" t="s">
        <v>56</v>
      </c>
      <c r="C43" s="84" t="s">
        <v>59</v>
      </c>
      <c r="D43" s="29" t="s">
        <v>60</v>
      </c>
      <c r="E43" s="53" t="s">
        <v>65</v>
      </c>
      <c r="F43" s="52" t="s">
        <v>68</v>
      </c>
      <c r="G43" s="52" t="s">
        <v>66</v>
      </c>
      <c r="J43" s="29" t="s">
        <v>56</v>
      </c>
      <c r="K43" s="84" t="s">
        <v>59</v>
      </c>
      <c r="L43" s="29" t="s">
        <v>81</v>
      </c>
      <c r="M43" s="53" t="s">
        <v>57</v>
      </c>
      <c r="N43" s="53" t="s">
        <v>58</v>
      </c>
      <c r="O43" s="53" t="s">
        <v>64</v>
      </c>
    </row>
    <row r="44" spans="2:15" x14ac:dyDescent="0.25">
      <c r="B44" s="83">
        <v>1</v>
      </c>
      <c r="C44" s="81">
        <v>567</v>
      </c>
      <c r="D44" s="82">
        <v>226</v>
      </c>
      <c r="E44" s="50">
        <f>$C$40+$C$39*C44</f>
        <v>277.45144962715614</v>
      </c>
      <c r="F44" s="87">
        <f>(D44-E44)^2</f>
        <v>2647.2516687357852</v>
      </c>
      <c r="G44" s="95">
        <f>(D44-$D$59)^2</f>
        <v>11.560000000000038</v>
      </c>
      <c r="J44" s="83">
        <v>1</v>
      </c>
      <c r="K44" s="81">
        <v>567</v>
      </c>
      <c r="L44" s="82">
        <v>226</v>
      </c>
      <c r="M44" s="50">
        <f>K44*L44</f>
        <v>128142</v>
      </c>
      <c r="N44" s="87">
        <f>K44^2</f>
        <v>321489</v>
      </c>
      <c r="O44" s="50">
        <v>277.45144962715614</v>
      </c>
    </row>
    <row r="45" spans="2:15" x14ac:dyDescent="0.25">
      <c r="B45" s="78">
        <v>2</v>
      </c>
      <c r="C45" s="76">
        <v>136</v>
      </c>
      <c r="D45" s="77">
        <v>50</v>
      </c>
      <c r="E45" s="50">
        <f t="shared" ref="E45:E58" si="5">$C$40+$C$39*C45</f>
        <v>43.536791421638682</v>
      </c>
      <c r="F45" s="87">
        <f t="shared" ref="F45:F58" si="6">(D45-E45)^2</f>
        <v>41.773065127403328</v>
      </c>
      <c r="G45" s="95">
        <f t="shared" ref="G45:G58" si="7">(D45-$D$59)^2</f>
        <v>29790.76</v>
      </c>
      <c r="J45" s="78">
        <v>2</v>
      </c>
      <c r="K45" s="76">
        <v>136</v>
      </c>
      <c r="L45" s="77">
        <v>50</v>
      </c>
      <c r="M45" s="48">
        <f t="shared" ref="M45:M58" si="8">K45*L45</f>
        <v>6800</v>
      </c>
      <c r="N45" s="31">
        <f t="shared" ref="N45:N58" si="9">K45^2</f>
        <v>18496</v>
      </c>
      <c r="O45" s="50">
        <v>43.536791421638682</v>
      </c>
    </row>
    <row r="46" spans="2:15" x14ac:dyDescent="0.25">
      <c r="B46" s="78">
        <v>3</v>
      </c>
      <c r="C46" s="76">
        <v>209</v>
      </c>
      <c r="D46" s="77">
        <v>83</v>
      </c>
      <c r="E46" s="50">
        <f t="shared" si="5"/>
        <v>83.155747451807528</v>
      </c>
      <c r="F46" s="87">
        <f t="shared" si="6"/>
        <v>2.4257268744538301E-2</v>
      </c>
      <c r="G46" s="95">
        <f t="shared" si="7"/>
        <v>19488.16</v>
      </c>
      <c r="J46" s="78">
        <v>3</v>
      </c>
      <c r="K46" s="76">
        <v>209</v>
      </c>
      <c r="L46" s="77">
        <v>83</v>
      </c>
      <c r="M46" s="48">
        <f t="shared" si="8"/>
        <v>17347</v>
      </c>
      <c r="N46" s="31">
        <f t="shared" si="9"/>
        <v>43681</v>
      </c>
      <c r="O46" s="50">
        <v>83.155747451807528</v>
      </c>
    </row>
    <row r="47" spans="2:15" x14ac:dyDescent="0.25">
      <c r="B47" s="78">
        <v>4</v>
      </c>
      <c r="C47" s="76">
        <v>602</v>
      </c>
      <c r="D47" s="77">
        <v>194</v>
      </c>
      <c r="E47" s="50">
        <f t="shared" si="5"/>
        <v>296.44683950463434</v>
      </c>
      <c r="F47" s="87">
        <f t="shared" si="6"/>
        <v>10495.354924488307</v>
      </c>
      <c r="G47" s="95">
        <f t="shared" si="7"/>
        <v>817.9599999999997</v>
      </c>
      <c r="J47" s="78">
        <v>4</v>
      </c>
      <c r="K47" s="76">
        <v>602</v>
      </c>
      <c r="L47" s="77">
        <v>194</v>
      </c>
      <c r="M47" s="48">
        <f t="shared" si="8"/>
        <v>116788</v>
      </c>
      <c r="N47" s="31">
        <f t="shared" si="9"/>
        <v>362404</v>
      </c>
      <c r="O47" s="50">
        <v>296.44683950463434</v>
      </c>
    </row>
    <row r="48" spans="2:15" x14ac:dyDescent="0.25">
      <c r="B48" s="78">
        <v>5</v>
      </c>
      <c r="C48" s="76">
        <v>479</v>
      </c>
      <c r="D48" s="77">
        <v>235</v>
      </c>
      <c r="E48" s="50">
        <f t="shared" si="5"/>
        <v>229.69161222092521</v>
      </c>
      <c r="F48" s="87">
        <f t="shared" si="6"/>
        <v>28.178980813030602</v>
      </c>
      <c r="G48" s="95">
        <f t="shared" si="7"/>
        <v>153.76000000000013</v>
      </c>
      <c r="J48" s="78">
        <v>5</v>
      </c>
      <c r="K48" s="76">
        <v>479</v>
      </c>
      <c r="L48" s="77">
        <v>235</v>
      </c>
      <c r="M48" s="48">
        <f t="shared" si="8"/>
        <v>112565</v>
      </c>
      <c r="N48" s="31">
        <f t="shared" si="9"/>
        <v>229441</v>
      </c>
      <c r="O48" s="50">
        <v>229.69161222092521</v>
      </c>
    </row>
    <row r="49" spans="2:15" x14ac:dyDescent="0.25">
      <c r="B49" s="78">
        <v>6</v>
      </c>
      <c r="C49" s="76">
        <v>712</v>
      </c>
      <c r="D49" s="77">
        <v>355</v>
      </c>
      <c r="E49" s="50">
        <f t="shared" si="5"/>
        <v>356.14663626242299</v>
      </c>
      <c r="F49" s="87">
        <f t="shared" si="6"/>
        <v>1.3147747183033578</v>
      </c>
      <c r="G49" s="95">
        <f t="shared" si="7"/>
        <v>17529.760000000002</v>
      </c>
      <c r="J49" s="78">
        <v>6</v>
      </c>
      <c r="K49" s="76">
        <v>712</v>
      </c>
      <c r="L49" s="77">
        <v>355</v>
      </c>
      <c r="M49" s="48">
        <f t="shared" si="8"/>
        <v>252760</v>
      </c>
      <c r="N49" s="31">
        <f t="shared" si="9"/>
        <v>506944</v>
      </c>
      <c r="O49" s="50">
        <v>356.14663626242299</v>
      </c>
    </row>
    <row r="50" spans="2:15" x14ac:dyDescent="0.25">
      <c r="B50" s="78">
        <v>7</v>
      </c>
      <c r="C50" s="76">
        <v>1277</v>
      </c>
      <c r="D50" s="77">
        <v>840</v>
      </c>
      <c r="E50" s="50">
        <f t="shared" si="5"/>
        <v>662.78650142742845</v>
      </c>
      <c r="F50" s="87">
        <f t="shared" si="6"/>
        <v>31404.62407633082</v>
      </c>
      <c r="G50" s="95">
        <f t="shared" si="7"/>
        <v>381182.75999999995</v>
      </c>
      <c r="J50" s="78">
        <v>7</v>
      </c>
      <c r="K50" s="76">
        <v>1277</v>
      </c>
      <c r="L50" s="77">
        <v>840</v>
      </c>
      <c r="M50" s="48">
        <f t="shared" si="8"/>
        <v>1072680</v>
      </c>
      <c r="N50" s="31">
        <f t="shared" si="9"/>
        <v>1630729</v>
      </c>
      <c r="O50" s="50">
        <v>662.78650142742845</v>
      </c>
    </row>
    <row r="51" spans="2:15" x14ac:dyDescent="0.25">
      <c r="B51" s="78">
        <v>8</v>
      </c>
      <c r="C51" s="76">
        <v>398</v>
      </c>
      <c r="D51" s="77">
        <v>153</v>
      </c>
      <c r="E51" s="50">
        <f t="shared" si="5"/>
        <v>185.73085279018989</v>
      </c>
      <c r="F51" s="87">
        <f t="shared" si="6"/>
        <v>1071.3087243730811</v>
      </c>
      <c r="G51" s="95">
        <f t="shared" si="7"/>
        <v>4844.1599999999989</v>
      </c>
      <c r="J51" s="78">
        <v>8</v>
      </c>
      <c r="K51" s="76">
        <v>398</v>
      </c>
      <c r="L51" s="77">
        <v>153</v>
      </c>
      <c r="M51" s="48">
        <f t="shared" si="8"/>
        <v>60894</v>
      </c>
      <c r="N51" s="31">
        <f t="shared" si="9"/>
        <v>158404</v>
      </c>
      <c r="O51" s="50">
        <v>185.73085279018989</v>
      </c>
    </row>
    <row r="52" spans="2:15" x14ac:dyDescent="0.25">
      <c r="B52" s="78">
        <v>9</v>
      </c>
      <c r="C52" s="76">
        <v>943</v>
      </c>
      <c r="D52" s="77">
        <v>411</v>
      </c>
      <c r="E52" s="50">
        <f t="shared" si="5"/>
        <v>481.5162094537792</v>
      </c>
      <c r="F52" s="87">
        <f t="shared" si="6"/>
        <v>4972.535795729259</v>
      </c>
      <c r="G52" s="95">
        <f t="shared" si="7"/>
        <v>35494.560000000005</v>
      </c>
      <c r="J52" s="78">
        <v>9</v>
      </c>
      <c r="K52" s="76">
        <v>943</v>
      </c>
      <c r="L52" s="77">
        <v>411</v>
      </c>
      <c r="M52" s="48">
        <f t="shared" si="8"/>
        <v>387573</v>
      </c>
      <c r="N52" s="31">
        <f t="shared" si="9"/>
        <v>889249</v>
      </c>
      <c r="O52" s="50">
        <v>481.5162094537792</v>
      </c>
    </row>
    <row r="53" spans="2:15" x14ac:dyDescent="0.25">
      <c r="B53" s="78">
        <v>10</v>
      </c>
      <c r="C53" s="76">
        <v>1018</v>
      </c>
      <c r="D53" s="77">
        <v>476</v>
      </c>
      <c r="E53" s="50">
        <f t="shared" si="5"/>
        <v>522.22061633408975</v>
      </c>
      <c r="F53" s="87">
        <f t="shared" si="6"/>
        <v>2136.3453743031246</v>
      </c>
      <c r="G53" s="95">
        <f t="shared" si="7"/>
        <v>64211.560000000005</v>
      </c>
      <c r="J53" s="78">
        <v>10</v>
      </c>
      <c r="K53" s="76">
        <v>1018</v>
      </c>
      <c r="L53" s="77">
        <v>476</v>
      </c>
      <c r="M53" s="48">
        <f t="shared" si="8"/>
        <v>484568</v>
      </c>
      <c r="N53" s="31">
        <f t="shared" si="9"/>
        <v>1036324</v>
      </c>
      <c r="O53" s="50">
        <v>522.22061633408975</v>
      </c>
    </row>
    <row r="54" spans="2:15" x14ac:dyDescent="0.25">
      <c r="B54" s="78">
        <v>11</v>
      </c>
      <c r="C54" s="76">
        <v>11</v>
      </c>
      <c r="D54" s="77">
        <v>15</v>
      </c>
      <c r="E54" s="50">
        <f t="shared" si="5"/>
        <v>-24.303886712212083</v>
      </c>
      <c r="F54" s="87">
        <f t="shared" si="6"/>
        <v>1544.7955106864015</v>
      </c>
      <c r="G54" s="95">
        <f t="shared" si="7"/>
        <v>43097.759999999995</v>
      </c>
      <c r="J54" s="78">
        <v>11</v>
      </c>
      <c r="K54" s="76">
        <v>11</v>
      </c>
      <c r="L54" s="77">
        <v>15</v>
      </c>
      <c r="M54" s="48">
        <f t="shared" si="8"/>
        <v>165</v>
      </c>
      <c r="N54" s="31">
        <f t="shared" si="9"/>
        <v>121</v>
      </c>
      <c r="O54" s="50">
        <v>-24.303886712212083</v>
      </c>
    </row>
    <row r="55" spans="2:15" x14ac:dyDescent="0.25">
      <c r="B55" s="78">
        <v>12</v>
      </c>
      <c r="C55" s="76">
        <v>17</v>
      </c>
      <c r="D55" s="77">
        <v>9</v>
      </c>
      <c r="E55" s="50">
        <f t="shared" si="5"/>
        <v>-21.047534161787247</v>
      </c>
      <c r="F55" s="87">
        <f t="shared" si="6"/>
        <v>902.85430920377166</v>
      </c>
      <c r="G55" s="95">
        <f t="shared" si="7"/>
        <v>45624.959999999999</v>
      </c>
      <c r="J55" s="78">
        <v>12</v>
      </c>
      <c r="K55" s="76">
        <v>17</v>
      </c>
      <c r="L55" s="77">
        <v>9</v>
      </c>
      <c r="M55" s="48">
        <f t="shared" si="8"/>
        <v>153</v>
      </c>
      <c r="N55" s="31">
        <f t="shared" si="9"/>
        <v>289</v>
      </c>
      <c r="O55" s="50">
        <v>-21.047534161787247</v>
      </c>
    </row>
    <row r="56" spans="2:15" x14ac:dyDescent="0.25">
      <c r="B56" s="78">
        <v>13</v>
      </c>
      <c r="C56" s="76">
        <v>588</v>
      </c>
      <c r="D56" s="77">
        <v>266</v>
      </c>
      <c r="E56" s="48">
        <f t="shared" si="5"/>
        <v>288.84868355364307</v>
      </c>
      <c r="F56" s="87">
        <f t="shared" si="6"/>
        <v>522.06234013451933</v>
      </c>
      <c r="G56" s="95">
        <f t="shared" si="7"/>
        <v>1883.5600000000004</v>
      </c>
      <c r="J56" s="78">
        <v>13</v>
      </c>
      <c r="K56" s="76">
        <v>588</v>
      </c>
      <c r="L56" s="77">
        <v>266</v>
      </c>
      <c r="M56" s="48">
        <f t="shared" si="8"/>
        <v>156408</v>
      </c>
      <c r="N56" s="31">
        <f t="shared" si="9"/>
        <v>345744</v>
      </c>
      <c r="O56" s="50">
        <v>288.84868355364307</v>
      </c>
    </row>
    <row r="57" spans="2:15" x14ac:dyDescent="0.25">
      <c r="B57" s="78">
        <v>14</v>
      </c>
      <c r="C57" s="76">
        <v>23</v>
      </c>
      <c r="D57" s="77">
        <v>12</v>
      </c>
      <c r="E57" s="48">
        <f t="shared" si="5"/>
        <v>-17.791181611362411</v>
      </c>
      <c r="F57" s="87">
        <f t="shared" si="6"/>
        <v>887.51450180117786</v>
      </c>
      <c r="G57" s="95">
        <f t="shared" si="7"/>
        <v>44352.36</v>
      </c>
      <c r="J57" s="78">
        <v>14</v>
      </c>
      <c r="K57" s="76">
        <v>23</v>
      </c>
      <c r="L57" s="77">
        <v>12</v>
      </c>
      <c r="M57" s="48">
        <f t="shared" si="8"/>
        <v>276</v>
      </c>
      <c r="N57" s="31">
        <f t="shared" si="9"/>
        <v>529</v>
      </c>
      <c r="O57" s="50">
        <v>-17.791181611362411</v>
      </c>
    </row>
    <row r="58" spans="2:15" ht="15.75" thickBot="1" x14ac:dyDescent="0.3">
      <c r="B58" s="78">
        <v>15</v>
      </c>
      <c r="C58" s="86">
        <v>9</v>
      </c>
      <c r="D58" s="77">
        <v>14</v>
      </c>
      <c r="E58" s="94">
        <f t="shared" si="5"/>
        <v>-25.389337562353695</v>
      </c>
      <c r="F58" s="87">
        <f t="shared" si="6"/>
        <v>1551.5199136010478</v>
      </c>
      <c r="G58" s="95">
        <f t="shared" si="7"/>
        <v>43513.96</v>
      </c>
      <c r="J58" s="85">
        <v>15</v>
      </c>
      <c r="K58" s="88">
        <v>9</v>
      </c>
      <c r="L58" s="89">
        <v>14</v>
      </c>
      <c r="M58" s="90">
        <f t="shared" si="8"/>
        <v>126</v>
      </c>
      <c r="N58" s="91">
        <f t="shared" si="9"/>
        <v>81</v>
      </c>
      <c r="O58" s="50">
        <v>-25.389337562353695</v>
      </c>
    </row>
    <row r="59" spans="2:15" ht="16.5" thickTop="1" thickBot="1" x14ac:dyDescent="0.3">
      <c r="C59" s="30" t="s">
        <v>67</v>
      </c>
      <c r="D59" s="96">
        <f>AVERAGE(D44:D58)</f>
        <v>222.6</v>
      </c>
      <c r="E59" s="30" t="s">
        <v>37</v>
      </c>
      <c r="F59" s="97">
        <f>SUM(F44:F58)</f>
        <v>58207.458217314786</v>
      </c>
      <c r="G59" s="98">
        <f>SUM(G44:G58)</f>
        <v>731997.6</v>
      </c>
      <c r="J59" s="30" t="s">
        <v>37</v>
      </c>
      <c r="K59" s="92">
        <f>SUM(K44:K58)</f>
        <v>6989</v>
      </c>
      <c r="L59" s="92">
        <f t="shared" ref="L59:N59" si="10">SUM(L44:L58)</f>
        <v>3339</v>
      </c>
      <c r="M59" s="92">
        <f t="shared" si="10"/>
        <v>2797245</v>
      </c>
      <c r="N59" s="92">
        <f t="shared" si="10"/>
        <v>5543925</v>
      </c>
    </row>
    <row r="60" spans="2:15" ht="15.75" thickBot="1" x14ac:dyDescent="0.3">
      <c r="J60" s="119" t="s">
        <v>38</v>
      </c>
      <c r="K60" s="120">
        <f>AVERAGE(K44:K58)</f>
        <v>465.93333333333334</v>
      </c>
      <c r="L60" s="120">
        <f t="shared" ref="L60:N60" si="11">AVERAGE(L44:L58)</f>
        <v>222.6</v>
      </c>
      <c r="M60" s="120">
        <f t="shared" si="11"/>
        <v>186483</v>
      </c>
      <c r="N60" s="120">
        <f t="shared" si="11"/>
        <v>369595</v>
      </c>
    </row>
    <row r="61" spans="2:15" ht="18" thickBot="1" x14ac:dyDescent="0.3">
      <c r="B61" s="115" t="s">
        <v>70</v>
      </c>
      <c r="C61" s="116"/>
      <c r="D61" s="117"/>
      <c r="E61" s="100">
        <f>1-(F59/G59)</f>
        <v>0.92048135374034723</v>
      </c>
      <c r="F61" s="99" t="s">
        <v>69</v>
      </c>
      <c r="J61" s="52" t="s">
        <v>34</v>
      </c>
      <c r="K61" s="121">
        <f>COUNT(J44:J58)</f>
        <v>15</v>
      </c>
      <c r="L61" s="52" t="s">
        <v>62</v>
      </c>
      <c r="M61" s="123">
        <f>(M59-((K59*L59)/K61))/(N59-((K59^2)/K61))</f>
        <v>0.54272542507080612</v>
      </c>
      <c r="N61" s="52" t="s">
        <v>63</v>
      </c>
      <c r="O61" s="122">
        <f>L60-M61*K60</f>
        <v>-30.27386638799095</v>
      </c>
    </row>
    <row r="62" spans="2:15" x14ac:dyDescent="0.25">
      <c r="L62" s="1"/>
      <c r="M62" s="1"/>
      <c r="N62" s="1"/>
    </row>
    <row r="63" spans="2:15" x14ac:dyDescent="0.25">
      <c r="L63" s="1"/>
      <c r="M63" s="1"/>
      <c r="N63" s="1"/>
    </row>
  </sheetData>
  <mergeCells count="1">
    <mergeCell ref="B61:D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1 - Graph Data</vt:lpstr>
      <vt:lpstr>Task 2 - IC Forecast</vt:lpstr>
      <vt:lpstr>Task 3 - More Methods</vt:lpstr>
      <vt:lpstr>Task 3 - Holt's Method</vt:lpstr>
      <vt:lpstr>Task 4 - Least Squares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Wasowski</dc:creator>
  <cp:lastModifiedBy>Tomasz Wasowski</cp:lastModifiedBy>
  <dcterms:created xsi:type="dcterms:W3CDTF">2015-06-05T18:17:20Z</dcterms:created>
  <dcterms:modified xsi:type="dcterms:W3CDTF">2021-03-03T15:47:09Z</dcterms:modified>
</cp:coreProperties>
</file>