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ropbox (IDF LFAC)\Share Gabriel LFAC\"/>
    </mc:Choice>
  </mc:AlternateContent>
  <xr:revisionPtr revIDLastSave="0" documentId="13_ncr:1_{389A39EF-C19E-4E10-A8BF-5567E87CDB09}" xr6:coauthVersionLast="47" xr6:coauthVersionMax="47" xr10:uidLastSave="{00000000-0000-0000-0000-000000000000}"/>
  <bookViews>
    <workbookView xWindow="750" yWindow="1170" windowWidth="28050" windowHeight="14670" xr2:uid="{FE5564C7-D723-994A-B65E-68B1F81E5E18}"/>
  </bookViews>
  <sheets>
    <sheet name="Sheet1" sheetId="1" r:id="rId1"/>
  </sheets>
  <definedNames>
    <definedName name="_xlnm.Print_Area" localSheetId="0">Sheet1!$A$1:$O$35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O16" i="1" l="1"/>
  <c r="R16" i="1"/>
  <c r="H9" i="1"/>
  <c r="G9" i="1"/>
  <c r="F9" i="1"/>
  <c r="E13" i="1"/>
  <c r="L13" i="1" s="1"/>
  <c r="E15" i="1"/>
  <c r="L15" i="1" s="1"/>
  <c r="H11" i="1"/>
  <c r="G11" i="1"/>
  <c r="F11" i="1"/>
  <c r="E11" i="1" l="1"/>
  <c r="L11" i="1" s="1"/>
  <c r="E9" i="1"/>
  <c r="L9" i="1" s="1"/>
  <c r="E35" i="1"/>
  <c r="L35" i="1" s="1"/>
  <c r="N34" i="1" s="1"/>
  <c r="F28" i="1"/>
  <c r="G28" i="1"/>
  <c r="H28" i="1"/>
  <c r="I28" i="1"/>
  <c r="J28" i="1"/>
  <c r="E31" i="1"/>
  <c r="L31" i="1" s="1"/>
  <c r="F21" i="1"/>
  <c r="G21" i="1"/>
  <c r="H21" i="1"/>
  <c r="I21" i="1"/>
  <c r="J21" i="1"/>
  <c r="F23" i="1"/>
  <c r="G23" i="1"/>
  <c r="H23" i="1"/>
  <c r="O24" i="1"/>
  <c r="O32" i="1"/>
  <c r="E4" i="1"/>
  <c r="L4" i="1" s="1"/>
  <c r="N3" i="1" s="1"/>
  <c r="B31" i="1"/>
  <c r="B23" i="1"/>
  <c r="E28" i="1" l="1"/>
  <c r="L28" i="1" s="1"/>
  <c r="E23" i="1"/>
  <c r="L23" i="1" s="1"/>
  <c r="E21" i="1"/>
  <c r="L21" i="1" s="1"/>
  <c r="N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Graham</author>
  </authors>
  <commentList>
    <comment ref="M23" authorId="0" shapeId="0" xr:uid="{B0C2580F-2538-4358-B98D-8DD6D33BEC9B}">
      <text>
        <r>
          <rPr>
            <b/>
            <sz val="9"/>
            <color indexed="81"/>
            <rFont val="Tahoma"/>
            <family val="2"/>
          </rPr>
          <t>Graham:</t>
        </r>
        <r>
          <rPr>
            <sz val="9"/>
            <color indexed="81"/>
            <rFont val="Tahoma"/>
            <family val="2"/>
          </rPr>
          <t xml:space="preserve">
see note cell M2 other India studied
</t>
        </r>
      </text>
    </comment>
    <comment ref="D31" authorId="0" shapeId="0" xr:uid="{E33A798E-2E5D-4913-864D-D717F3CB7665}">
      <text>
        <r>
          <rPr>
            <b/>
            <sz val="9"/>
            <color indexed="81"/>
            <rFont val="Tahoma"/>
            <family val="2"/>
          </rPr>
          <t>Graham:</t>
        </r>
        <r>
          <rPr>
            <sz val="9"/>
            <color indexed="81"/>
            <rFont val="Tahoma"/>
            <family val="2"/>
          </rPr>
          <t xml:space="preserve">
edited 14/8/21 after recheck</t>
        </r>
      </text>
    </comment>
    <comment ref="M31" authorId="0" shapeId="0" xr:uid="{EEAD4EA3-6029-439C-93FA-E4F3D881C336}">
      <text>
        <r>
          <rPr>
            <b/>
            <sz val="9"/>
            <color indexed="81"/>
            <rFont val="Tahoma"/>
            <family val="2"/>
          </rPr>
          <t>Graham:</t>
        </r>
        <r>
          <rPr>
            <sz val="9"/>
            <color indexed="81"/>
            <rFont val="Tahoma"/>
            <family val="2"/>
          </rPr>
          <t xml:space="preserve">
was reversed with Cell M23 (other India study), corrected 14/8/21</t>
        </r>
      </text>
    </comment>
  </commentList>
</comments>
</file>

<file path=xl/sharedStrings.xml><?xml version="1.0" encoding="utf-8"?>
<sst xmlns="http://schemas.openxmlformats.org/spreadsheetml/2006/main" count="70" uniqueCount="41">
  <si>
    <t xml:space="preserve">Country </t>
  </si>
  <si>
    <t>Year requested</t>
  </si>
  <si>
    <t>Year available</t>
  </si>
  <si>
    <t xml:space="preserve">Background Mortality </t>
  </si>
  <si>
    <t>5-9</t>
  </si>
  <si>
    <t>10-14</t>
  </si>
  <si>
    <t>15-19</t>
  </si>
  <si>
    <t>20-24</t>
  </si>
  <si>
    <t>1-4</t>
  </si>
  <si>
    <t>Weighted Background Mortality</t>
  </si>
  <si>
    <t>SMR to use</t>
  </si>
  <si>
    <t>LIC minimal care</t>
  </si>
  <si>
    <t>LMIC minimal-intermediate care</t>
  </si>
  <si>
    <t>LMIC intermediate care</t>
  </si>
  <si>
    <t>Weighted figure</t>
  </si>
  <si>
    <t>Patient years</t>
  </si>
  <si>
    <t>not relevant</t>
  </si>
  <si>
    <t>(LMIC minimal care)</t>
  </si>
  <si>
    <t>Higher than LICs (maybe as less/nil lost to follow-up)</t>
  </si>
  <si>
    <t>Known mortality 0.0426, could be as high as 0.1153</t>
  </si>
  <si>
    <t>full ascertainment</t>
  </si>
  <si>
    <t>essentially full ascertainment</t>
  </si>
  <si>
    <t>25% lost to follow-up</t>
  </si>
  <si>
    <t>LIC minimal-intermediate care NEW</t>
  </si>
  <si>
    <t>Known mortality 0.0139, could be as high as 0.042. Note study 2009-2012 so straddles mortality figures</t>
  </si>
  <si>
    <t>Mali (Sandy)</t>
  </si>
  <si>
    <t>2007-2016</t>
  </si>
  <si>
    <t>LIC and LMIC minimal-intermediate and intermediate care</t>
  </si>
  <si>
    <t>Mortality per 1,000 patient years</t>
  </si>
  <si>
    <t>Deaths per 1000 years</t>
  </si>
  <si>
    <t>Rwanda (Marshall)</t>
  </si>
  <si>
    <t>Ethiopia (Alemu)</t>
  </si>
  <si>
    <t>Sudan (Elamin)</t>
  </si>
  <si>
    <t>Mali (Sidibe)</t>
  </si>
  <si>
    <t>Ghana (Ameyaw)</t>
  </si>
  <si>
    <t>India (Gupta)</t>
  </si>
  <si>
    <t>Bolivia (Gomez-Duarte)</t>
  </si>
  <si>
    <t>India (Bhatia)</t>
  </si>
  <si>
    <t>ascertainment of 108/160 patients.</t>
  </si>
  <si>
    <t>DRC (Muyer)</t>
  </si>
  <si>
    <t>Uzbekistan (Rakhimova)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</si>
</sst>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rgb="FFAEAFAE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center" wrapText="1"/>
    </xf>
    <xf numFmtId="9" fontId="4" fillId="0" borderId="0" xfId="1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6" fontId="4" fillId="0" borderId="1" xfId="0" applyNumberFormat="1" applyFont="1" applyBorder="1" applyAlignment="1">
      <alignment vertical="top"/>
    </xf>
    <xf numFmtId="165" fontId="4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top"/>
    </xf>
    <xf numFmtId="167" fontId="6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/>
    </xf>
    <xf numFmtId="49" fontId="6" fillId="3" borderId="1" xfId="0" applyNumberFormat="1" applyFont="1" applyFill="1" applyBorder="1" applyAlignment="1">
      <alignment horizontal="center" vertical="top"/>
    </xf>
    <xf numFmtId="165" fontId="4" fillId="3" borderId="1" xfId="0" applyNumberFormat="1" applyFont="1" applyFill="1" applyBorder="1" applyAlignment="1">
      <alignment vertical="top"/>
    </xf>
    <xf numFmtId="165" fontId="12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166" fontId="4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/>
    </xf>
    <xf numFmtId="1" fontId="4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" fontId="4" fillId="3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top"/>
    </xf>
    <xf numFmtId="49" fontId="7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164" fontId="6" fillId="3" borderId="1" xfId="0" applyNumberFormat="1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165" fontId="1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5" fontId="4" fillId="4" borderId="1" xfId="0" applyNumberFormat="1" applyFont="1" applyFill="1" applyBorder="1" applyAlignment="1">
      <alignment vertical="top"/>
    </xf>
    <xf numFmtId="166" fontId="4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49" fontId="6" fillId="4" borderId="1" xfId="0" applyNumberFormat="1" applyFont="1" applyFill="1" applyBorder="1" applyAlignment="1">
      <alignment horizontal="center" vertical="top"/>
    </xf>
    <xf numFmtId="1" fontId="4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165" fontId="12" fillId="5" borderId="1" xfId="0" applyNumberFormat="1" applyFont="1" applyFill="1" applyBorder="1" applyAlignment="1">
      <alignment vertical="top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66" fontId="4" fillId="5" borderId="1" xfId="0" applyNumberFormat="1" applyFont="1" applyFill="1" applyBorder="1" applyAlignment="1">
      <alignment vertical="top"/>
    </xf>
    <xf numFmtId="166" fontId="6" fillId="5" borderId="1" xfId="0" applyNumberFormat="1" applyFont="1" applyFill="1" applyBorder="1" applyAlignment="1">
      <alignment horizontal="center" vertical="top"/>
    </xf>
    <xf numFmtId="167" fontId="6" fillId="5" borderId="1" xfId="0" applyNumberFormat="1" applyFont="1" applyFill="1" applyBorder="1" applyAlignment="1">
      <alignment horizontal="center" vertical="top"/>
    </xf>
    <xf numFmtId="49" fontId="6" fillId="5" borderId="1" xfId="0" applyNumberFormat="1" applyFont="1" applyFill="1" applyBorder="1" applyAlignment="1">
      <alignment horizontal="center" vertical="top"/>
    </xf>
    <xf numFmtId="165" fontId="4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168" fontId="5" fillId="5" borderId="1" xfId="0" applyNumberFormat="1" applyFont="1" applyFill="1" applyBorder="1" applyAlignment="1">
      <alignment vertical="top" wrapText="1"/>
    </xf>
    <xf numFmtId="1" fontId="5" fillId="3" borderId="1" xfId="0" applyNumberFormat="1" applyFont="1" applyFill="1" applyBorder="1" applyAlignment="1">
      <alignment vertical="top"/>
    </xf>
    <xf numFmtId="166" fontId="5" fillId="3" borderId="1" xfId="0" applyNumberFormat="1" applyFont="1" applyFill="1" applyBorder="1" applyAlignment="1">
      <alignment vertical="top"/>
    </xf>
    <xf numFmtId="49" fontId="15" fillId="3" borderId="1" xfId="0" applyNumberFormat="1" applyFont="1" applyFill="1" applyBorder="1" applyAlignment="1">
      <alignment horizontal="center" vertical="top"/>
    </xf>
    <xf numFmtId="2" fontId="5" fillId="3" borderId="1" xfId="0" applyNumberFormat="1" applyFon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EAF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55BE-D779-AE4F-A6A3-F078FE752471}">
  <sheetPr>
    <pageSetUpPr fitToPage="1"/>
  </sheetPr>
  <dimension ref="A1:R48"/>
  <sheetViews>
    <sheetView tabSelected="1" zoomScale="92" zoomScaleNormal="143" workbookViewId="0">
      <pane xSplit="1" topLeftCell="B1" activePane="topRight" state="frozen"/>
      <selection pane="topRight" activeCell="R7" sqref="R7"/>
    </sheetView>
  </sheetViews>
  <sheetFormatPr defaultColWidth="10.875" defaultRowHeight="12.75" x14ac:dyDescent="0.25"/>
  <cols>
    <col min="1" max="1" width="20.625" style="1" customWidth="1"/>
    <col min="2" max="2" width="10" style="1" bestFit="1" customWidth="1"/>
    <col min="3" max="3" width="8.375" style="1" customWidth="1"/>
    <col min="4" max="4" width="9.625" style="1" customWidth="1"/>
    <col min="5" max="5" width="11.375" style="1" customWidth="1"/>
    <col min="6" max="6" width="9.375" style="1" customWidth="1"/>
    <col min="7" max="7" width="8" style="1" customWidth="1"/>
    <col min="8" max="8" width="9.125" style="1" customWidth="1"/>
    <col min="9" max="9" width="8" style="1" customWidth="1"/>
    <col min="10" max="10" width="8.125" style="1" customWidth="1"/>
    <col min="11" max="11" width="13.875" style="1" bestFit="1" customWidth="1"/>
    <col min="12" max="13" width="10.875" style="1"/>
    <col min="14" max="14" width="10.875" style="2"/>
    <col min="15" max="15" width="27.125" style="7" customWidth="1"/>
    <col min="16" max="16" width="25.125" style="1" bestFit="1" customWidth="1"/>
    <col min="17" max="16384" width="10.875" style="1"/>
  </cols>
  <sheetData>
    <row r="1" spans="1:18" s="23" customFormat="1" ht="47.25" x14ac:dyDescent="0.25">
      <c r="A1" s="20" t="s">
        <v>0</v>
      </c>
      <c r="B1" s="20" t="s">
        <v>1</v>
      </c>
      <c r="C1" s="20" t="s">
        <v>2</v>
      </c>
      <c r="D1" s="20" t="s">
        <v>29</v>
      </c>
      <c r="E1" s="20" t="s">
        <v>9</v>
      </c>
      <c r="F1" s="26" t="s">
        <v>3</v>
      </c>
      <c r="G1" s="26"/>
      <c r="H1" s="26"/>
      <c r="I1" s="26"/>
      <c r="J1" s="26"/>
      <c r="K1" s="20" t="s">
        <v>28</v>
      </c>
      <c r="L1" s="20" t="s">
        <v>10</v>
      </c>
      <c r="M1" s="20" t="s">
        <v>15</v>
      </c>
      <c r="N1" s="21" t="s">
        <v>14</v>
      </c>
      <c r="O1" s="22"/>
    </row>
    <row r="2" spans="1:18" s="5" customFormat="1" ht="18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0"/>
      <c r="O2" s="9"/>
    </row>
    <row r="3" spans="1:18" s="5" customFormat="1" ht="18.75" x14ac:dyDescent="0.25">
      <c r="A3" s="60" t="s">
        <v>11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>
        <f>L4</f>
        <v>61.923141466689039</v>
      </c>
      <c r="O3" s="63"/>
    </row>
    <row r="4" spans="1:18" ht="18.75" x14ac:dyDescent="0.25">
      <c r="A4" s="64" t="s">
        <v>33</v>
      </c>
      <c r="B4" s="65">
        <v>1994</v>
      </c>
      <c r="C4" s="65">
        <v>1994</v>
      </c>
      <c r="D4" s="65">
        <v>369</v>
      </c>
      <c r="E4" s="66">
        <f>(F4*0.5)+(G4*0.8)+(H4*0.15)</f>
        <v>5.9589999999999999E-3</v>
      </c>
      <c r="F4" s="67">
        <v>5.4999999999999997E-3</v>
      </c>
      <c r="G4" s="68">
        <v>3.16E-3</v>
      </c>
      <c r="H4" s="68">
        <v>4.5399999999999998E-3</v>
      </c>
      <c r="I4" s="69"/>
      <c r="J4" s="69"/>
      <c r="K4" s="65">
        <v>0.36899999999999999</v>
      </c>
      <c r="L4" s="70">
        <f>K4/E4</f>
        <v>61.923141466689039</v>
      </c>
      <c r="M4" s="70" t="s">
        <v>16</v>
      </c>
      <c r="N4" s="71"/>
      <c r="O4" s="73">
        <v>0.998</v>
      </c>
    </row>
    <row r="5" spans="1:18" ht="18.75" x14ac:dyDescent="0.25">
      <c r="A5" s="64"/>
      <c r="B5" s="64"/>
      <c r="C5" s="64"/>
      <c r="D5" s="64"/>
      <c r="E5" s="64"/>
      <c r="F5" s="69" t="s">
        <v>4</v>
      </c>
      <c r="G5" s="69" t="s">
        <v>5</v>
      </c>
      <c r="H5" s="69" t="s">
        <v>6</v>
      </c>
      <c r="I5" s="69"/>
      <c r="J5" s="69"/>
      <c r="K5" s="64"/>
      <c r="L5" s="65"/>
      <c r="M5" s="65"/>
      <c r="N5" s="71"/>
      <c r="O5" s="72"/>
    </row>
    <row r="6" spans="1:18" ht="18.75" x14ac:dyDescent="0.25">
      <c r="A6" s="11"/>
      <c r="B6" s="13"/>
      <c r="C6" s="13"/>
      <c r="D6" s="13"/>
      <c r="E6" s="16"/>
      <c r="F6" s="24"/>
      <c r="G6" s="25"/>
      <c r="H6" s="25"/>
      <c r="I6" s="12"/>
      <c r="J6" s="12"/>
      <c r="K6" s="13"/>
      <c r="L6" s="17"/>
      <c r="M6" s="17"/>
      <c r="N6" s="14"/>
      <c r="O6" s="18"/>
    </row>
    <row r="7" spans="1:18" ht="18.75" x14ac:dyDescent="0.25">
      <c r="A7" s="58" t="s">
        <v>27</v>
      </c>
      <c r="B7" s="27"/>
      <c r="C7" s="27"/>
      <c r="D7" s="27"/>
      <c r="E7" s="27"/>
      <c r="F7" s="28"/>
      <c r="G7" s="28"/>
      <c r="H7" s="28"/>
      <c r="I7" s="28"/>
      <c r="J7" s="28"/>
      <c r="K7" s="27"/>
      <c r="L7" s="29"/>
      <c r="M7" s="29"/>
      <c r="N7" s="30">
        <f>((L9*M9)+(L11*M11)+(L13*M13)+(L15*M15)+(L17*M17)+(L21*M21)+(L23*M23)+(L28*M28)+(L31*M31))/(O16+O24+O32)</f>
        <v>5.9961144399825139</v>
      </c>
      <c r="O7" s="31"/>
    </row>
    <row r="8" spans="1:18" ht="18.75" x14ac:dyDescent="0.25">
      <c r="A8" s="59" t="s">
        <v>23</v>
      </c>
      <c r="B8" s="27"/>
      <c r="C8" s="27"/>
      <c r="D8" s="27"/>
      <c r="E8" s="27"/>
      <c r="F8" s="28"/>
      <c r="G8" s="28"/>
      <c r="H8" s="28"/>
      <c r="I8" s="28"/>
      <c r="J8" s="28"/>
      <c r="K8" s="27"/>
      <c r="L8" s="29"/>
      <c r="M8" s="29"/>
      <c r="N8" s="33"/>
      <c r="O8" s="34"/>
    </row>
    <row r="9" spans="1:18" ht="38.25" x14ac:dyDescent="0.25">
      <c r="A9" s="32" t="s">
        <v>30</v>
      </c>
      <c r="B9" s="27">
        <v>2010</v>
      </c>
      <c r="C9" s="27">
        <v>2010</v>
      </c>
      <c r="D9" s="27">
        <v>13.9</v>
      </c>
      <c r="E9" s="35">
        <f>(G9*0.5)+(H9*0.5)</f>
        <v>2.5374999999999998E-3</v>
      </c>
      <c r="F9" s="36">
        <f>(0.00204+3*0.00138)/4</f>
        <v>1.5449999999999999E-3</v>
      </c>
      <c r="G9" s="36">
        <f>(0.00258+3*0.00199)/4</f>
        <v>2.1374999999999996E-3</v>
      </c>
      <c r="H9" s="36">
        <f>(0.00347+3*0.00276)/4</f>
        <v>2.9375E-3</v>
      </c>
      <c r="I9" s="28"/>
      <c r="J9" s="28"/>
      <c r="K9" s="37">
        <v>1.3899999999999999E-2</v>
      </c>
      <c r="L9" s="29">
        <f t="shared" ref="L9" si="0">K9/E9</f>
        <v>5.4778325123152714</v>
      </c>
      <c r="M9" s="38">
        <v>1791</v>
      </c>
      <c r="N9" s="33"/>
      <c r="O9" s="31" t="s">
        <v>24</v>
      </c>
    </row>
    <row r="10" spans="1:18" ht="18.75" x14ac:dyDescent="0.25">
      <c r="A10" s="32"/>
      <c r="B10" s="27"/>
      <c r="C10" s="27"/>
      <c r="D10" s="27"/>
      <c r="E10" s="27"/>
      <c r="F10" s="28" t="s">
        <v>5</v>
      </c>
      <c r="G10" s="28" t="s">
        <v>6</v>
      </c>
      <c r="H10" s="28" t="s">
        <v>7</v>
      </c>
      <c r="I10" s="28"/>
      <c r="J10" s="28"/>
      <c r="K10" s="27"/>
      <c r="L10" s="29"/>
      <c r="M10" s="38"/>
      <c r="N10" s="33"/>
      <c r="O10" s="34"/>
    </row>
    <row r="11" spans="1:18" ht="18.75" x14ac:dyDescent="0.25">
      <c r="A11" s="32" t="s">
        <v>39</v>
      </c>
      <c r="B11" s="27">
        <v>2000</v>
      </c>
      <c r="C11" s="39">
        <v>2000</v>
      </c>
      <c r="D11" s="27">
        <v>36.200000000000003</v>
      </c>
      <c r="E11" s="35">
        <f>(F11*0.134)+(G11*0.263)+(H11*0.603)</f>
        <v>4.5360000000000001E-3</v>
      </c>
      <c r="F11" s="36">
        <f>AVERAGE(0.003,0.004)</f>
        <v>3.5000000000000001E-3</v>
      </c>
      <c r="G11" s="36">
        <f>AVERAGE(0.004,0.004)</f>
        <v>4.0000000000000001E-3</v>
      </c>
      <c r="H11" s="36">
        <f>AVERAGE(0.005,0.005)</f>
        <v>5.0000000000000001E-3</v>
      </c>
      <c r="I11" s="28"/>
      <c r="J11" s="28"/>
      <c r="K11" s="27">
        <v>3.6200000000000003E-2</v>
      </c>
      <c r="L11" s="29">
        <f t="shared" ref="L11" si="1">K11/E11</f>
        <v>7.9805996472663141</v>
      </c>
      <c r="M11" s="38">
        <v>4392</v>
      </c>
      <c r="N11" s="33"/>
      <c r="O11" s="31" t="s">
        <v>21</v>
      </c>
    </row>
    <row r="12" spans="1:18" ht="18.75" x14ac:dyDescent="0.25">
      <c r="A12" s="32"/>
      <c r="B12" s="27"/>
      <c r="C12" s="39"/>
      <c r="D12" s="27"/>
      <c r="E12" s="35"/>
      <c r="F12" s="28" t="s">
        <v>4</v>
      </c>
      <c r="G12" s="28" t="s">
        <v>5</v>
      </c>
      <c r="H12" s="28" t="s">
        <v>6</v>
      </c>
      <c r="I12" s="28" t="s">
        <v>7</v>
      </c>
      <c r="J12" s="28"/>
      <c r="K12" s="27"/>
      <c r="L12" s="29"/>
      <c r="M12" s="38"/>
      <c r="N12" s="33"/>
      <c r="O12" s="34"/>
    </row>
    <row r="13" spans="1:18" ht="18.75" x14ac:dyDescent="0.25">
      <c r="A13" s="32" t="s">
        <v>31</v>
      </c>
      <c r="B13" s="27">
        <v>1984</v>
      </c>
      <c r="C13" s="27">
        <v>1984</v>
      </c>
      <c r="D13" s="27">
        <v>10.3</v>
      </c>
      <c r="E13" s="35">
        <f>(F13*0.12)+(G13*0.19)+(H13*0.345)+(I13*0.345)</f>
        <v>6.6694999999999992E-3</v>
      </c>
      <c r="F13" s="36">
        <v>9.8099999999999993E-3</v>
      </c>
      <c r="G13" s="36">
        <v>5.1200000000000004E-3</v>
      </c>
      <c r="H13" s="36">
        <v>5.7200000000000003E-3</v>
      </c>
      <c r="I13" s="36">
        <v>7.3800000000000003E-3</v>
      </c>
      <c r="J13" s="28"/>
      <c r="K13" s="27">
        <v>1.55E-2</v>
      </c>
      <c r="L13" s="29">
        <f t="shared" ref="L13" si="2">K13/E13</f>
        <v>2.3240122947747208</v>
      </c>
      <c r="M13" s="38">
        <v>2774</v>
      </c>
      <c r="N13" s="33"/>
      <c r="O13" s="31" t="s">
        <v>22</v>
      </c>
    </row>
    <row r="14" spans="1:18" ht="18.75" x14ac:dyDescent="0.25">
      <c r="A14" s="32"/>
      <c r="B14" s="27"/>
      <c r="C14" s="27"/>
      <c r="D14" s="27"/>
      <c r="E14" s="35"/>
      <c r="F14" s="28" t="s">
        <v>4</v>
      </c>
      <c r="G14" s="28" t="s">
        <v>5</v>
      </c>
      <c r="H14" s="28" t="s">
        <v>6</v>
      </c>
      <c r="I14" s="28"/>
      <c r="J14" s="28"/>
      <c r="K14" s="27"/>
      <c r="L14" s="29"/>
      <c r="M14" s="38"/>
      <c r="N14" s="33"/>
      <c r="O14" s="34"/>
    </row>
    <row r="15" spans="1:18" ht="25.5" x14ac:dyDescent="0.25">
      <c r="A15" s="32" t="s">
        <v>32</v>
      </c>
      <c r="B15" s="27">
        <v>1985</v>
      </c>
      <c r="C15" s="27">
        <v>1985</v>
      </c>
      <c r="D15" s="27">
        <v>42.6</v>
      </c>
      <c r="E15" s="35">
        <f>(F15*0.15)+(G15*0.7)+(H15*0.15)</f>
        <v>6.3594999999999988E-3</v>
      </c>
      <c r="F15" s="36">
        <v>1.5789999999999998E-2</v>
      </c>
      <c r="G15" s="36">
        <v>4.96E-3</v>
      </c>
      <c r="H15" s="36">
        <v>3.46E-3</v>
      </c>
      <c r="I15" s="28"/>
      <c r="J15" s="28"/>
      <c r="K15" s="27">
        <v>4.2599999999999999E-2</v>
      </c>
      <c r="L15" s="29">
        <f t="shared" ref="L15" si="3">K15/E15</f>
        <v>6.6986398301753294</v>
      </c>
      <c r="M15" s="38">
        <v>399</v>
      </c>
      <c r="N15" s="33"/>
      <c r="O15" s="31" t="s">
        <v>19</v>
      </c>
    </row>
    <row r="16" spans="1:18" ht="18.75" x14ac:dyDescent="0.25">
      <c r="A16" s="32"/>
      <c r="B16" s="27"/>
      <c r="C16" s="27"/>
      <c r="D16" s="27"/>
      <c r="E16" s="27"/>
      <c r="F16" s="28"/>
      <c r="G16" s="28"/>
      <c r="H16" s="28"/>
      <c r="I16" s="28"/>
      <c r="J16" s="28"/>
      <c r="K16" s="27"/>
      <c r="L16" s="29"/>
      <c r="M16" s="29"/>
      <c r="N16" s="33"/>
      <c r="O16" s="40">
        <f>SUM(M9:M17)</f>
        <v>10860</v>
      </c>
      <c r="R16" s="1">
        <f>12+19+34+34</f>
        <v>99</v>
      </c>
    </row>
    <row r="17" spans="1:15" ht="18.75" x14ac:dyDescent="0.25">
      <c r="A17" s="32" t="s">
        <v>25</v>
      </c>
      <c r="B17" s="27"/>
      <c r="C17" s="27" t="s">
        <v>26</v>
      </c>
      <c r="D17" s="27"/>
      <c r="E17" s="27"/>
      <c r="F17" s="28"/>
      <c r="G17" s="28"/>
      <c r="H17" s="28"/>
      <c r="I17" s="28"/>
      <c r="J17" s="28"/>
      <c r="K17" s="27"/>
      <c r="L17" s="29">
        <v>9</v>
      </c>
      <c r="M17" s="29">
        <v>1504</v>
      </c>
      <c r="N17" s="33"/>
      <c r="O17" s="40"/>
    </row>
    <row r="18" spans="1:15" ht="18.75" x14ac:dyDescent="0.25">
      <c r="A18" s="32"/>
      <c r="B18" s="27"/>
      <c r="C18" s="27"/>
      <c r="D18" s="27"/>
      <c r="E18" s="27"/>
      <c r="F18" s="28"/>
      <c r="G18" s="28"/>
      <c r="H18" s="28"/>
      <c r="I18" s="28"/>
      <c r="J18" s="28"/>
      <c r="K18" s="27"/>
      <c r="L18" s="29"/>
      <c r="M18" s="29"/>
      <c r="N18" s="33"/>
      <c r="O18" s="40"/>
    </row>
    <row r="19" spans="1:15" ht="25.5" x14ac:dyDescent="0.25">
      <c r="A19" s="59" t="s">
        <v>12</v>
      </c>
      <c r="B19" s="27"/>
      <c r="C19" s="27"/>
      <c r="D19" s="27"/>
      <c r="E19" s="35"/>
      <c r="F19" s="28"/>
      <c r="G19" s="28"/>
      <c r="H19" s="28"/>
      <c r="I19" s="28"/>
      <c r="J19" s="28"/>
      <c r="K19" s="27"/>
      <c r="L19" s="29"/>
      <c r="M19" s="38"/>
      <c r="N19" s="30"/>
      <c r="O19" s="31" t="s">
        <v>18</v>
      </c>
    </row>
    <row r="20" spans="1:15" ht="18.75" x14ac:dyDescent="0.25">
      <c r="A20" s="41"/>
      <c r="B20" s="27"/>
      <c r="C20" s="27"/>
      <c r="D20" s="27"/>
      <c r="E20" s="35"/>
      <c r="F20" s="28"/>
      <c r="G20" s="28"/>
      <c r="H20" s="28"/>
      <c r="I20" s="28"/>
      <c r="J20" s="28"/>
      <c r="K20" s="27"/>
      <c r="L20" s="29"/>
      <c r="M20" s="38"/>
      <c r="N20" s="33"/>
      <c r="O20" s="34"/>
    </row>
    <row r="21" spans="1:15" ht="18.75" x14ac:dyDescent="0.25">
      <c r="A21" s="32" t="s">
        <v>34</v>
      </c>
      <c r="B21" s="27">
        <v>2014</v>
      </c>
      <c r="C21" s="27">
        <v>2014</v>
      </c>
      <c r="D21" s="27">
        <v>32.200000000000003</v>
      </c>
      <c r="E21" s="35">
        <f>(F21*0.05)+(G21*0.05)+(H21*0.8)+(I21*0.05)+(J21*0.05)</f>
        <v>1.4E-3</v>
      </c>
      <c r="F21" s="36">
        <f>AVERAGE(0.005,0.005)</f>
        <v>5.0000000000000001E-3</v>
      </c>
      <c r="G21" s="36">
        <f>AVERAGE(0.002,0.002)</f>
        <v>2E-3</v>
      </c>
      <c r="H21" s="36">
        <f>AVERAGE(0.001,0.001)</f>
        <v>1E-3</v>
      </c>
      <c r="I21" s="36">
        <f>AVERAGE(0.002,0.002)</f>
        <v>2E-3</v>
      </c>
      <c r="J21" s="36">
        <f>AVERAGE(0.003,0.003)</f>
        <v>3.0000000000000001E-3</v>
      </c>
      <c r="K21" s="27">
        <v>3.2199999999999999E-2</v>
      </c>
      <c r="L21" s="29">
        <f>K21/E21</f>
        <v>23</v>
      </c>
      <c r="M21" s="38">
        <v>186</v>
      </c>
      <c r="N21" s="33"/>
      <c r="O21" s="31" t="s">
        <v>20</v>
      </c>
    </row>
    <row r="22" spans="1:15" ht="18.75" x14ac:dyDescent="0.25">
      <c r="A22" s="32"/>
      <c r="B22" s="27"/>
      <c r="C22" s="27"/>
      <c r="D22" s="27"/>
      <c r="E22" s="35"/>
      <c r="F22" s="28" t="s">
        <v>8</v>
      </c>
      <c r="G22" s="28" t="s">
        <v>4</v>
      </c>
      <c r="H22" s="28" t="s">
        <v>5</v>
      </c>
      <c r="I22" s="28"/>
      <c r="J22" s="28"/>
      <c r="K22" s="27"/>
      <c r="L22" s="29"/>
      <c r="M22" s="38"/>
      <c r="N22" s="33"/>
      <c r="O22" s="34"/>
    </row>
    <row r="23" spans="1:15" ht="18.75" x14ac:dyDescent="0.25">
      <c r="A23" s="32" t="s">
        <v>35</v>
      </c>
      <c r="B23" s="74">
        <f>MEDIAN(2006,2014)</f>
        <v>2010</v>
      </c>
      <c r="C23" s="44">
        <v>2010</v>
      </c>
      <c r="D23" s="44">
        <v>4.3</v>
      </c>
      <c r="E23" s="75">
        <f>(F23*0.1)+(G23*0.1)+(H23*0.8)</f>
        <v>1.4000000000000002E-3</v>
      </c>
      <c r="F23" s="44">
        <f>AVERAGE(0.001, 0.001)</f>
        <v>1E-3</v>
      </c>
      <c r="G23" s="44">
        <f>AVERAGE(0.001, 0.001)</f>
        <v>1E-3</v>
      </c>
      <c r="H23" s="44">
        <f>AVERAGE(0.001, 0.002)</f>
        <v>1.5E-3</v>
      </c>
      <c r="I23" s="42"/>
      <c r="J23" s="42"/>
      <c r="K23" s="27">
        <v>9.7000000000000003E-3</v>
      </c>
      <c r="L23" s="29">
        <f>K23/E23</f>
        <v>6.9285714285714279</v>
      </c>
      <c r="M23" s="38">
        <v>235</v>
      </c>
      <c r="N23" s="33"/>
      <c r="O23" s="31" t="s">
        <v>20</v>
      </c>
    </row>
    <row r="24" spans="1:15" ht="18.75" x14ac:dyDescent="0.25">
      <c r="A24" s="32"/>
      <c r="B24" s="44"/>
      <c r="C24" s="44"/>
      <c r="D24" s="44"/>
      <c r="E24" s="75"/>
      <c r="F24" s="76" t="s">
        <v>4</v>
      </c>
      <c r="G24" s="76" t="s">
        <v>5</v>
      </c>
      <c r="H24" s="76" t="s">
        <v>6</v>
      </c>
      <c r="I24" s="76" t="s">
        <v>7</v>
      </c>
      <c r="J24" s="44"/>
      <c r="K24" s="27"/>
      <c r="L24" s="29"/>
      <c r="M24" s="38"/>
      <c r="N24" s="33"/>
      <c r="O24" s="40">
        <f>SUM(M21:M23)</f>
        <v>421</v>
      </c>
    </row>
    <row r="25" spans="1:15" ht="18.75" x14ac:dyDescent="0.25">
      <c r="A25" s="32"/>
      <c r="B25" s="27"/>
      <c r="C25" s="27"/>
      <c r="D25" s="27"/>
      <c r="E25" s="35"/>
      <c r="F25" s="43"/>
      <c r="G25" s="43"/>
      <c r="H25" s="43"/>
      <c r="I25" s="43"/>
      <c r="J25" s="44"/>
      <c r="K25" s="27"/>
      <c r="L25" s="29"/>
      <c r="M25" s="38"/>
      <c r="N25" s="33"/>
      <c r="O25" s="40"/>
    </row>
    <row r="26" spans="1:15" ht="18.75" x14ac:dyDescent="0.25">
      <c r="A26" s="59" t="s">
        <v>13</v>
      </c>
      <c r="B26" s="27"/>
      <c r="C26" s="27"/>
      <c r="D26" s="27"/>
      <c r="E26" s="35"/>
      <c r="F26" s="28"/>
      <c r="G26" s="28"/>
      <c r="H26" s="28"/>
      <c r="I26" s="28"/>
      <c r="J26" s="28"/>
      <c r="K26" s="27"/>
      <c r="L26" s="29"/>
      <c r="M26" s="38"/>
      <c r="N26" s="30"/>
      <c r="O26" s="34"/>
    </row>
    <row r="27" spans="1:15" ht="18.75" x14ac:dyDescent="0.25">
      <c r="A27" s="41"/>
      <c r="B27" s="27"/>
      <c r="C27" s="27"/>
      <c r="D27" s="27"/>
      <c r="E27" s="35"/>
      <c r="F27" s="28"/>
      <c r="G27" s="28"/>
      <c r="H27" s="28"/>
      <c r="I27" s="28"/>
      <c r="J27" s="28"/>
      <c r="K27" s="27"/>
      <c r="L27" s="29"/>
      <c r="M27" s="38"/>
      <c r="N27" s="33"/>
      <c r="O27" s="34"/>
    </row>
    <row r="28" spans="1:15" ht="18.75" x14ac:dyDescent="0.25">
      <c r="A28" s="32" t="s">
        <v>36</v>
      </c>
      <c r="B28" s="27">
        <v>2011</v>
      </c>
      <c r="C28" s="27">
        <v>2011</v>
      </c>
      <c r="D28" s="27">
        <v>2.2999999999999998</v>
      </c>
      <c r="E28" s="35">
        <f>(F28*0.11)+(G28*0.29)+(H28*0.43)+(I28*0.13)+(J28*0.03)</f>
        <v>1.2650000000000001E-3</v>
      </c>
      <c r="F28" s="36">
        <f>AVERAGE(0.003,0.002)</f>
        <v>2.5000000000000001E-3</v>
      </c>
      <c r="G28" s="36">
        <f>AVERAGE(0.001,0.001)</f>
        <v>1E-3</v>
      </c>
      <c r="H28" s="36">
        <f>AVERAGE(0.001,0.001)</f>
        <v>1E-3</v>
      </c>
      <c r="I28" s="36">
        <f>AVERAGE(0.002,0.001)</f>
        <v>1.5E-3</v>
      </c>
      <c r="J28" s="45">
        <f>AVERAGE(0.003,0.002)</f>
        <v>2.5000000000000001E-3</v>
      </c>
      <c r="K28" s="27">
        <v>2.3E-3</v>
      </c>
      <c r="L28" s="29">
        <f t="shared" ref="L28" si="4">K28/E28</f>
        <v>1.8181818181818181</v>
      </c>
      <c r="M28" s="38">
        <v>850</v>
      </c>
      <c r="N28" s="33"/>
      <c r="O28" s="31" t="s">
        <v>20</v>
      </c>
    </row>
    <row r="29" spans="1:15" ht="18.75" x14ac:dyDescent="0.25">
      <c r="A29" s="32"/>
      <c r="B29" s="27"/>
      <c r="C29" s="27"/>
      <c r="D29" s="27"/>
      <c r="E29" s="35"/>
      <c r="F29" s="28" t="s">
        <v>8</v>
      </c>
      <c r="G29" s="28" t="s">
        <v>4</v>
      </c>
      <c r="H29" s="28" t="s">
        <v>5</v>
      </c>
      <c r="I29" s="28" t="s">
        <v>6</v>
      </c>
      <c r="J29" s="28" t="s">
        <v>7</v>
      </c>
      <c r="K29" s="27"/>
      <c r="L29" s="29"/>
      <c r="M29" s="38"/>
      <c r="N29" s="33"/>
      <c r="O29" s="34"/>
    </row>
    <row r="30" spans="1:15" ht="18.75" x14ac:dyDescent="0.25">
      <c r="A30" s="32"/>
      <c r="B30" s="27"/>
      <c r="C30" s="27"/>
      <c r="D30" s="27"/>
      <c r="E30" s="35"/>
      <c r="F30" s="28"/>
      <c r="G30" s="28"/>
      <c r="H30" s="28"/>
      <c r="I30" s="28"/>
      <c r="J30" s="28"/>
      <c r="K30" s="27"/>
      <c r="L30" s="29"/>
      <c r="M30" s="29"/>
      <c r="N30" s="33"/>
      <c r="O30" s="34"/>
    </row>
    <row r="31" spans="1:15" ht="18.75" x14ac:dyDescent="0.25">
      <c r="A31" s="32" t="s">
        <v>37</v>
      </c>
      <c r="B31" s="44">
        <f>MEDIAN(1998,2000)</f>
        <v>1999</v>
      </c>
      <c r="C31" s="44">
        <v>1999</v>
      </c>
      <c r="D31" s="77">
        <f>8/0.823</f>
        <v>9.720534629404618</v>
      </c>
      <c r="E31" s="75">
        <f>(F31*0.2)+(G31*0.5)+(H31*0.25)+(I31*0.05)</f>
        <v>2.9575000000000001E-3</v>
      </c>
      <c r="F31" s="44">
        <v>7.5199999999999998E-3</v>
      </c>
      <c r="G31" s="44">
        <v>2.0899999999999998E-3</v>
      </c>
      <c r="H31" s="44">
        <v>1.2600000000000001E-3</v>
      </c>
      <c r="I31" s="44">
        <v>1.8699999999999999E-3</v>
      </c>
      <c r="J31" s="44"/>
      <c r="K31" s="27">
        <v>9.7199999999999995E-3</v>
      </c>
      <c r="L31" s="29">
        <f>K31/E31</f>
        <v>3.2865595942519019</v>
      </c>
      <c r="M31" s="38">
        <v>823</v>
      </c>
      <c r="N31" s="33"/>
      <c r="O31" s="31" t="s">
        <v>38</v>
      </c>
    </row>
    <row r="32" spans="1:15" ht="18.75" x14ac:dyDescent="0.25">
      <c r="A32" s="44"/>
      <c r="B32" s="44"/>
      <c r="C32" s="44"/>
      <c r="D32" s="44"/>
      <c r="E32" s="44"/>
      <c r="F32" s="76" t="s">
        <v>8</v>
      </c>
      <c r="G32" s="76" t="s">
        <v>4</v>
      </c>
      <c r="H32" s="76" t="s">
        <v>5</v>
      </c>
      <c r="I32" s="76" t="s">
        <v>6</v>
      </c>
      <c r="J32" s="44"/>
      <c r="K32" s="27"/>
      <c r="L32" s="27"/>
      <c r="M32" s="27"/>
      <c r="N32" s="33"/>
      <c r="O32" s="40">
        <f>SUM(M28:M32)</f>
        <v>1673</v>
      </c>
    </row>
    <row r="33" spans="1:15" ht="18.75" x14ac:dyDescent="0.25">
      <c r="A33" s="19"/>
      <c r="B33" s="19"/>
      <c r="C33" s="19"/>
      <c r="D33" s="19"/>
      <c r="E33" s="19"/>
      <c r="F33" s="12"/>
      <c r="G33" s="12"/>
      <c r="H33" s="12"/>
      <c r="I33" s="12"/>
      <c r="J33" s="19"/>
      <c r="K33" s="13"/>
      <c r="L33" s="13"/>
      <c r="M33" s="13"/>
      <c r="N33" s="14"/>
      <c r="O33" s="15"/>
    </row>
    <row r="34" spans="1:15" ht="18.75" x14ac:dyDescent="0.25">
      <c r="A34" s="46" t="s">
        <v>17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9">
        <f>L35</f>
        <v>23.017013800813583</v>
      </c>
      <c r="O34" s="48"/>
    </row>
    <row r="35" spans="1:15" ht="15.95" customHeight="1" x14ac:dyDescent="0.25">
      <c r="A35" s="50" t="s">
        <v>40</v>
      </c>
      <c r="B35" s="47">
        <v>1998</v>
      </c>
      <c r="C35" s="47">
        <v>1998</v>
      </c>
      <c r="D35" s="51">
        <v>2</v>
      </c>
      <c r="E35" s="52">
        <f>(F35*0.134)+(G35*0.263)+(H35*0.603)</f>
        <v>1.0644299999999999E-3</v>
      </c>
      <c r="F35" s="53">
        <v>3.7599999999999999E-3</v>
      </c>
      <c r="G35" s="53">
        <v>7.1000000000000002E-4</v>
      </c>
      <c r="H35" s="53">
        <v>6.2E-4</v>
      </c>
      <c r="I35" s="54"/>
      <c r="J35" s="54"/>
      <c r="K35" s="47">
        <v>2.4500000000000001E-2</v>
      </c>
      <c r="L35" s="51">
        <f>K35/E35</f>
        <v>23.017013800813583</v>
      </c>
      <c r="M35" s="55">
        <v>680</v>
      </c>
      <c r="N35" s="56"/>
      <c r="O35" s="48"/>
    </row>
    <row r="36" spans="1:15" ht="18" customHeight="1" x14ac:dyDescent="0.25">
      <c r="A36" s="50"/>
      <c r="B36" s="47"/>
      <c r="C36" s="47"/>
      <c r="D36" s="47"/>
      <c r="E36" s="52"/>
      <c r="F36" s="54" t="s">
        <v>4</v>
      </c>
      <c r="G36" s="54" t="s">
        <v>5</v>
      </c>
      <c r="H36" s="54" t="s">
        <v>6</v>
      </c>
      <c r="I36" s="47"/>
      <c r="J36" s="57"/>
      <c r="K36" s="47"/>
      <c r="L36" s="51"/>
      <c r="M36" s="55"/>
      <c r="N36" s="56"/>
      <c r="O36" s="48"/>
    </row>
    <row r="37" spans="1:15" ht="17.100000000000001" customHeight="1" x14ac:dyDescent="0.25"/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3" spans="1:15" x14ac:dyDescent="0.25">
      <c r="F43" s="6"/>
    </row>
    <row r="45" spans="1:15" x14ac:dyDescent="0.25">
      <c r="K45" s="3"/>
      <c r="L45" s="3"/>
      <c r="M45" s="3"/>
    </row>
    <row r="48" spans="1:15" x14ac:dyDescent="0.25">
      <c r="C48" s="4"/>
    </row>
  </sheetData>
  <mergeCells count="1">
    <mergeCell ref="F1:J1"/>
  </mergeCells>
  <pageMargins left="0.25" right="0.25" top="0.75" bottom="0.7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Klatman</dc:creator>
  <cp:lastModifiedBy>Graham</cp:lastModifiedBy>
  <cp:lastPrinted>2019-03-26T00:37:43Z</cp:lastPrinted>
  <dcterms:created xsi:type="dcterms:W3CDTF">2019-03-19T12:25:24Z</dcterms:created>
  <dcterms:modified xsi:type="dcterms:W3CDTF">2021-08-14T07:46:57Z</dcterms:modified>
</cp:coreProperties>
</file>