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si\iCloudDrive\Imperial College Year 2\Second Year Summer Project\Subsystems\Energy\Excel files\"/>
    </mc:Choice>
  </mc:AlternateContent>
  <xr:revisionPtr revIDLastSave="0" documentId="8_{D8BD12BE-9E06-4BDA-98AE-DDBF2CC326B3}" xr6:coauthVersionLast="47" xr6:coauthVersionMax="47" xr10:uidLastSave="{00000000-0000-0000-0000-000000000000}"/>
  <bookViews>
    <workbookView xWindow="-110" yWindow="-110" windowWidth="19420" windowHeight="10420" xr2:uid="{51734212-0153-47A0-92E1-D1FFADAEA19E}"/>
  </bookViews>
  <sheets>
    <sheet name="Battery Charging Initial Draft" sheetId="1" r:id="rId1"/>
    <sheet name="PV Panels Initial Draft" sheetId="2" r:id="rId2"/>
    <sheet name="PV panel new" sheetId="4" r:id="rId3"/>
    <sheet name="PV panel" sheetId="3" r:id="rId4"/>
    <sheet name="Battery Characteristic" sheetId="5" r:id="rId5"/>
    <sheet name="Partial Shading Effect Output V" sheetId="6" r:id="rId6"/>
    <sheet name="Power and Efficiency" sheetId="7" r:id="rId7"/>
    <sheet name="Rover Power Consumption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8" l="1"/>
  <c r="B4" i="8"/>
  <c r="D4" i="8" s="1"/>
  <c r="L3" i="8"/>
  <c r="H3" i="8"/>
  <c r="C3" i="8"/>
  <c r="B3" i="8"/>
  <c r="D3" i="8" s="1"/>
  <c r="L2" i="8"/>
  <c r="C2" i="8"/>
  <c r="B2" i="8"/>
  <c r="D2" i="8" s="1"/>
  <c r="L1" i="8"/>
  <c r="L4" i="8" s="1"/>
  <c r="F8" i="7"/>
  <c r="G8" i="7" s="1"/>
  <c r="E8" i="7"/>
  <c r="C8" i="7"/>
  <c r="B8" i="7"/>
  <c r="D8" i="7" s="1"/>
  <c r="F7" i="7"/>
  <c r="E7" i="7"/>
  <c r="G7" i="7" s="1"/>
  <c r="C7" i="7"/>
  <c r="B7" i="7"/>
  <c r="D7" i="7" s="1"/>
  <c r="G6" i="7"/>
  <c r="H6" i="7" s="1"/>
  <c r="F6" i="7"/>
  <c r="E6" i="7"/>
  <c r="D6" i="7"/>
  <c r="C6" i="7"/>
  <c r="B6" i="7"/>
  <c r="F5" i="7"/>
  <c r="E5" i="7"/>
  <c r="G5" i="7" s="1"/>
  <c r="H5" i="7" s="1"/>
  <c r="C5" i="7"/>
  <c r="D5" i="7" s="1"/>
  <c r="B5" i="7"/>
  <c r="F4" i="7"/>
  <c r="E4" i="7"/>
  <c r="G4" i="7" s="1"/>
  <c r="C4" i="7"/>
  <c r="B4" i="7"/>
  <c r="D4" i="7" s="1"/>
  <c r="F3" i="7"/>
  <c r="E3" i="7"/>
  <c r="G3" i="7" s="1"/>
  <c r="H3" i="7" s="1"/>
  <c r="D3" i="7"/>
  <c r="C3" i="7"/>
  <c r="B3" i="7"/>
  <c r="F2" i="7"/>
  <c r="E2" i="7"/>
  <c r="G2" i="7" s="1"/>
  <c r="C2" i="7"/>
  <c r="B2" i="7"/>
  <c r="D2" i="7" s="1"/>
  <c r="A3" i="6"/>
  <c r="B3" i="6"/>
  <c r="A2" i="6"/>
  <c r="B2" i="6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8" i="4"/>
  <c r="B10" i="5"/>
  <c r="C10" i="5"/>
  <c r="D10" i="5"/>
  <c r="E10" i="5"/>
  <c r="A10" i="5"/>
  <c r="B6" i="5"/>
  <c r="E13" i="5"/>
  <c r="E12" i="5"/>
  <c r="E11" i="5"/>
  <c r="E9" i="5"/>
  <c r="E8" i="5"/>
  <c r="E7" i="5"/>
  <c r="B7" i="5" s="1"/>
  <c r="E6" i="5"/>
  <c r="D13" i="5"/>
  <c r="C13" i="5"/>
  <c r="B13" i="5" s="1"/>
  <c r="A13" i="5"/>
  <c r="D12" i="5"/>
  <c r="C12" i="5"/>
  <c r="B12" i="5" s="1"/>
  <c r="A12" i="5"/>
  <c r="C11" i="5"/>
  <c r="B11" i="5" s="1"/>
  <c r="D11" i="5"/>
  <c r="A11" i="5"/>
  <c r="C9" i="5"/>
  <c r="B9" i="5" s="1"/>
  <c r="D9" i="5"/>
  <c r="A9" i="5"/>
  <c r="D8" i="5"/>
  <c r="C8" i="5"/>
  <c r="B8" i="5" s="1"/>
  <c r="A8" i="5"/>
  <c r="C7" i="5"/>
  <c r="D7" i="5"/>
  <c r="A7" i="5"/>
  <c r="D6" i="5"/>
  <c r="C6" i="5"/>
  <c r="A6" i="5"/>
  <c r="B5" i="5"/>
  <c r="A5" i="5"/>
  <c r="B4" i="5"/>
  <c r="A4" i="5"/>
  <c r="B3" i="5"/>
  <c r="A3" i="5"/>
  <c r="B2" i="5"/>
  <c r="A2" i="5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8" i="4"/>
  <c r="R52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8" i="4"/>
  <c r="A28" i="4"/>
  <c r="A27" i="4"/>
  <c r="A26" i="4"/>
  <c r="A34" i="4"/>
  <c r="A33" i="4"/>
  <c r="A32" i="4"/>
  <c r="A39" i="4"/>
  <c r="A40" i="4"/>
  <c r="A38" i="4"/>
  <c r="A24" i="4"/>
  <c r="A23" i="4"/>
  <c r="A21" i="4"/>
  <c r="A20" i="4"/>
  <c r="A18" i="4"/>
  <c r="A17" i="4"/>
  <c r="A25" i="4"/>
  <c r="A22" i="4"/>
  <c r="A19" i="4"/>
  <c r="Q55" i="4"/>
  <c r="P55" i="4"/>
  <c r="Q54" i="4"/>
  <c r="P54" i="4"/>
  <c r="Q53" i="4"/>
  <c r="P53" i="4"/>
  <c r="Q7" i="4"/>
  <c r="P7" i="4"/>
  <c r="Q6" i="4"/>
  <c r="P6" i="4"/>
  <c r="Q5" i="4"/>
  <c r="P5" i="4"/>
  <c r="O55" i="4"/>
  <c r="N55" i="4"/>
  <c r="O54" i="4"/>
  <c r="N54" i="4"/>
  <c r="O53" i="4"/>
  <c r="N53" i="4"/>
  <c r="O7" i="4"/>
  <c r="N7" i="4"/>
  <c r="O6" i="4"/>
  <c r="N6" i="4"/>
  <c r="O5" i="4"/>
  <c r="N5" i="4"/>
  <c r="L7" i="4"/>
  <c r="L6" i="4"/>
  <c r="L5" i="4"/>
  <c r="M55" i="4"/>
  <c r="M54" i="4"/>
  <c r="M53" i="4"/>
  <c r="L55" i="4"/>
  <c r="L54" i="4"/>
  <c r="L53" i="4"/>
  <c r="M7" i="4"/>
  <c r="M6" i="4"/>
  <c r="M5" i="4"/>
  <c r="A52" i="4"/>
  <c r="A51" i="4"/>
  <c r="A49" i="4"/>
  <c r="A50" i="4"/>
  <c r="A48" i="4"/>
  <c r="A47" i="4"/>
  <c r="A46" i="4"/>
  <c r="A45" i="4"/>
  <c r="A44" i="4"/>
  <c r="A43" i="4"/>
  <c r="A42" i="4"/>
  <c r="A41" i="4"/>
  <c r="A31" i="4"/>
  <c r="A30" i="4"/>
  <c r="A29" i="4"/>
  <c r="A16" i="4"/>
  <c r="A15" i="4"/>
  <c r="A14" i="4"/>
  <c r="A13" i="4"/>
  <c r="A12" i="4"/>
  <c r="A11" i="4"/>
  <c r="A10" i="4"/>
  <c r="A9" i="4"/>
  <c r="A8" i="4"/>
  <c r="C55" i="4"/>
  <c r="B55" i="4"/>
  <c r="C54" i="4"/>
  <c r="B54" i="4"/>
  <c r="C53" i="4"/>
  <c r="B53" i="4"/>
  <c r="C7" i="4"/>
  <c r="B7" i="4"/>
  <c r="C6" i="4"/>
  <c r="B6" i="4"/>
  <c r="C5" i="4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D8" i="3"/>
  <c r="E8" i="3"/>
  <c r="B40" i="3"/>
  <c r="B39" i="3"/>
  <c r="B38" i="3"/>
  <c r="D38" i="3" s="1"/>
  <c r="D29" i="3"/>
  <c r="D35" i="3"/>
  <c r="D40" i="3"/>
  <c r="C40" i="3"/>
  <c r="C39" i="3"/>
  <c r="C38" i="3"/>
  <c r="B37" i="3"/>
  <c r="B36" i="3"/>
  <c r="D36" i="3" s="1"/>
  <c r="B35" i="3"/>
  <c r="C37" i="3"/>
  <c r="C36" i="3"/>
  <c r="C35" i="3"/>
  <c r="B33" i="3"/>
  <c r="D33" i="3" s="1"/>
  <c r="B34" i="3"/>
  <c r="D34" i="3" s="1"/>
  <c r="C33" i="3"/>
  <c r="C34" i="3"/>
  <c r="B32" i="3"/>
  <c r="D32" i="3" s="1"/>
  <c r="C32" i="3"/>
  <c r="B31" i="3"/>
  <c r="D31" i="3" s="1"/>
  <c r="B30" i="3"/>
  <c r="D30" i="3" s="1"/>
  <c r="B29" i="3"/>
  <c r="C31" i="3"/>
  <c r="C30" i="3"/>
  <c r="C29" i="3"/>
  <c r="D11" i="3"/>
  <c r="D12" i="3"/>
  <c r="D13" i="3"/>
  <c r="D16" i="3"/>
  <c r="D25" i="3"/>
  <c r="B28" i="3"/>
  <c r="D28" i="3" s="1"/>
  <c r="B27" i="3"/>
  <c r="D27" i="3" s="1"/>
  <c r="B26" i="3"/>
  <c r="D26" i="3" s="1"/>
  <c r="C28" i="3"/>
  <c r="C27" i="3"/>
  <c r="C26" i="3"/>
  <c r="B23" i="3"/>
  <c r="D23" i="3" s="1"/>
  <c r="B25" i="3"/>
  <c r="B24" i="3"/>
  <c r="D24" i="3" s="1"/>
  <c r="C23" i="3"/>
  <c r="C25" i="3"/>
  <c r="C24" i="3"/>
  <c r="C15" i="3"/>
  <c r="B22" i="3"/>
  <c r="B20" i="3"/>
  <c r="D20" i="3" s="1"/>
  <c r="B21" i="3"/>
  <c r="C22" i="3"/>
  <c r="C21" i="3"/>
  <c r="C20" i="3"/>
  <c r="B17" i="3"/>
  <c r="D17" i="3" s="1"/>
  <c r="B18" i="3"/>
  <c r="D18" i="3" s="1"/>
  <c r="B19" i="3"/>
  <c r="C11" i="3"/>
  <c r="C19" i="3"/>
  <c r="C18" i="3"/>
  <c r="C17" i="3"/>
  <c r="B15" i="3"/>
  <c r="D15" i="3" s="1"/>
  <c r="B16" i="3"/>
  <c r="B14" i="3"/>
  <c r="D14" i="3" s="1"/>
  <c r="C16" i="3"/>
  <c r="C14" i="3"/>
  <c r="C43" i="3"/>
  <c r="C42" i="3"/>
  <c r="C41" i="3"/>
  <c r="B7" i="3"/>
  <c r="B6" i="3"/>
  <c r="B13" i="3"/>
  <c r="B12" i="3"/>
  <c r="B11" i="3"/>
  <c r="C12" i="3"/>
  <c r="C13" i="3"/>
  <c r="A11" i="3"/>
  <c r="B10" i="3"/>
  <c r="D10" i="3" s="1"/>
  <c r="B9" i="3"/>
  <c r="D9" i="3" s="1"/>
  <c r="B8" i="3"/>
  <c r="C10" i="3"/>
  <c r="C9" i="3"/>
  <c r="C8" i="3"/>
  <c r="B43" i="3"/>
  <c r="B42" i="3"/>
  <c r="B41" i="3"/>
  <c r="C7" i="3"/>
  <c r="C6" i="3"/>
  <c r="C5" i="3"/>
  <c r="A39" i="3"/>
  <c r="A38" i="3"/>
  <c r="A36" i="3"/>
  <c r="A35" i="3"/>
  <c r="A34" i="3"/>
  <c r="A33" i="3"/>
  <c r="A31" i="3"/>
  <c r="A29" i="3"/>
  <c r="A27" i="3"/>
  <c r="A26" i="3"/>
  <c r="A24" i="3"/>
  <c r="A23" i="3"/>
  <c r="A21" i="3"/>
  <c r="D21" i="3" s="1"/>
  <c r="A20" i="3"/>
  <c r="A18" i="3"/>
  <c r="A17" i="3"/>
  <c r="A15" i="3"/>
  <c r="A14" i="3"/>
  <c r="A12" i="3"/>
  <c r="A40" i="3"/>
  <c r="A37" i="3"/>
  <c r="D37" i="3" s="1"/>
  <c r="A32" i="3"/>
  <c r="A30" i="3"/>
  <c r="A28" i="3"/>
  <c r="A25" i="3"/>
  <c r="A22" i="3"/>
  <c r="D22" i="3" s="1"/>
  <c r="A19" i="3"/>
  <c r="D19" i="3" s="1"/>
  <c r="A16" i="3"/>
  <c r="A13" i="3"/>
  <c r="K23" i="2"/>
  <c r="K19" i="2"/>
  <c r="K20" i="2"/>
  <c r="K18" i="2"/>
  <c r="K9" i="2"/>
  <c r="K6" i="2"/>
  <c r="F23" i="2"/>
  <c r="F19" i="2"/>
  <c r="F20" i="2"/>
  <c r="F18" i="2"/>
  <c r="F9" i="2"/>
  <c r="K5" i="2"/>
  <c r="K4" i="2"/>
  <c r="F6" i="2"/>
  <c r="F5" i="2"/>
  <c r="F4" i="2"/>
  <c r="G23" i="2"/>
  <c r="P4" i="2" s="1"/>
  <c r="M19" i="2"/>
  <c r="M20" i="2"/>
  <c r="M21" i="2"/>
  <c r="M18" i="2"/>
  <c r="L19" i="2"/>
  <c r="L20" i="2"/>
  <c r="L21" i="2"/>
  <c r="L18" i="2"/>
  <c r="L23" i="2" s="1"/>
  <c r="P6" i="2" s="1"/>
  <c r="H19" i="2"/>
  <c r="H21" i="2"/>
  <c r="H18" i="2"/>
  <c r="G19" i="2"/>
  <c r="G20" i="2"/>
  <c r="G21" i="2"/>
  <c r="G18" i="2"/>
  <c r="C19" i="2"/>
  <c r="C20" i="2"/>
  <c r="C18" i="2"/>
  <c r="C23" i="2" s="1"/>
  <c r="P3" i="2" s="1"/>
  <c r="B19" i="2"/>
  <c r="B20" i="2"/>
  <c r="B21" i="2"/>
  <c r="B18" i="2"/>
  <c r="A19" i="2"/>
  <c r="A20" i="2"/>
  <c r="A18" i="2"/>
  <c r="A15" i="2"/>
  <c r="M13" i="2"/>
  <c r="L13" i="2"/>
  <c r="H13" i="2"/>
  <c r="G13" i="2"/>
  <c r="C13" i="2"/>
  <c r="B13" i="2"/>
  <c r="A12" i="2"/>
  <c r="M9" i="2"/>
  <c r="Q7" i="2" s="1"/>
  <c r="L9" i="2"/>
  <c r="Q6" i="2" s="1"/>
  <c r="G9" i="2"/>
  <c r="Q4" i="2" s="1"/>
  <c r="H9" i="2"/>
  <c r="Q5" i="2" s="1"/>
  <c r="C9" i="2"/>
  <c r="Q3" i="2" s="1"/>
  <c r="B9" i="2"/>
  <c r="Q2" i="2" s="1"/>
  <c r="A9" i="2"/>
  <c r="A2" i="2"/>
  <c r="E11" i="1"/>
  <c r="D11" i="1"/>
  <c r="C11" i="1"/>
  <c r="A11" i="1"/>
  <c r="E12" i="1"/>
  <c r="D12" i="1"/>
  <c r="C12" i="1"/>
  <c r="A12" i="1"/>
  <c r="B5" i="8" l="1"/>
  <c r="L5" i="8" s="1"/>
  <c r="L6" i="8" s="1"/>
  <c r="B13" i="7"/>
  <c r="H7" i="7"/>
  <c r="H4" i="7"/>
  <c r="B12" i="7"/>
  <c r="H2" i="7"/>
  <c r="H8" i="7"/>
  <c r="D39" i="3"/>
  <c r="M23" i="2"/>
  <c r="P7" i="2" s="1"/>
  <c r="A23" i="2"/>
  <c r="B23" i="2"/>
  <c r="P2" i="2" s="1"/>
  <c r="H23" i="2"/>
  <c r="P5" i="2" s="1"/>
  <c r="H11" i="7" l="1"/>
  <c r="H9" i="7"/>
  <c r="H10" i="7"/>
</calcChain>
</file>

<file path=xl/sharedStrings.xml><?xml version="1.0" encoding="utf-8"?>
<sst xmlns="http://schemas.openxmlformats.org/spreadsheetml/2006/main" count="141" uniqueCount="82">
  <si>
    <t>*The first battery</t>
  </si>
  <si>
    <t>Charge current (A)</t>
  </si>
  <si>
    <t>2 blocks</t>
  </si>
  <si>
    <t>3 blocks</t>
  </si>
  <si>
    <t>4 blocks (fully charged)</t>
  </si>
  <si>
    <t>Resistance</t>
  </si>
  <si>
    <t>47 cm (the bulb is right above the cell)</t>
  </si>
  <si>
    <t>15 cm</t>
  </si>
  <si>
    <t>no light</t>
  </si>
  <si>
    <t>Resistance = 0.2 ohm</t>
  </si>
  <si>
    <t>Distance</t>
  </si>
  <si>
    <t>47 cm</t>
  </si>
  <si>
    <t>Resistance = 99.1 ohm</t>
  </si>
  <si>
    <t>r=</t>
  </si>
  <si>
    <t>voltage</t>
  </si>
  <si>
    <t>Voltage</t>
  </si>
  <si>
    <t>Current</t>
  </si>
  <si>
    <t>Resistances</t>
  </si>
  <si>
    <t>open circuit</t>
  </si>
  <si>
    <t>short circuit</t>
  </si>
  <si>
    <t>Condition</t>
  </si>
  <si>
    <t>Normal Lighting in lab</t>
  </si>
  <si>
    <t>Lamp 15 cm</t>
  </si>
  <si>
    <t>Lamp 47 cm</t>
  </si>
  <si>
    <t>Irradiance</t>
  </si>
  <si>
    <t>Outdoor sunlight (cloudy)</t>
  </si>
  <si>
    <t>Outdoor sunlight (sunny)</t>
  </si>
  <si>
    <t>temperature</t>
  </si>
  <si>
    <t>Power</t>
  </si>
  <si>
    <t>Outdoor sunlight (sunny) (high angle)</t>
  </si>
  <si>
    <t>Outdoor sunlight (sunny) (low angle)</t>
  </si>
  <si>
    <t>Outdoor sunlight (sunny) (straight up)</t>
  </si>
  <si>
    <t xml:space="preserve">changed position here </t>
  </si>
  <si>
    <t>Power 1</t>
    <phoneticPr fontId="1" type="noConversion"/>
  </si>
  <si>
    <t>Power 2</t>
    <phoneticPr fontId="1" type="noConversion"/>
  </si>
  <si>
    <t>Voltage (V)</t>
  </si>
  <si>
    <t>Current (A)</t>
  </si>
  <si>
    <t>linear almost between the limits</t>
  </si>
  <si>
    <t>10W last point on the curve</t>
  </si>
  <si>
    <t>run arduino on the same pin (for controlling both smps) (use different pins for the other SMPS)</t>
  </si>
  <si>
    <t>Voltage 1</t>
    <phoneticPr fontId="1" type="noConversion"/>
  </si>
  <si>
    <t>Average 1</t>
    <phoneticPr fontId="1" type="noConversion"/>
  </si>
  <si>
    <t>Average 2</t>
    <phoneticPr fontId="1" type="noConversion"/>
  </si>
  <si>
    <t>Output Voltage with no shading</t>
  </si>
  <si>
    <t>Output Voltage with shading</t>
  </si>
  <si>
    <t>Equal load and other conditons kept approximately the same</t>
  </si>
  <si>
    <t>Input Voltage</t>
  </si>
  <si>
    <t>Input Current</t>
  </si>
  <si>
    <t>Input Power</t>
  </si>
  <si>
    <t>Ouput Voltage</t>
  </si>
  <si>
    <t>Output Current</t>
  </si>
  <si>
    <t>Output Power</t>
  </si>
  <si>
    <t>Efficiency</t>
  </si>
  <si>
    <t>Horizontal</t>
  </si>
  <si>
    <t>morning</t>
  </si>
  <si>
    <t>Lower Angle</t>
  </si>
  <si>
    <t>Upper Angle</t>
  </si>
  <si>
    <t>Second Method</t>
    <phoneticPr fontId="1" type="noConversion"/>
  </si>
  <si>
    <t>Second Method</t>
  </si>
  <si>
    <t>Average Efficiency (First method)</t>
    <phoneticPr fontId="1" type="noConversion"/>
  </si>
  <si>
    <t>Average Efficiency (Second method)</t>
    <phoneticPr fontId="1" type="noConversion"/>
  </si>
  <si>
    <t>Average (Overall)</t>
    <phoneticPr fontId="1" type="noConversion"/>
  </si>
  <si>
    <t>First method average power</t>
    <phoneticPr fontId="1" type="noConversion"/>
  </si>
  <si>
    <t>Second method average power</t>
    <phoneticPr fontId="1" type="noConversion"/>
  </si>
  <si>
    <t>Component Name</t>
  </si>
  <si>
    <t>Typical Power Supply Voltage (V)</t>
  </si>
  <si>
    <t>Typical Power Supply Current (A)</t>
  </si>
  <si>
    <t>Typical Power Consumption (W)</t>
  </si>
  <si>
    <t>Battery Nominal Output Voltage (V)</t>
  </si>
  <si>
    <t>ESP32</t>
  </si>
  <si>
    <t>Motor Control IC</t>
  </si>
  <si>
    <t>-</t>
  </si>
  <si>
    <t>Maximum Discharge Current (A)</t>
  </si>
  <si>
    <t>FPGA</t>
  </si>
  <si>
    <t>Optical Flow Sensor</t>
  </si>
  <si>
    <t>Rated Capacity (mAh)</t>
  </si>
  <si>
    <t>Motor (*2)</t>
  </si>
  <si>
    <t>Camera Package</t>
  </si>
  <si>
    <t>Maximum Power from Battery (W)</t>
  </si>
  <si>
    <t>Estimated Total Power Consumption (W)</t>
  </si>
  <si>
    <t>Estimated Supply Current (to the Rover)</t>
  </si>
  <si>
    <t>Time that the Battery can power Rover (hrs)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</si>
</sst>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0" xfId="0" applyFill="1"/>
    <xf numFmtId="0" fontId="0" fillId="0" borderId="0" xfId="0" applyFill="1"/>
    <xf numFmtId="0" fontId="0" fillId="0" borderId="7" xfId="0" applyBorder="1"/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7" xfId="0" applyNumberFormat="1" applyBorder="1"/>
    <xf numFmtId="0" fontId="2" fillId="0" borderId="7" xfId="0" applyFont="1" applyBorder="1" applyAlignment="1">
      <alignment horizontal="justify" vertical="center" wrapText="1"/>
    </xf>
    <xf numFmtId="0" fontId="2" fillId="0" borderId="7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2" fillId="0" borderId="7" xfId="0" applyNumberFormat="1" applyFont="1" applyBorder="1" applyAlignment="1">
      <alignment horizontal="justify" vertical="center" wrapText="1"/>
    </xf>
    <xf numFmtId="0" fontId="0" fillId="0" borderId="7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Battery</a:t>
            </a:r>
            <a:r>
              <a:rPr lang="en-GB" baseline="0"/>
              <a:t> Charge Current vs "Blocks" of Charging Process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'Battery Charging Initial Draft'!$A$11:$E$11</c:f>
              <c:numCache>
                <c:formatCode>General</c:formatCode>
                <c:ptCount val="5"/>
                <c:pt idx="0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'Battery Charging Initial Draft'!$A$12:$E$12</c:f>
              <c:numCache>
                <c:formatCode>General</c:formatCode>
                <c:ptCount val="5"/>
                <c:pt idx="0">
                  <c:v>1.9313750000000001</c:v>
                </c:pt>
                <c:pt idx="2">
                  <c:v>1.911</c:v>
                </c:pt>
                <c:pt idx="3">
                  <c:v>0.62000000000000011</c:v>
                </c:pt>
                <c:pt idx="4">
                  <c:v>3.0249999999999999E-2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12-464F-8327-1931F22C3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484240"/>
        <c:axId val="1991483408"/>
      </c:scatterChart>
      <c:valAx>
        <c:axId val="199148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83408"/>
        <c:crosses val="autoZero"/>
        <c:crossBetween val="midCat"/>
      </c:valAx>
      <c:valAx>
        <c:axId val="19914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148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PV</a:t>
            </a:r>
            <a:r>
              <a:rPr lang="en-GB" baseline="0"/>
              <a:t> curve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panel'!$B$8:$B$40</c:f>
              <c:numCache>
                <c:formatCode>General</c:formatCode>
                <c:ptCount val="33"/>
                <c:pt idx="0">
                  <c:v>3.5000000000000001E-3</c:v>
                </c:pt>
                <c:pt idx="1">
                  <c:v>3.3E-3</c:v>
                </c:pt>
                <c:pt idx="2">
                  <c:v>3.7000000000000002E-3</c:v>
                </c:pt>
                <c:pt idx="3">
                  <c:v>1.37E-2</c:v>
                </c:pt>
                <c:pt idx="4">
                  <c:v>1.41E-2</c:v>
                </c:pt>
                <c:pt idx="5">
                  <c:v>1.3299999999999999E-2</c:v>
                </c:pt>
                <c:pt idx="6">
                  <c:v>4.87E-2</c:v>
                </c:pt>
                <c:pt idx="7">
                  <c:v>4.7199999999999999E-2</c:v>
                </c:pt>
                <c:pt idx="8">
                  <c:v>4.9200000000000001E-2</c:v>
                </c:pt>
                <c:pt idx="9">
                  <c:v>8.6999999999999994E-2</c:v>
                </c:pt>
                <c:pt idx="10">
                  <c:v>8.8300000000000003E-2</c:v>
                </c:pt>
                <c:pt idx="11">
                  <c:v>9.0499999999999997E-2</c:v>
                </c:pt>
                <c:pt idx="12">
                  <c:v>9.8100000000000007E-2</c:v>
                </c:pt>
                <c:pt idx="13">
                  <c:v>9.5200000000000007E-2</c:v>
                </c:pt>
                <c:pt idx="14">
                  <c:v>9.5100000000000004E-2</c:v>
                </c:pt>
                <c:pt idx="15">
                  <c:v>0.18260000000000001</c:v>
                </c:pt>
                <c:pt idx="16">
                  <c:v>0.1729</c:v>
                </c:pt>
                <c:pt idx="17">
                  <c:v>0.17119999999999999</c:v>
                </c:pt>
                <c:pt idx="18">
                  <c:v>0.18279999999999999</c:v>
                </c:pt>
                <c:pt idx="19">
                  <c:v>0.1845</c:v>
                </c:pt>
                <c:pt idx="20">
                  <c:v>0.1236</c:v>
                </c:pt>
                <c:pt idx="21">
                  <c:v>0.14430000000000001</c:v>
                </c:pt>
                <c:pt idx="22">
                  <c:v>0.1462</c:v>
                </c:pt>
                <c:pt idx="23">
                  <c:v>0.1457</c:v>
                </c:pt>
                <c:pt idx="24">
                  <c:v>0.13389999999999999</c:v>
                </c:pt>
                <c:pt idx="25">
                  <c:v>0.13739999999999999</c:v>
                </c:pt>
                <c:pt idx="26">
                  <c:v>0.13569999999999999</c:v>
                </c:pt>
                <c:pt idx="27">
                  <c:v>0.1391</c:v>
                </c:pt>
                <c:pt idx="28">
                  <c:v>0.14299999999999999</c:v>
                </c:pt>
                <c:pt idx="29">
                  <c:v>0.1416</c:v>
                </c:pt>
                <c:pt idx="30">
                  <c:v>0.1038</c:v>
                </c:pt>
                <c:pt idx="31">
                  <c:v>0.1043</c:v>
                </c:pt>
                <c:pt idx="32">
                  <c:v>0.10390000000000001</c:v>
                </c:pt>
              </c:numCache>
            </c:numRef>
          </c:xVal>
          <c:yVal>
            <c:numRef>
              <c:f>'PV panel'!$E$8:$E$40</c:f>
              <c:numCache>
                <c:formatCode>General</c:formatCode>
                <c:ptCount val="33"/>
                <c:pt idx="0">
                  <c:v>2.8E-5</c:v>
                </c:pt>
                <c:pt idx="1">
                  <c:v>2.3099999999999999E-5</c:v>
                </c:pt>
                <c:pt idx="2">
                  <c:v>2.9600000000000001E-5</c:v>
                </c:pt>
                <c:pt idx="3">
                  <c:v>1.7809999999999999E-4</c:v>
                </c:pt>
                <c:pt idx="4">
                  <c:v>1.8329999999999998E-4</c:v>
                </c:pt>
                <c:pt idx="5">
                  <c:v>1.862E-4</c:v>
                </c:pt>
                <c:pt idx="6">
                  <c:v>5.3569999999999996E-4</c:v>
                </c:pt>
                <c:pt idx="7">
                  <c:v>4.7199999999999998E-4</c:v>
                </c:pt>
                <c:pt idx="8">
                  <c:v>4.4279999999999998E-4</c:v>
                </c:pt>
                <c:pt idx="9">
                  <c:v>9.5699999999999984E-4</c:v>
                </c:pt>
                <c:pt idx="10">
                  <c:v>1.0596000000000002E-3</c:v>
                </c:pt>
                <c:pt idx="11">
                  <c:v>1.1764999999999998E-3</c:v>
                </c:pt>
                <c:pt idx="12">
                  <c:v>4.9050000000000005E-4</c:v>
                </c:pt>
                <c:pt idx="13">
                  <c:v>5.7120000000000001E-4</c:v>
                </c:pt>
                <c:pt idx="14">
                  <c:v>6.6570000000000008E-4</c:v>
                </c:pt>
                <c:pt idx="15">
                  <c:v>1.4608000000000002E-3</c:v>
                </c:pt>
                <c:pt idx="16">
                  <c:v>1.5560999999999999E-3</c:v>
                </c:pt>
                <c:pt idx="17">
                  <c:v>1.5407999999999997E-3</c:v>
                </c:pt>
                <c:pt idx="18">
                  <c:v>2.1936E-3</c:v>
                </c:pt>
                <c:pt idx="19">
                  <c:v>2.3985E-3</c:v>
                </c:pt>
                <c:pt idx="20">
                  <c:v>1.4832000000000001E-3</c:v>
                </c:pt>
                <c:pt idx="21">
                  <c:v>2.7417000000000001E-3</c:v>
                </c:pt>
                <c:pt idx="22">
                  <c:v>2.9239999999999999E-3</c:v>
                </c:pt>
                <c:pt idx="23">
                  <c:v>3.0597000000000003E-3</c:v>
                </c:pt>
                <c:pt idx="24">
                  <c:v>2.5440999999999997E-3</c:v>
                </c:pt>
                <c:pt idx="25">
                  <c:v>2.1984000000000001E-3</c:v>
                </c:pt>
                <c:pt idx="26">
                  <c:v>2.0354999999999995E-3</c:v>
                </c:pt>
                <c:pt idx="27">
                  <c:v>3.1993E-3</c:v>
                </c:pt>
                <c:pt idx="28">
                  <c:v>3.4319999999999997E-3</c:v>
                </c:pt>
                <c:pt idx="29">
                  <c:v>3.6815999999999997E-3</c:v>
                </c:pt>
                <c:pt idx="30">
                  <c:v>2.3874E-3</c:v>
                </c:pt>
                <c:pt idx="31">
                  <c:v>2.5032000000000001E-3</c:v>
                </c:pt>
                <c:pt idx="32">
                  <c:v>2.078E-3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DDD-ACC1-E8C4717A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8272"/>
        <c:axId val="1795931200"/>
      </c:scatterChart>
      <c:valAx>
        <c:axId val="1795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1200"/>
        <c:crosses val="autoZero"/>
        <c:crossBetween val="midCat"/>
      </c:valAx>
      <c:valAx>
        <c:axId val="1795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IV curve of the battery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'Battery Characteristic'!$B$1</c:f>
              <c:strCache>
                <c:ptCount val="1"/>
                <c:pt idx="0">
                  <c:v>Current (A)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'Battery Characteristic'!$A$5:$A$11</c:f>
              <c:numCache>
                <c:formatCode>General</c:formatCode>
                <c:ptCount val="7"/>
                <c:pt idx="0">
                  <c:v>4.5</c:v>
                </c:pt>
                <c:pt idx="1">
                  <c:v>4.5999999999999996</c:v>
                </c:pt>
                <c:pt idx="2">
                  <c:v>4.7</c:v>
                </c:pt>
                <c:pt idx="3">
                  <c:v>4.8</c:v>
                </c:pt>
                <c:pt idx="4">
                  <c:v>4.9000000000000004</c:v>
                </c:pt>
                <c:pt idx="5">
                  <c:v>4.95</c:v>
                </c:pt>
                <c:pt idx="6">
                  <c:v>5</c:v>
                </c:pt>
              </c:numCache>
            </c:numRef>
          </c:xVal>
          <c:yVal>
            <c:numRef>
              <c:f>'Battery Characteristic'!$B$5:$B$11</c:f>
              <c:numCache>
                <c:formatCode>General</c:formatCode>
                <c:ptCount val="7"/>
                <c:pt idx="0">
                  <c:v>3.6999999999999998E-2</c:v>
                </c:pt>
                <c:pt idx="1">
                  <c:v>9.866666666666668E-2</c:v>
                </c:pt>
                <c:pt idx="2">
                  <c:v>0.28633333333333333</c:v>
                </c:pt>
                <c:pt idx="3">
                  <c:v>0.41199999999999998</c:v>
                </c:pt>
                <c:pt idx="4">
                  <c:v>0.53566666666666662</c:v>
                </c:pt>
                <c:pt idx="5">
                  <c:v>0.73766666666666669</c:v>
                </c:pt>
                <c:pt idx="6">
                  <c:v>0.92866666666666664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7C-4573-BCD4-B7FDF4FE2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149903"/>
        <c:axId val="617154895"/>
      </c:scatterChart>
      <c:valAx>
        <c:axId val="617149903"/>
        <c:scaling>
          <c:orientation val="minMax"/>
          <c:max val="5.5"/>
          <c:min val="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Voltage</a:t>
                </a:r>
                <a:r>
                  <a:rPr lang="en-GB" altLang="zh-CN" baseline="0"/>
                  <a:t> (V)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54895"/>
        <c:crosses val="autoZero"/>
        <c:crossBetween val="midCat"/>
      </c:valAx>
      <c:valAx>
        <c:axId val="6171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altLang="zh-CN"/>
                  <a:t>Current</a:t>
                </a:r>
                <a:r>
                  <a:rPr lang="en-GB" altLang="zh-CN" baseline="0"/>
                  <a:t> (A)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714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</a:t>
            </a:r>
            <a:r>
              <a:rPr lang="en-GB" baseline="0"/>
              <a:t> Characteristic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('PV Panels Initial Draft'!$P$2,'PV Panels Initial Draft'!$P$4,'PV Panels Initial Draft'!$P$6)</c:f>
              <c:numCache>
                <c:formatCode>General</c:formatCode>
                <c:ptCount val="3"/>
                <c:pt idx="0">
                  <c:v>0.94500000000000006</c:v>
                </c:pt>
                <c:pt idx="1">
                  <c:v>7.0499999999999998E-3</c:v>
                </c:pt>
                <c:pt idx="2">
                  <c:v>6.0450999999999997</c:v>
                </c:pt>
              </c:numCache>
            </c:numRef>
          </c:xVal>
          <c:yVal>
            <c:numRef>
              <c:f>('PV Panels Initial Draft'!$Q$2,'PV Panels Initial Draft'!$Q$4,'PV Panels Initial Draft'!$Q$6)</c:f>
              <c:numCache>
                <c:formatCode>General</c:formatCode>
                <c:ptCount val="3"/>
                <c:pt idx="0">
                  <c:v>4.3749999999999997E-2</c:v>
                </c:pt>
                <c:pt idx="1">
                  <c:v>3.5250000000000004E-2</c:v>
                </c:pt>
                <c:pt idx="2">
                  <c:v>6.0999999999999999E-2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8F-4263-9428-B2062A5B81E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('PV Panels Initial Draft'!$P$3,'PV Panels Initial Draft'!$P$5,'PV Panels Initial Draft'!$P$7)</c:f>
              <c:numCache>
                <c:formatCode>General</c:formatCode>
                <c:ptCount val="3"/>
                <c:pt idx="0">
                  <c:v>1.68</c:v>
                </c:pt>
                <c:pt idx="1">
                  <c:v>1.6400000000000001E-2</c:v>
                </c:pt>
                <c:pt idx="2">
                  <c:v>7.7297999999999991</c:v>
                </c:pt>
              </c:numCache>
            </c:numRef>
          </c:xVal>
          <c:yVal>
            <c:numRef>
              <c:f>('PV Panels Initial Draft'!$Q$3,'PV Panels Initial Draft'!$Q$5,'PV Panels Initial Draft'!$Q$7)</c:f>
              <c:numCache>
                <c:formatCode>General</c:formatCode>
                <c:ptCount val="3"/>
                <c:pt idx="0">
                  <c:v>0.08</c:v>
                </c:pt>
                <c:pt idx="1">
                  <c:v>8.2000000000000003E-2</c:v>
                </c:pt>
                <c:pt idx="2">
                  <c:v>7.8E-2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8F-4263-9428-B2062A5B81EE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('PV Panels Initial Draft'!$A$23,'PV Panels Initial Draft'!$F$23,'PV Panels Initial Draft'!$K$23)</c:f>
              <c:numCache>
                <c:formatCode>General</c:formatCode>
                <c:ptCount val="3"/>
                <c:pt idx="0">
                  <c:v>0.14400000000000002</c:v>
                </c:pt>
                <c:pt idx="1">
                  <c:v>1.4000000000000002E-3</c:v>
                </c:pt>
                <c:pt idx="2">
                  <c:v>0.42943333333333333</c:v>
                </c:pt>
              </c:numCache>
            </c:numRef>
          </c:xVal>
          <c:yVal>
            <c:numRef>
              <c:f>('PV Panels Initial Draft'!$A$9,'PV Panels Initial Draft'!$F$9,'PV Panels Initial Draft'!$K$9)</c:f>
              <c:numCache>
                <c:formatCode>General</c:formatCode>
                <c:ptCount val="3"/>
                <c:pt idx="0">
                  <c:v>6.6666666666666671E-3</c:v>
                </c:pt>
                <c:pt idx="1">
                  <c:v>6.9999999999999993E-3</c:v>
                </c:pt>
                <c:pt idx="2">
                  <c:v>4.333333333333334E-3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8F-4263-9428-B2062A5B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4213040"/>
        <c:axId val="1994214704"/>
      </c:scatterChart>
      <c:valAx>
        <c:axId val="19942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214704"/>
        <c:crosses val="autoZero"/>
        <c:crossBetween val="midCat"/>
      </c:valAx>
      <c:valAx>
        <c:axId val="199421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942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Angle 1 (higher)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new'!$L$8:$L$55</c:f>
              <c:numCache>
                <c:formatCode>General</c:formatCode>
                <c:ptCount val="48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  <c:pt idx="45">
                  <c:v>5.8</c:v>
                </c:pt>
                <c:pt idx="46">
                  <c:v>5.79</c:v>
                </c:pt>
                <c:pt idx="47">
                  <c:v>5.79</c:v>
                </c:pt>
              </c:numCache>
            </c:numRef>
          </c:xVal>
          <c:yVal>
            <c:numRef>
              <c:f>'PV panel new'!$M$8:$M$55</c:f>
              <c:numCache>
                <c:formatCode>General</c:formatCode>
                <c:ptCount val="48"/>
                <c:pt idx="0">
                  <c:v>0.151</c:v>
                </c:pt>
                <c:pt idx="1">
                  <c:v>0.14799999999999999</c:v>
                </c:pt>
                <c:pt idx="2">
                  <c:v>0.14699999999999999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0.17199999999999999</c:v>
                </c:pt>
                <c:pt idx="7">
                  <c:v>0.17100000000000001</c:v>
                </c:pt>
                <c:pt idx="8">
                  <c:v>0.17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0.17599999999999999</c:v>
                </c:pt>
                <c:pt idx="12">
                  <c:v>0.17299999999999999</c:v>
                </c:pt>
                <c:pt idx="13">
                  <c:v>0.17199999999999999</c:v>
                </c:pt>
                <c:pt idx="14">
                  <c:v>0.16700000000000001</c:v>
                </c:pt>
                <c:pt idx="15">
                  <c:v>0.17</c:v>
                </c:pt>
                <c:pt idx="16">
                  <c:v>0.17399999999999999</c:v>
                </c:pt>
                <c:pt idx="17">
                  <c:v>0.17100000000000001</c:v>
                </c:pt>
                <c:pt idx="18">
                  <c:v>0.153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0.156</c:v>
                </c:pt>
                <c:pt idx="22">
                  <c:v>0.154</c:v>
                </c:pt>
                <c:pt idx="23">
                  <c:v>0.154</c:v>
                </c:pt>
                <c:pt idx="24">
                  <c:v>0.13100000000000001</c:v>
                </c:pt>
                <c:pt idx="25">
                  <c:v>0.13300000000000001</c:v>
                </c:pt>
                <c:pt idx="26">
                  <c:v>0.127</c:v>
                </c:pt>
                <c:pt idx="27">
                  <c:v>0.109</c:v>
                </c:pt>
                <c:pt idx="28">
                  <c:v>0.10199999999999999</c:v>
                </c:pt>
                <c:pt idx="29">
                  <c:v>0.105</c:v>
                </c:pt>
                <c:pt idx="30">
                  <c:v>7.4999999999999997E-2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5.1999999999999998E-2</c:v>
                </c:pt>
                <c:pt idx="38">
                  <c:v>5.3999999999999999E-2</c:v>
                </c:pt>
                <c:pt idx="39">
                  <c:v>3.9E-2</c:v>
                </c:pt>
                <c:pt idx="40">
                  <c:v>4.3999999999999997E-2</c:v>
                </c:pt>
                <c:pt idx="41">
                  <c:v>4.2999999999999997E-2</c:v>
                </c:pt>
                <c:pt idx="42">
                  <c:v>3.5999999999999997E-2</c:v>
                </c:pt>
                <c:pt idx="43">
                  <c:v>3.6999999999999998E-2</c:v>
                </c:pt>
                <c:pt idx="44">
                  <c:v>3.6999999999999998E-2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A-4BED-B812-48548D9C5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6827360"/>
        <c:axId val="2011146192"/>
      </c:scatterChart>
      <c:valAx>
        <c:axId val="194682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1146192"/>
        <c:crosses val="autoZero"/>
        <c:crossBetween val="midCat"/>
      </c:valAx>
      <c:valAx>
        <c:axId val="201114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46827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</a:t>
            </a:r>
            <a:r>
              <a:rPr lang="en-GB" altLang="zh-CN" baseline="0"/>
              <a:t> 2 (lower)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new'!$O$8:$O$52</c:f>
              <c:numCache>
                <c:formatCode>General</c:formatCode>
                <c:ptCount val="45"/>
                <c:pt idx="0">
                  <c:v>0.251</c:v>
                </c:pt>
                <c:pt idx="1">
                  <c:v>0.24299999999999999</c:v>
                </c:pt>
                <c:pt idx="2">
                  <c:v>0.248</c:v>
                </c:pt>
                <c:pt idx="3">
                  <c:v>0.23300000000000001</c:v>
                </c:pt>
                <c:pt idx="4">
                  <c:v>0.23499999999999999</c:v>
                </c:pt>
                <c:pt idx="5">
                  <c:v>0.23200000000000001</c:v>
                </c:pt>
                <c:pt idx="6">
                  <c:v>0.22700000000000001</c:v>
                </c:pt>
                <c:pt idx="7">
                  <c:v>0.23300000000000001</c:v>
                </c:pt>
                <c:pt idx="8">
                  <c:v>0.23200000000000001</c:v>
                </c:pt>
                <c:pt idx="9">
                  <c:v>0.24</c:v>
                </c:pt>
                <c:pt idx="10">
                  <c:v>0.23799999999999999</c:v>
                </c:pt>
                <c:pt idx="11">
                  <c:v>0.23899999999999999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0.23300000000000001</c:v>
                </c:pt>
                <c:pt idx="15">
                  <c:v>0.183</c:v>
                </c:pt>
                <c:pt idx="16">
                  <c:v>0.185</c:v>
                </c:pt>
                <c:pt idx="17">
                  <c:v>0.186</c:v>
                </c:pt>
                <c:pt idx="18">
                  <c:v>0.18099999999999999</c:v>
                </c:pt>
                <c:pt idx="19">
                  <c:v>0.185</c:v>
                </c:pt>
                <c:pt idx="20">
                  <c:v>0.183</c:v>
                </c:pt>
                <c:pt idx="21">
                  <c:v>0.152</c:v>
                </c:pt>
                <c:pt idx="22">
                  <c:v>0.15</c:v>
                </c:pt>
                <c:pt idx="23">
                  <c:v>0.14699999999999999</c:v>
                </c:pt>
                <c:pt idx="24">
                  <c:v>0.11799999999999999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0.10299999999999999</c:v>
                </c:pt>
                <c:pt idx="28">
                  <c:v>0.10100000000000001</c:v>
                </c:pt>
                <c:pt idx="29">
                  <c:v>9.8000000000000004E-2</c:v>
                </c:pt>
                <c:pt idx="30">
                  <c:v>5.3999999999999999E-2</c:v>
                </c:pt>
                <c:pt idx="31">
                  <c:v>5.8000000000000003E-2</c:v>
                </c:pt>
                <c:pt idx="32">
                  <c:v>5.2999999999999999E-2</c:v>
                </c:pt>
                <c:pt idx="33">
                  <c:v>4.3999999999999997E-2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2.5999999999999999E-2</c:v>
                </c:pt>
                <c:pt idx="37">
                  <c:v>2.1000000000000001E-2</c:v>
                </c:pt>
                <c:pt idx="38">
                  <c:v>0.02</c:v>
                </c:pt>
                <c:pt idx="39">
                  <c:v>8.9999999999999993E-3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C0-4F05-8843-94361D8CB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793807"/>
        <c:axId val="1909798799"/>
      </c:scatterChart>
      <c:valAx>
        <c:axId val="190979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798799"/>
        <c:crosses val="autoZero"/>
        <c:crossBetween val="midCat"/>
      </c:valAx>
      <c:valAx>
        <c:axId val="190979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979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IV Curve Combined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upper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panel new'!$L$8:$L$52</c:f>
              <c:numCache>
                <c:formatCode>General</c:formatCode>
                <c:ptCount val="45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</c:numCache>
            </c:numRef>
          </c:xVal>
          <c:yVal>
            <c:numRef>
              <c:f>'PV panel new'!$M$8:$M$52</c:f>
              <c:numCache>
                <c:formatCode>General</c:formatCode>
                <c:ptCount val="45"/>
                <c:pt idx="0">
                  <c:v>0.151</c:v>
                </c:pt>
                <c:pt idx="1">
                  <c:v>0.14799999999999999</c:v>
                </c:pt>
                <c:pt idx="2">
                  <c:v>0.14699999999999999</c:v>
                </c:pt>
                <c:pt idx="3">
                  <c:v>0.16800000000000001</c:v>
                </c:pt>
                <c:pt idx="4">
                  <c:v>0.16800000000000001</c:v>
                </c:pt>
                <c:pt idx="5">
                  <c:v>0.16700000000000001</c:v>
                </c:pt>
                <c:pt idx="6">
                  <c:v>0.17199999999999999</c:v>
                </c:pt>
                <c:pt idx="7">
                  <c:v>0.17100000000000001</c:v>
                </c:pt>
                <c:pt idx="8">
                  <c:v>0.17</c:v>
                </c:pt>
                <c:pt idx="9">
                  <c:v>0.17499999999999999</c:v>
                </c:pt>
                <c:pt idx="10">
                  <c:v>0.17699999999999999</c:v>
                </c:pt>
                <c:pt idx="11">
                  <c:v>0.17599999999999999</c:v>
                </c:pt>
                <c:pt idx="12">
                  <c:v>0.17299999999999999</c:v>
                </c:pt>
                <c:pt idx="13">
                  <c:v>0.17199999999999999</c:v>
                </c:pt>
                <c:pt idx="14">
                  <c:v>0.16700000000000001</c:v>
                </c:pt>
                <c:pt idx="15">
                  <c:v>0.17</c:v>
                </c:pt>
                <c:pt idx="16">
                  <c:v>0.17399999999999999</c:v>
                </c:pt>
                <c:pt idx="17">
                  <c:v>0.17100000000000001</c:v>
                </c:pt>
                <c:pt idx="18">
                  <c:v>0.153</c:v>
                </c:pt>
                <c:pt idx="19">
                  <c:v>0.14799999999999999</c:v>
                </c:pt>
                <c:pt idx="20">
                  <c:v>0.158</c:v>
                </c:pt>
                <c:pt idx="21">
                  <c:v>0.156</c:v>
                </c:pt>
                <c:pt idx="22">
                  <c:v>0.154</c:v>
                </c:pt>
                <c:pt idx="23">
                  <c:v>0.154</c:v>
                </c:pt>
                <c:pt idx="24">
                  <c:v>0.13100000000000001</c:v>
                </c:pt>
                <c:pt idx="25">
                  <c:v>0.13300000000000001</c:v>
                </c:pt>
                <c:pt idx="26">
                  <c:v>0.127</c:v>
                </c:pt>
                <c:pt idx="27">
                  <c:v>0.109</c:v>
                </c:pt>
                <c:pt idx="28">
                  <c:v>0.10199999999999999</c:v>
                </c:pt>
                <c:pt idx="29">
                  <c:v>0.105</c:v>
                </c:pt>
                <c:pt idx="30">
                  <c:v>7.4999999999999997E-2</c:v>
                </c:pt>
                <c:pt idx="31">
                  <c:v>7.0999999999999994E-2</c:v>
                </c:pt>
                <c:pt idx="32">
                  <c:v>7.0000000000000007E-2</c:v>
                </c:pt>
                <c:pt idx="33">
                  <c:v>5.1999999999999998E-2</c:v>
                </c:pt>
                <c:pt idx="34">
                  <c:v>5.0999999999999997E-2</c:v>
                </c:pt>
                <c:pt idx="35">
                  <c:v>5.2999999999999999E-2</c:v>
                </c:pt>
                <c:pt idx="36">
                  <c:v>5.2999999999999999E-2</c:v>
                </c:pt>
                <c:pt idx="37">
                  <c:v>5.1999999999999998E-2</c:v>
                </c:pt>
                <c:pt idx="38">
                  <c:v>5.3999999999999999E-2</c:v>
                </c:pt>
                <c:pt idx="39">
                  <c:v>3.9E-2</c:v>
                </c:pt>
                <c:pt idx="40">
                  <c:v>4.3999999999999997E-2</c:v>
                </c:pt>
                <c:pt idx="41">
                  <c:v>4.2999999999999997E-2</c:v>
                </c:pt>
                <c:pt idx="42">
                  <c:v>3.5999999999999997E-2</c:v>
                </c:pt>
                <c:pt idx="43">
                  <c:v>3.6999999999999998E-2</c:v>
                </c:pt>
                <c:pt idx="44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72-42BD-B48F-1FF3ECDE1270}"/>
            </c:ext>
          </c:extLst>
        </c:ser>
        <c:ser>
          <c:idx val="0"/>
          <c:order val="1"/>
          <c:tx>
            <c:v>lower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new'!$O$8:$O$52</c:f>
              <c:numCache>
                <c:formatCode>General</c:formatCode>
                <c:ptCount val="45"/>
                <c:pt idx="0">
                  <c:v>0.251</c:v>
                </c:pt>
                <c:pt idx="1">
                  <c:v>0.24299999999999999</c:v>
                </c:pt>
                <c:pt idx="2">
                  <c:v>0.248</c:v>
                </c:pt>
                <c:pt idx="3">
                  <c:v>0.23300000000000001</c:v>
                </c:pt>
                <c:pt idx="4">
                  <c:v>0.23499999999999999</c:v>
                </c:pt>
                <c:pt idx="5">
                  <c:v>0.23200000000000001</c:v>
                </c:pt>
                <c:pt idx="6">
                  <c:v>0.22700000000000001</c:v>
                </c:pt>
                <c:pt idx="7">
                  <c:v>0.23300000000000001</c:v>
                </c:pt>
                <c:pt idx="8">
                  <c:v>0.23200000000000001</c:v>
                </c:pt>
                <c:pt idx="9">
                  <c:v>0.24</c:v>
                </c:pt>
                <c:pt idx="10">
                  <c:v>0.23799999999999999</c:v>
                </c:pt>
                <c:pt idx="11">
                  <c:v>0.23899999999999999</c:v>
                </c:pt>
                <c:pt idx="12">
                  <c:v>0.23200000000000001</c:v>
                </c:pt>
                <c:pt idx="13">
                  <c:v>0.23300000000000001</c:v>
                </c:pt>
                <c:pt idx="14">
                  <c:v>0.23300000000000001</c:v>
                </c:pt>
                <c:pt idx="15">
                  <c:v>0.183</c:v>
                </c:pt>
                <c:pt idx="16">
                  <c:v>0.185</c:v>
                </c:pt>
                <c:pt idx="17">
                  <c:v>0.186</c:v>
                </c:pt>
                <c:pt idx="18">
                  <c:v>0.18099999999999999</c:v>
                </c:pt>
                <c:pt idx="19">
                  <c:v>0.185</c:v>
                </c:pt>
                <c:pt idx="20">
                  <c:v>0.183</c:v>
                </c:pt>
                <c:pt idx="21">
                  <c:v>0.152</c:v>
                </c:pt>
                <c:pt idx="22">
                  <c:v>0.15</c:v>
                </c:pt>
                <c:pt idx="23">
                  <c:v>0.14699999999999999</c:v>
                </c:pt>
                <c:pt idx="24">
                  <c:v>0.11799999999999999</c:v>
                </c:pt>
                <c:pt idx="25">
                  <c:v>0.12</c:v>
                </c:pt>
                <c:pt idx="26">
                  <c:v>0.125</c:v>
                </c:pt>
                <c:pt idx="27">
                  <c:v>0.10299999999999999</c:v>
                </c:pt>
                <c:pt idx="28">
                  <c:v>0.10100000000000001</c:v>
                </c:pt>
                <c:pt idx="29">
                  <c:v>9.8000000000000004E-2</c:v>
                </c:pt>
                <c:pt idx="30">
                  <c:v>5.3999999999999999E-2</c:v>
                </c:pt>
                <c:pt idx="31">
                  <c:v>5.8000000000000003E-2</c:v>
                </c:pt>
                <c:pt idx="32">
                  <c:v>5.2999999999999999E-2</c:v>
                </c:pt>
                <c:pt idx="33">
                  <c:v>4.3999999999999997E-2</c:v>
                </c:pt>
                <c:pt idx="34">
                  <c:v>4.3999999999999997E-2</c:v>
                </c:pt>
                <c:pt idx="35">
                  <c:v>4.4999999999999998E-2</c:v>
                </c:pt>
                <c:pt idx="36">
                  <c:v>2.5999999999999999E-2</c:v>
                </c:pt>
                <c:pt idx="37">
                  <c:v>2.1000000000000001E-2</c:v>
                </c:pt>
                <c:pt idx="38">
                  <c:v>0.02</c:v>
                </c:pt>
                <c:pt idx="39">
                  <c:v>8.9999999999999993E-3</c:v>
                </c:pt>
                <c:pt idx="40">
                  <c:v>1.0999999999999999E-2</c:v>
                </c:pt>
                <c:pt idx="41">
                  <c:v>0.01</c:v>
                </c:pt>
                <c:pt idx="42">
                  <c:v>6.0000000000000001E-3</c:v>
                </c:pt>
                <c:pt idx="43">
                  <c:v>3.0000000000000001E-3</c:v>
                </c:pt>
                <c:pt idx="44">
                  <c:v>5.0000000000000001E-3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2-42BD-B48F-1FF3ECDE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83887"/>
        <c:axId val="1876792207"/>
      </c:scatterChart>
      <c:valAx>
        <c:axId val="18767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92207"/>
        <c:crosses val="autoZero"/>
        <c:crossBetween val="midCat"/>
      </c:valAx>
      <c:valAx>
        <c:axId val="1876792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76783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</a:t>
            </a:r>
            <a:r>
              <a:rPr lang="en-GB" altLang="zh-CN" baseline="0"/>
              <a:t> 1 - VP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new'!$L$8:$L$51</c:f>
              <c:numCache>
                <c:formatCode>General</c:formatCode>
                <c:ptCount val="44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</c:numCache>
            </c:numRef>
          </c:xVal>
          <c:yVal>
            <c:numRef>
              <c:f>'PV panel new'!$R$8:$R$52</c:f>
              <c:numCache>
                <c:formatCode>General</c:formatCode>
                <c:ptCount val="45"/>
                <c:pt idx="0">
                  <c:v>2.69082E-2</c:v>
                </c:pt>
                <c:pt idx="1">
                  <c:v>2.6136799999999998E-2</c:v>
                </c:pt>
                <c:pt idx="2">
                  <c:v>2.5901399999999998E-2</c:v>
                </c:pt>
                <c:pt idx="3">
                  <c:v>9.7103999999999996E-2</c:v>
                </c:pt>
                <c:pt idx="4">
                  <c:v>9.7439999999999999E-2</c:v>
                </c:pt>
                <c:pt idx="5">
                  <c:v>9.7361000000000003E-2</c:v>
                </c:pt>
                <c:pt idx="6">
                  <c:v>0.29842000000000002</c:v>
                </c:pt>
                <c:pt idx="7">
                  <c:v>0.29925000000000002</c:v>
                </c:pt>
                <c:pt idx="8">
                  <c:v>0.29766999999999999</c:v>
                </c:pt>
                <c:pt idx="9">
                  <c:v>0.44974999999999993</c:v>
                </c:pt>
                <c:pt idx="10">
                  <c:v>0.45488999999999996</c:v>
                </c:pt>
                <c:pt idx="11">
                  <c:v>0.45055999999999996</c:v>
                </c:pt>
                <c:pt idx="12">
                  <c:v>0.57955000000000001</c:v>
                </c:pt>
                <c:pt idx="13">
                  <c:v>0.58135999999999999</c:v>
                </c:pt>
                <c:pt idx="14">
                  <c:v>0.56947000000000003</c:v>
                </c:pt>
                <c:pt idx="15">
                  <c:v>0.70550000000000013</c:v>
                </c:pt>
                <c:pt idx="16">
                  <c:v>0.72209999999999996</c:v>
                </c:pt>
                <c:pt idx="17">
                  <c:v>0.70965000000000011</c:v>
                </c:pt>
                <c:pt idx="18">
                  <c:v>0.73899000000000004</c:v>
                </c:pt>
                <c:pt idx="19">
                  <c:v>0.70891999999999999</c:v>
                </c:pt>
                <c:pt idx="20">
                  <c:v>0.75682000000000005</c:v>
                </c:pt>
                <c:pt idx="21">
                  <c:v>0.81588000000000005</c:v>
                </c:pt>
                <c:pt idx="22">
                  <c:v>0.80387999999999993</c:v>
                </c:pt>
                <c:pt idx="23">
                  <c:v>0.80233999999999994</c:v>
                </c:pt>
                <c:pt idx="24">
                  <c:v>0.67727000000000004</c:v>
                </c:pt>
                <c:pt idx="25">
                  <c:v>0.68362000000000001</c:v>
                </c:pt>
                <c:pt idx="26">
                  <c:v>0.65405000000000002</c:v>
                </c:pt>
                <c:pt idx="27">
                  <c:v>0.59841</c:v>
                </c:pt>
                <c:pt idx="28">
                  <c:v>0.55896000000000001</c:v>
                </c:pt>
                <c:pt idx="29">
                  <c:v>0.57434999999999992</c:v>
                </c:pt>
                <c:pt idx="30">
                  <c:v>0.42375000000000002</c:v>
                </c:pt>
                <c:pt idx="31">
                  <c:v>0.40043999999999996</c:v>
                </c:pt>
                <c:pt idx="32">
                  <c:v>0.39410000000000001</c:v>
                </c:pt>
                <c:pt idx="33">
                  <c:v>0.29431999999999997</c:v>
                </c:pt>
                <c:pt idx="34">
                  <c:v>0.28865999999999997</c:v>
                </c:pt>
                <c:pt idx="35">
                  <c:v>0.29944999999999999</c:v>
                </c:pt>
                <c:pt idx="36">
                  <c:v>0.30421999999999999</c:v>
                </c:pt>
                <c:pt idx="37">
                  <c:v>0.29848000000000002</c:v>
                </c:pt>
                <c:pt idx="38">
                  <c:v>0.30887999999999999</c:v>
                </c:pt>
                <c:pt idx="39">
                  <c:v>0.22619999999999998</c:v>
                </c:pt>
                <c:pt idx="40">
                  <c:v>0.25519999999999998</c:v>
                </c:pt>
                <c:pt idx="41">
                  <c:v>0.24939999999999998</c:v>
                </c:pt>
                <c:pt idx="42">
                  <c:v>0.20987999999999998</c:v>
                </c:pt>
                <c:pt idx="43">
                  <c:v>0.21570999999999999</c:v>
                </c:pt>
                <c:pt idx="44">
                  <c:v>0.21534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2A-4DA9-99F1-9086EE6EA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98528"/>
        <c:axId val="1904795200"/>
      </c:scatterChart>
      <c:valAx>
        <c:axId val="190479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5200"/>
        <c:crosses val="autoZero"/>
        <c:crossBetween val="midCat"/>
      </c:valAx>
      <c:valAx>
        <c:axId val="19047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47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Angle 2 - VP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new'!$S$8:$S$52</c:f>
              <c:numCache>
                <c:formatCode>General</c:formatCode>
                <c:ptCount val="45"/>
                <c:pt idx="0">
                  <c:v>6.5762000000000001E-2</c:v>
                </c:pt>
                <c:pt idx="1">
                  <c:v>6.3666E-2</c:v>
                </c:pt>
                <c:pt idx="2">
                  <c:v>6.4728000000000008E-2</c:v>
                </c:pt>
                <c:pt idx="3">
                  <c:v>0.190827</c:v>
                </c:pt>
                <c:pt idx="4">
                  <c:v>0.19246499999999997</c:v>
                </c:pt>
                <c:pt idx="5">
                  <c:v>0.189776</c:v>
                </c:pt>
                <c:pt idx="6">
                  <c:v>0.53799000000000008</c:v>
                </c:pt>
                <c:pt idx="7">
                  <c:v>0.55920000000000003</c:v>
                </c:pt>
                <c:pt idx="8">
                  <c:v>0.55912000000000006</c:v>
                </c:pt>
                <c:pt idx="9">
                  <c:v>0.89280000000000004</c:v>
                </c:pt>
                <c:pt idx="10">
                  <c:v>0.88060000000000005</c:v>
                </c:pt>
                <c:pt idx="11">
                  <c:v>0.88907999999999998</c:v>
                </c:pt>
                <c:pt idx="12">
                  <c:v>1.0602400000000001</c:v>
                </c:pt>
                <c:pt idx="13">
                  <c:v>1.06481</c:v>
                </c:pt>
                <c:pt idx="14">
                  <c:v>1.0624799999999999</c:v>
                </c:pt>
                <c:pt idx="15">
                  <c:v>0.91682999999999992</c:v>
                </c:pt>
                <c:pt idx="16">
                  <c:v>0.93424999999999991</c:v>
                </c:pt>
                <c:pt idx="17">
                  <c:v>0.94115999999999989</c:v>
                </c:pt>
                <c:pt idx="18">
                  <c:v>0.93215000000000003</c:v>
                </c:pt>
                <c:pt idx="19">
                  <c:v>0.9546</c:v>
                </c:pt>
                <c:pt idx="20">
                  <c:v>0.94428000000000001</c:v>
                </c:pt>
                <c:pt idx="21">
                  <c:v>0.8192799999999999</c:v>
                </c:pt>
                <c:pt idx="22">
                  <c:v>0.80849999999999989</c:v>
                </c:pt>
                <c:pt idx="23">
                  <c:v>0.7908599999999999</c:v>
                </c:pt>
                <c:pt idx="24">
                  <c:v>0.65135999999999994</c:v>
                </c:pt>
                <c:pt idx="25">
                  <c:v>0.66239999999999988</c:v>
                </c:pt>
                <c:pt idx="26">
                  <c:v>0.69</c:v>
                </c:pt>
                <c:pt idx="27">
                  <c:v>0.58606999999999998</c:v>
                </c:pt>
                <c:pt idx="28">
                  <c:v>0.57267000000000001</c:v>
                </c:pt>
                <c:pt idx="29">
                  <c:v>0.55468000000000006</c:v>
                </c:pt>
                <c:pt idx="30">
                  <c:v>0.31428</c:v>
                </c:pt>
                <c:pt idx="31">
                  <c:v>0.33756000000000003</c:v>
                </c:pt>
                <c:pt idx="32">
                  <c:v>0.30792999999999998</c:v>
                </c:pt>
                <c:pt idx="33">
                  <c:v>0.25915999999999995</c:v>
                </c:pt>
                <c:pt idx="34">
                  <c:v>0.25872000000000001</c:v>
                </c:pt>
                <c:pt idx="35">
                  <c:v>0.26369999999999999</c:v>
                </c:pt>
                <c:pt idx="36">
                  <c:v>0.15522</c:v>
                </c:pt>
                <c:pt idx="37">
                  <c:v>0.12474000000000002</c:v>
                </c:pt>
                <c:pt idx="38">
                  <c:v>0.11800000000000001</c:v>
                </c:pt>
                <c:pt idx="39">
                  <c:v>5.391E-2</c:v>
                </c:pt>
                <c:pt idx="40">
                  <c:v>6.5780000000000005E-2</c:v>
                </c:pt>
                <c:pt idx="41">
                  <c:v>5.9699999999999996E-2</c:v>
                </c:pt>
                <c:pt idx="42">
                  <c:v>3.576E-2</c:v>
                </c:pt>
                <c:pt idx="43">
                  <c:v>1.7820000000000003E-2</c:v>
                </c:pt>
                <c:pt idx="44">
                  <c:v>2.9649999999999999E-2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E9-40DE-A64C-0B46A8B60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85728"/>
        <c:axId val="975390304"/>
      </c:scatterChart>
      <c:valAx>
        <c:axId val="97538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0304"/>
        <c:crosses val="autoZero"/>
        <c:crossBetween val="midCat"/>
      </c:valAx>
      <c:valAx>
        <c:axId val="9753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8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VP Curve</a:t>
            </a:r>
            <a:r>
              <a:rPr lang="en-GB" altLang="zh-CN" baseline="0"/>
              <a:t> Combined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 new'!$L$8:$L$52</c:f>
              <c:numCache>
                <c:formatCode>General</c:formatCode>
                <c:ptCount val="45"/>
                <c:pt idx="0">
                  <c:v>0.1782</c:v>
                </c:pt>
                <c:pt idx="1">
                  <c:v>0.17660000000000001</c:v>
                </c:pt>
                <c:pt idx="2">
                  <c:v>0.1762</c:v>
                </c:pt>
                <c:pt idx="3">
                  <c:v>0.57799999999999996</c:v>
                </c:pt>
                <c:pt idx="4">
                  <c:v>0.57999999999999996</c:v>
                </c:pt>
                <c:pt idx="5">
                  <c:v>0.58299999999999996</c:v>
                </c:pt>
                <c:pt idx="6">
                  <c:v>1.7350000000000001</c:v>
                </c:pt>
                <c:pt idx="7">
                  <c:v>1.75</c:v>
                </c:pt>
                <c:pt idx="8">
                  <c:v>1.7509999999999999</c:v>
                </c:pt>
                <c:pt idx="9">
                  <c:v>2.57</c:v>
                </c:pt>
                <c:pt idx="10">
                  <c:v>2.57</c:v>
                </c:pt>
                <c:pt idx="11">
                  <c:v>2.56</c:v>
                </c:pt>
                <c:pt idx="12">
                  <c:v>3.35</c:v>
                </c:pt>
                <c:pt idx="13">
                  <c:v>3.38</c:v>
                </c:pt>
                <c:pt idx="14">
                  <c:v>3.41</c:v>
                </c:pt>
                <c:pt idx="15">
                  <c:v>4.1500000000000004</c:v>
                </c:pt>
                <c:pt idx="16">
                  <c:v>4.1500000000000004</c:v>
                </c:pt>
                <c:pt idx="17">
                  <c:v>4.1500000000000004</c:v>
                </c:pt>
                <c:pt idx="18">
                  <c:v>4.83</c:v>
                </c:pt>
                <c:pt idx="19">
                  <c:v>4.79</c:v>
                </c:pt>
                <c:pt idx="20">
                  <c:v>4.79</c:v>
                </c:pt>
                <c:pt idx="21">
                  <c:v>5.23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5.14</c:v>
                </c:pt>
                <c:pt idx="26">
                  <c:v>5.15</c:v>
                </c:pt>
                <c:pt idx="27">
                  <c:v>5.49</c:v>
                </c:pt>
                <c:pt idx="28">
                  <c:v>5.48</c:v>
                </c:pt>
                <c:pt idx="29">
                  <c:v>5.47</c:v>
                </c:pt>
                <c:pt idx="30">
                  <c:v>5.65</c:v>
                </c:pt>
                <c:pt idx="31">
                  <c:v>5.64</c:v>
                </c:pt>
                <c:pt idx="32">
                  <c:v>5.63</c:v>
                </c:pt>
                <c:pt idx="33">
                  <c:v>5.66</c:v>
                </c:pt>
                <c:pt idx="34">
                  <c:v>5.66</c:v>
                </c:pt>
                <c:pt idx="35">
                  <c:v>5.65</c:v>
                </c:pt>
                <c:pt idx="36">
                  <c:v>5.74</c:v>
                </c:pt>
                <c:pt idx="37">
                  <c:v>5.74</c:v>
                </c:pt>
                <c:pt idx="38">
                  <c:v>5.72</c:v>
                </c:pt>
                <c:pt idx="39">
                  <c:v>5.8</c:v>
                </c:pt>
                <c:pt idx="40">
                  <c:v>5.8</c:v>
                </c:pt>
                <c:pt idx="41">
                  <c:v>5.8</c:v>
                </c:pt>
                <c:pt idx="42">
                  <c:v>5.83</c:v>
                </c:pt>
                <c:pt idx="43">
                  <c:v>5.83</c:v>
                </c:pt>
                <c:pt idx="44">
                  <c:v>5.82</c:v>
                </c:pt>
              </c:numCache>
            </c:numRef>
          </c:xVal>
          <c:yVal>
            <c:numRef>
              <c:f>'PV panel new'!$R$8:$R$52</c:f>
              <c:numCache>
                <c:formatCode>General</c:formatCode>
                <c:ptCount val="45"/>
                <c:pt idx="0">
                  <c:v>2.69082E-2</c:v>
                </c:pt>
                <c:pt idx="1">
                  <c:v>2.6136799999999998E-2</c:v>
                </c:pt>
                <c:pt idx="2">
                  <c:v>2.5901399999999998E-2</c:v>
                </c:pt>
                <c:pt idx="3">
                  <c:v>9.7103999999999996E-2</c:v>
                </c:pt>
                <c:pt idx="4">
                  <c:v>9.7439999999999999E-2</c:v>
                </c:pt>
                <c:pt idx="5">
                  <c:v>9.7361000000000003E-2</c:v>
                </c:pt>
                <c:pt idx="6">
                  <c:v>0.29842000000000002</c:v>
                </c:pt>
                <c:pt idx="7">
                  <c:v>0.29925000000000002</c:v>
                </c:pt>
                <c:pt idx="8">
                  <c:v>0.29766999999999999</c:v>
                </c:pt>
                <c:pt idx="9">
                  <c:v>0.44974999999999993</c:v>
                </c:pt>
                <c:pt idx="10">
                  <c:v>0.45488999999999996</c:v>
                </c:pt>
                <c:pt idx="11">
                  <c:v>0.45055999999999996</c:v>
                </c:pt>
                <c:pt idx="12">
                  <c:v>0.57955000000000001</c:v>
                </c:pt>
                <c:pt idx="13">
                  <c:v>0.58135999999999999</c:v>
                </c:pt>
                <c:pt idx="14">
                  <c:v>0.56947000000000003</c:v>
                </c:pt>
                <c:pt idx="15">
                  <c:v>0.70550000000000013</c:v>
                </c:pt>
                <c:pt idx="16">
                  <c:v>0.72209999999999996</c:v>
                </c:pt>
                <c:pt idx="17">
                  <c:v>0.70965000000000011</c:v>
                </c:pt>
                <c:pt idx="18">
                  <c:v>0.73899000000000004</c:v>
                </c:pt>
                <c:pt idx="19">
                  <c:v>0.70891999999999999</c:v>
                </c:pt>
                <c:pt idx="20">
                  <c:v>0.75682000000000005</c:v>
                </c:pt>
                <c:pt idx="21">
                  <c:v>0.81588000000000005</c:v>
                </c:pt>
                <c:pt idx="22">
                  <c:v>0.80387999999999993</c:v>
                </c:pt>
                <c:pt idx="23">
                  <c:v>0.80233999999999994</c:v>
                </c:pt>
                <c:pt idx="24">
                  <c:v>0.67727000000000004</c:v>
                </c:pt>
                <c:pt idx="25">
                  <c:v>0.68362000000000001</c:v>
                </c:pt>
                <c:pt idx="26">
                  <c:v>0.65405000000000002</c:v>
                </c:pt>
                <c:pt idx="27">
                  <c:v>0.59841</c:v>
                </c:pt>
                <c:pt idx="28">
                  <c:v>0.55896000000000001</c:v>
                </c:pt>
                <c:pt idx="29">
                  <c:v>0.57434999999999992</c:v>
                </c:pt>
                <c:pt idx="30">
                  <c:v>0.42375000000000002</c:v>
                </c:pt>
                <c:pt idx="31">
                  <c:v>0.40043999999999996</c:v>
                </c:pt>
                <c:pt idx="32">
                  <c:v>0.39410000000000001</c:v>
                </c:pt>
                <c:pt idx="33">
                  <c:v>0.29431999999999997</c:v>
                </c:pt>
                <c:pt idx="34">
                  <c:v>0.28865999999999997</c:v>
                </c:pt>
                <c:pt idx="35">
                  <c:v>0.29944999999999999</c:v>
                </c:pt>
                <c:pt idx="36">
                  <c:v>0.30421999999999999</c:v>
                </c:pt>
                <c:pt idx="37">
                  <c:v>0.29848000000000002</c:v>
                </c:pt>
                <c:pt idx="38">
                  <c:v>0.30887999999999999</c:v>
                </c:pt>
                <c:pt idx="39">
                  <c:v>0.22619999999999998</c:v>
                </c:pt>
                <c:pt idx="40">
                  <c:v>0.25519999999999998</c:v>
                </c:pt>
                <c:pt idx="41">
                  <c:v>0.24939999999999998</c:v>
                </c:pt>
                <c:pt idx="42">
                  <c:v>0.20987999999999998</c:v>
                </c:pt>
                <c:pt idx="43">
                  <c:v>0.21570999999999999</c:v>
                </c:pt>
                <c:pt idx="44">
                  <c:v>0.21534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5-4FD7-A7EC-1987829CB8BD}"/>
            </c:ext>
          </c:extLst>
        </c:ser>
        <c:ser>
          <c:idx val="1"/>
          <c:order val="1"/>
          <c:tx>
            <c:v>lower angle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'PV panel new'!$N$8:$N$52</c:f>
              <c:numCache>
                <c:formatCode>General</c:formatCode>
                <c:ptCount val="45"/>
                <c:pt idx="0">
                  <c:v>0.26200000000000001</c:v>
                </c:pt>
                <c:pt idx="1">
                  <c:v>0.26200000000000001</c:v>
                </c:pt>
                <c:pt idx="2">
                  <c:v>0.26100000000000001</c:v>
                </c:pt>
                <c:pt idx="3">
                  <c:v>0.81899999999999995</c:v>
                </c:pt>
                <c:pt idx="4">
                  <c:v>0.81899999999999995</c:v>
                </c:pt>
                <c:pt idx="5">
                  <c:v>0.81799999999999995</c:v>
                </c:pt>
                <c:pt idx="6">
                  <c:v>2.37</c:v>
                </c:pt>
                <c:pt idx="7">
                  <c:v>2.4</c:v>
                </c:pt>
                <c:pt idx="8">
                  <c:v>2.41</c:v>
                </c:pt>
                <c:pt idx="9">
                  <c:v>3.72</c:v>
                </c:pt>
                <c:pt idx="10">
                  <c:v>3.7</c:v>
                </c:pt>
                <c:pt idx="11">
                  <c:v>3.72</c:v>
                </c:pt>
                <c:pt idx="12">
                  <c:v>4.57</c:v>
                </c:pt>
                <c:pt idx="13">
                  <c:v>4.57</c:v>
                </c:pt>
                <c:pt idx="14">
                  <c:v>4.5599999999999996</c:v>
                </c:pt>
                <c:pt idx="15">
                  <c:v>5.01</c:v>
                </c:pt>
                <c:pt idx="16">
                  <c:v>5.05</c:v>
                </c:pt>
                <c:pt idx="17">
                  <c:v>5.0599999999999996</c:v>
                </c:pt>
                <c:pt idx="18">
                  <c:v>5.15</c:v>
                </c:pt>
                <c:pt idx="19">
                  <c:v>5.16</c:v>
                </c:pt>
                <c:pt idx="20">
                  <c:v>5.16</c:v>
                </c:pt>
                <c:pt idx="21">
                  <c:v>5.39</c:v>
                </c:pt>
                <c:pt idx="22">
                  <c:v>5.39</c:v>
                </c:pt>
                <c:pt idx="23">
                  <c:v>5.38</c:v>
                </c:pt>
                <c:pt idx="24">
                  <c:v>5.52</c:v>
                </c:pt>
                <c:pt idx="25">
                  <c:v>5.52</c:v>
                </c:pt>
                <c:pt idx="26">
                  <c:v>5.52</c:v>
                </c:pt>
                <c:pt idx="27">
                  <c:v>5.69</c:v>
                </c:pt>
                <c:pt idx="28">
                  <c:v>5.67</c:v>
                </c:pt>
                <c:pt idx="29">
                  <c:v>5.66</c:v>
                </c:pt>
                <c:pt idx="30">
                  <c:v>5.82</c:v>
                </c:pt>
                <c:pt idx="31">
                  <c:v>5.82</c:v>
                </c:pt>
                <c:pt idx="32">
                  <c:v>5.81</c:v>
                </c:pt>
                <c:pt idx="33">
                  <c:v>5.89</c:v>
                </c:pt>
                <c:pt idx="34">
                  <c:v>5.88</c:v>
                </c:pt>
                <c:pt idx="35">
                  <c:v>5.86</c:v>
                </c:pt>
                <c:pt idx="36">
                  <c:v>5.97</c:v>
                </c:pt>
                <c:pt idx="37">
                  <c:v>5.94</c:v>
                </c:pt>
                <c:pt idx="38">
                  <c:v>5.9</c:v>
                </c:pt>
                <c:pt idx="39">
                  <c:v>5.99</c:v>
                </c:pt>
                <c:pt idx="40">
                  <c:v>5.98</c:v>
                </c:pt>
                <c:pt idx="41">
                  <c:v>5.97</c:v>
                </c:pt>
                <c:pt idx="42">
                  <c:v>5.96</c:v>
                </c:pt>
                <c:pt idx="43">
                  <c:v>5.94</c:v>
                </c:pt>
                <c:pt idx="44">
                  <c:v>5.93</c:v>
                </c:pt>
              </c:numCache>
            </c:numRef>
          </c:xVal>
          <c:yVal>
            <c:numRef>
              <c:f>'PV panel new'!$S$8:$S$52</c:f>
              <c:numCache>
                <c:formatCode>General</c:formatCode>
                <c:ptCount val="45"/>
                <c:pt idx="0">
                  <c:v>6.5762000000000001E-2</c:v>
                </c:pt>
                <c:pt idx="1">
                  <c:v>6.3666E-2</c:v>
                </c:pt>
                <c:pt idx="2">
                  <c:v>6.4728000000000008E-2</c:v>
                </c:pt>
                <c:pt idx="3">
                  <c:v>0.190827</c:v>
                </c:pt>
                <c:pt idx="4">
                  <c:v>0.19246499999999997</c:v>
                </c:pt>
                <c:pt idx="5">
                  <c:v>0.189776</c:v>
                </c:pt>
                <c:pt idx="6">
                  <c:v>0.53799000000000008</c:v>
                </c:pt>
                <c:pt idx="7">
                  <c:v>0.55920000000000003</c:v>
                </c:pt>
                <c:pt idx="8">
                  <c:v>0.55912000000000006</c:v>
                </c:pt>
                <c:pt idx="9">
                  <c:v>0.89280000000000004</c:v>
                </c:pt>
                <c:pt idx="10">
                  <c:v>0.88060000000000005</c:v>
                </c:pt>
                <c:pt idx="11">
                  <c:v>0.88907999999999998</c:v>
                </c:pt>
                <c:pt idx="12">
                  <c:v>1.0602400000000001</c:v>
                </c:pt>
                <c:pt idx="13">
                  <c:v>1.06481</c:v>
                </c:pt>
                <c:pt idx="14">
                  <c:v>1.0624799999999999</c:v>
                </c:pt>
                <c:pt idx="15">
                  <c:v>0.91682999999999992</c:v>
                </c:pt>
                <c:pt idx="16">
                  <c:v>0.93424999999999991</c:v>
                </c:pt>
                <c:pt idx="17">
                  <c:v>0.94115999999999989</c:v>
                </c:pt>
                <c:pt idx="18">
                  <c:v>0.93215000000000003</c:v>
                </c:pt>
                <c:pt idx="19">
                  <c:v>0.9546</c:v>
                </c:pt>
                <c:pt idx="20">
                  <c:v>0.94428000000000001</c:v>
                </c:pt>
                <c:pt idx="21">
                  <c:v>0.8192799999999999</c:v>
                </c:pt>
                <c:pt idx="22">
                  <c:v>0.80849999999999989</c:v>
                </c:pt>
                <c:pt idx="23">
                  <c:v>0.7908599999999999</c:v>
                </c:pt>
                <c:pt idx="24">
                  <c:v>0.65135999999999994</c:v>
                </c:pt>
                <c:pt idx="25">
                  <c:v>0.66239999999999988</c:v>
                </c:pt>
                <c:pt idx="26">
                  <c:v>0.69</c:v>
                </c:pt>
                <c:pt idx="27">
                  <c:v>0.58606999999999998</c:v>
                </c:pt>
                <c:pt idx="28">
                  <c:v>0.57267000000000001</c:v>
                </c:pt>
                <c:pt idx="29">
                  <c:v>0.55468000000000006</c:v>
                </c:pt>
                <c:pt idx="30">
                  <c:v>0.31428</c:v>
                </c:pt>
                <c:pt idx="31">
                  <c:v>0.33756000000000003</c:v>
                </c:pt>
                <c:pt idx="32">
                  <c:v>0.30792999999999998</c:v>
                </c:pt>
                <c:pt idx="33">
                  <c:v>0.25915999999999995</c:v>
                </c:pt>
                <c:pt idx="34">
                  <c:v>0.25872000000000001</c:v>
                </c:pt>
                <c:pt idx="35">
                  <c:v>0.26369999999999999</c:v>
                </c:pt>
                <c:pt idx="36">
                  <c:v>0.15522</c:v>
                </c:pt>
                <c:pt idx="37">
                  <c:v>0.12474000000000002</c:v>
                </c:pt>
                <c:pt idx="38">
                  <c:v>0.11800000000000001</c:v>
                </c:pt>
                <c:pt idx="39">
                  <c:v>5.391E-2</c:v>
                </c:pt>
                <c:pt idx="40">
                  <c:v>6.5780000000000005E-2</c:v>
                </c:pt>
                <c:pt idx="41">
                  <c:v>5.9699999999999996E-2</c:v>
                </c:pt>
                <c:pt idx="42">
                  <c:v>3.576E-2</c:v>
                </c:pt>
                <c:pt idx="43">
                  <c:v>1.7820000000000003E-2</c:v>
                </c:pt>
                <c:pt idx="44">
                  <c:v>2.9649999999999999E-2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5-4FD7-A7EC-1987829CB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391552"/>
        <c:axId val="975391136"/>
      </c:scatterChart>
      <c:valAx>
        <c:axId val="97539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1136"/>
        <c:crosses val="autoZero"/>
        <c:crossBetween val="midCat"/>
      </c:valAx>
      <c:valAx>
        <c:axId val="9753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Power (W)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75391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IV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'PV panel'!$B$5:$B$40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3.5000000000000001E-3</c:v>
                </c:pt>
                <c:pt idx="4">
                  <c:v>3.3E-3</c:v>
                </c:pt>
                <c:pt idx="5">
                  <c:v>3.7000000000000002E-3</c:v>
                </c:pt>
                <c:pt idx="6">
                  <c:v>1.37E-2</c:v>
                </c:pt>
                <c:pt idx="7">
                  <c:v>1.41E-2</c:v>
                </c:pt>
                <c:pt idx="8">
                  <c:v>1.3299999999999999E-2</c:v>
                </c:pt>
                <c:pt idx="9">
                  <c:v>4.87E-2</c:v>
                </c:pt>
                <c:pt idx="10">
                  <c:v>4.7199999999999999E-2</c:v>
                </c:pt>
                <c:pt idx="11">
                  <c:v>4.9200000000000001E-2</c:v>
                </c:pt>
                <c:pt idx="12">
                  <c:v>8.6999999999999994E-2</c:v>
                </c:pt>
                <c:pt idx="13">
                  <c:v>8.8300000000000003E-2</c:v>
                </c:pt>
                <c:pt idx="14">
                  <c:v>9.0499999999999997E-2</c:v>
                </c:pt>
                <c:pt idx="15">
                  <c:v>9.8100000000000007E-2</c:v>
                </c:pt>
                <c:pt idx="16">
                  <c:v>9.5200000000000007E-2</c:v>
                </c:pt>
                <c:pt idx="17">
                  <c:v>9.5100000000000004E-2</c:v>
                </c:pt>
                <c:pt idx="18">
                  <c:v>0.18260000000000001</c:v>
                </c:pt>
                <c:pt idx="19">
                  <c:v>0.1729</c:v>
                </c:pt>
                <c:pt idx="20">
                  <c:v>0.17119999999999999</c:v>
                </c:pt>
                <c:pt idx="21">
                  <c:v>0.18279999999999999</c:v>
                </c:pt>
                <c:pt idx="22">
                  <c:v>0.1845</c:v>
                </c:pt>
                <c:pt idx="23">
                  <c:v>0.1236</c:v>
                </c:pt>
                <c:pt idx="24">
                  <c:v>0.14430000000000001</c:v>
                </c:pt>
                <c:pt idx="25">
                  <c:v>0.1462</c:v>
                </c:pt>
                <c:pt idx="26">
                  <c:v>0.1457</c:v>
                </c:pt>
                <c:pt idx="27">
                  <c:v>0.13389999999999999</c:v>
                </c:pt>
                <c:pt idx="28">
                  <c:v>0.13739999999999999</c:v>
                </c:pt>
                <c:pt idx="29">
                  <c:v>0.13569999999999999</c:v>
                </c:pt>
                <c:pt idx="30">
                  <c:v>0.1391</c:v>
                </c:pt>
                <c:pt idx="31">
                  <c:v>0.14299999999999999</c:v>
                </c:pt>
                <c:pt idx="32">
                  <c:v>0.1416</c:v>
                </c:pt>
                <c:pt idx="33">
                  <c:v>0.1038</c:v>
                </c:pt>
                <c:pt idx="34">
                  <c:v>0.1043</c:v>
                </c:pt>
                <c:pt idx="35">
                  <c:v>0.10390000000000001</c:v>
                </c:pt>
              </c:numCache>
            </c:numRef>
          </c:xVal>
          <c:yVal>
            <c:numRef>
              <c:f>'PV panel'!$C$5:$C$40</c:f>
              <c:numCache>
                <c:formatCode>General</c:formatCode>
                <c:ptCount val="36"/>
                <c:pt idx="0">
                  <c:v>6.0000000000000001E-3</c:v>
                </c:pt>
                <c:pt idx="1">
                  <c:v>6.0000000000000001E-3</c:v>
                </c:pt>
                <c:pt idx="2">
                  <c:v>5.0000000000000001E-3</c:v>
                </c:pt>
                <c:pt idx="3">
                  <c:v>8.0000000000000002E-3</c:v>
                </c:pt>
                <c:pt idx="4">
                  <c:v>7.0000000000000001E-3</c:v>
                </c:pt>
                <c:pt idx="5">
                  <c:v>8.0000000000000002E-3</c:v>
                </c:pt>
                <c:pt idx="6">
                  <c:v>1.2999999999999999E-2</c:v>
                </c:pt>
                <c:pt idx="7">
                  <c:v>1.2999999999999999E-2</c:v>
                </c:pt>
                <c:pt idx="8">
                  <c:v>1.4E-2</c:v>
                </c:pt>
                <c:pt idx="9">
                  <c:v>1.0999999999999999E-2</c:v>
                </c:pt>
                <c:pt idx="10">
                  <c:v>0.01</c:v>
                </c:pt>
                <c:pt idx="11">
                  <c:v>8.9999999999999993E-3</c:v>
                </c:pt>
                <c:pt idx="12">
                  <c:v>1.0999999999999999E-2</c:v>
                </c:pt>
                <c:pt idx="13">
                  <c:v>1.2E-2</c:v>
                </c:pt>
                <c:pt idx="14">
                  <c:v>1.2999999999999999E-2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8.0000000000000002E-3</c:v>
                </c:pt>
                <c:pt idx="19">
                  <c:v>8.9999999999999993E-3</c:v>
                </c:pt>
                <c:pt idx="20">
                  <c:v>8.9999999999999993E-3</c:v>
                </c:pt>
                <c:pt idx="21">
                  <c:v>1.2E-2</c:v>
                </c:pt>
                <c:pt idx="22">
                  <c:v>1.2999999999999999E-2</c:v>
                </c:pt>
                <c:pt idx="23">
                  <c:v>1.2E-2</c:v>
                </c:pt>
                <c:pt idx="24">
                  <c:v>1.9E-2</c:v>
                </c:pt>
                <c:pt idx="25">
                  <c:v>0.02</c:v>
                </c:pt>
                <c:pt idx="26">
                  <c:v>2.1000000000000001E-2</c:v>
                </c:pt>
                <c:pt idx="27">
                  <c:v>1.9E-2</c:v>
                </c:pt>
                <c:pt idx="28">
                  <c:v>1.6E-2</c:v>
                </c:pt>
                <c:pt idx="29">
                  <c:v>1.4999999999999999E-2</c:v>
                </c:pt>
                <c:pt idx="30">
                  <c:v>2.3E-2</c:v>
                </c:pt>
                <c:pt idx="31">
                  <c:v>2.4E-2</c:v>
                </c:pt>
                <c:pt idx="32">
                  <c:v>2.5999999999999999E-2</c:v>
                </c:pt>
                <c:pt idx="33">
                  <c:v>2.3E-2</c:v>
                </c:pt>
                <c:pt idx="34">
                  <c:v>2.4E-2</c:v>
                </c:pt>
                <c:pt idx="35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A6-4DDD-ACC1-E8C4717A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938272"/>
        <c:axId val="1795931200"/>
      </c:scatterChart>
      <c:valAx>
        <c:axId val="179593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1200"/>
        <c:crosses val="autoZero"/>
        <c:crossBetween val="midCat"/>
      </c:valAx>
      <c:valAx>
        <c:axId val="17959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593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426720</xdr:colOff>
      <xdr:row>1</xdr:row>
      <xdr:rowOff>361950</xdr:rowOff>
    </xdr:from>
    <xdr:to>
      <xdr:col>15</xdr:col>
      <xdr:colOff>121920</xdr:colOff>
      <xdr:row>13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D830E0-DB38-2AAD-42FB-25778AD2A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454922</xdr:colOff>
      <xdr:row>8</xdr:row>
      <xdr:rowOff>104651</xdr:rowOff>
    </xdr:from>
    <xdr:to>
      <xdr:col>29</xdr:col>
      <xdr:colOff>218703</xdr:colOff>
      <xdr:row>30</xdr:row>
      <xdr:rowOff>140524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47AD4-0B46-AD5A-E5E2-BB8A322B1D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21525</xdr:colOff>
      <xdr:row>57</xdr:row>
      <xdr:rowOff>32287</xdr:rowOff>
    </xdr:from>
    <xdr:to>
      <xdr:col>8</xdr:col>
      <xdr:colOff>419746</xdr:colOff>
      <xdr:row>82</xdr:row>
      <xdr:rowOff>150678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7BABDC-C8DB-320E-3F7D-F11B2745E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162515</xdr:colOff>
      <xdr:row>57</xdr:row>
      <xdr:rowOff>27552</xdr:rowOff>
    </xdr:from>
    <xdr:to>
      <xdr:col>18</xdr:col>
      <xdr:colOff>452033</xdr:colOff>
      <xdr:row>82</xdr:row>
      <xdr:rowOff>161441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62FEC3B-802A-AABC-3A0F-04928AA83E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173280</xdr:colOff>
      <xdr:row>57</xdr:row>
      <xdr:rowOff>38314</xdr:rowOff>
    </xdr:from>
    <xdr:to>
      <xdr:col>30</xdr:col>
      <xdr:colOff>150678</xdr:colOff>
      <xdr:row>83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6855149-8854-FB07-FE2D-9175686E7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636076</xdr:colOff>
      <xdr:row>84</xdr:row>
      <xdr:rowOff>38313</xdr:rowOff>
    </xdr:from>
    <xdr:to>
      <xdr:col>8</xdr:col>
      <xdr:colOff>398221</xdr:colOff>
      <xdr:row>104</xdr:row>
      <xdr:rowOff>118388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A1895EA-5512-EDA3-A7B9-0B0330D98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54888</xdr:colOff>
      <xdr:row>84</xdr:row>
      <xdr:rowOff>27551</xdr:rowOff>
    </xdr:from>
    <xdr:to>
      <xdr:col>18</xdr:col>
      <xdr:colOff>452032</xdr:colOff>
      <xdr:row>104</xdr:row>
      <xdr:rowOff>107626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F31E6F6-B5AB-BEFA-6628-A29EE3DB8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151754</xdr:colOff>
      <xdr:row>84</xdr:row>
      <xdr:rowOff>113653</xdr:rowOff>
    </xdr:from>
    <xdr:to>
      <xdr:col>30</xdr:col>
      <xdr:colOff>161440</xdr:colOff>
      <xdr:row>104</xdr:row>
      <xdr:rowOff>107627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B43C6209-44AB-6FEE-F3FE-2146F5D70A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484909</xdr:colOff>
      <xdr:row>13</xdr:row>
      <xdr:rowOff>165033</xdr:rowOff>
    </xdr:from>
    <xdr:to>
      <xdr:col>24</xdr:col>
      <xdr:colOff>363886</xdr:colOff>
      <xdr:row>45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489411-5224-8D0D-BFF2-E784C1F727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575778</xdr:colOff>
      <xdr:row>13</xdr:row>
      <xdr:rowOff>54196</xdr:rowOff>
    </xdr:from>
    <xdr:to>
      <xdr:col>41</xdr:col>
      <xdr:colOff>454755</xdr:colOff>
      <xdr:row>45</xdr:row>
      <xdr:rowOff>13854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FAB117-DF1A-EBA0-151D-877EBD0FA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10</xdr:col>
      <xdr:colOff>544285</xdr:colOff>
      <xdr:row>38</xdr:row>
      <xdr:rowOff>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DFD6EE6D-E647-9D53-D307-261CD649E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4BFE2-B543-4F40-BE5C-6F46B8306D55}">
  <dimension ref="A1:E12"/>
  <sheetViews>
    <sheetView tabSelected="1" workbookViewId="0">
      <selection activeCell="F12" sqref="F12"/>
    </sheetView>
  </sheetViews>
  <sheetFormatPr defaultRowHeight="14"/>
  <sheetData>
    <row r="1" spans="1:5" ht="14.5" thickBot="1">
      <c r="A1" s="1" t="s">
        <v>0</v>
      </c>
    </row>
    <row r="2" spans="1:5" ht="42.5" thickBot="1">
      <c r="A2" s="2" t="s">
        <v>1</v>
      </c>
      <c r="C2" s="9" t="s">
        <v>1</v>
      </c>
      <c r="D2" s="10"/>
      <c r="E2" s="11"/>
    </row>
    <row r="3" spans="1:5" ht="42.5" thickBot="1">
      <c r="A3" s="3">
        <v>1.92</v>
      </c>
      <c r="C3" s="3" t="s">
        <v>2</v>
      </c>
      <c r="D3" s="4" t="s">
        <v>3</v>
      </c>
      <c r="E3" s="4" t="s">
        <v>4</v>
      </c>
    </row>
    <row r="4" spans="1:5" ht="14.5" thickBot="1">
      <c r="A4" s="3">
        <v>1.9339999999999999</v>
      </c>
      <c r="C4" s="3">
        <v>1.905</v>
      </c>
      <c r="D4" s="4">
        <v>0.61699999999999999</v>
      </c>
      <c r="E4" s="4">
        <v>3.4000000000000002E-2</v>
      </c>
    </row>
    <row r="5" spans="1:5" ht="14.5" thickBot="1">
      <c r="A5" s="3">
        <v>1.9159999999999999</v>
      </c>
      <c r="C5" s="3">
        <v>1.9079999999999999</v>
      </c>
      <c r="D5" s="4">
        <v>0.64</v>
      </c>
      <c r="E5" s="4">
        <v>3.2000000000000001E-2</v>
      </c>
    </row>
    <row r="6" spans="1:5" ht="14.5" thickBot="1">
      <c r="A6" s="3">
        <v>1.9219999999999999</v>
      </c>
      <c r="C6" s="3">
        <v>1.911</v>
      </c>
      <c r="D6" s="4">
        <v>0.6</v>
      </c>
      <c r="E6" s="4">
        <v>2.5999999999999999E-2</v>
      </c>
    </row>
    <row r="7" spans="1:5" ht="14.5" thickBot="1">
      <c r="A7" s="3">
        <v>1.9359999999999999</v>
      </c>
      <c r="C7" s="3">
        <v>1.92</v>
      </c>
      <c r="D7" s="4">
        <v>0.623</v>
      </c>
      <c r="E7" s="4">
        <v>2.9000000000000001E-2</v>
      </c>
    </row>
    <row r="8" spans="1:5" ht="14.5" thickBot="1">
      <c r="A8" s="3">
        <v>1.9550000000000001</v>
      </c>
    </row>
    <row r="9" spans="1:5" ht="14.5" thickBot="1">
      <c r="A9" s="3">
        <v>1.9350000000000001</v>
      </c>
    </row>
    <row r="10" spans="1:5" ht="14.5" thickBot="1">
      <c r="A10" s="3">
        <v>1.9330000000000001</v>
      </c>
    </row>
    <row r="11" spans="1:5">
      <c r="A11">
        <f>1</f>
        <v>1</v>
      </c>
      <c r="C11">
        <f>2</f>
        <v>2</v>
      </c>
      <c r="D11">
        <f>3</f>
        <v>3</v>
      </c>
      <c r="E11">
        <f>4</f>
        <v>4</v>
      </c>
    </row>
    <row r="12" spans="1:5">
      <c r="A12">
        <f>AVERAGE(A3:A10)</f>
        <v>1.9313750000000001</v>
      </c>
      <c r="C12">
        <f>AVERAGE(C4:C7)</f>
        <v>1.911</v>
      </c>
      <c r="D12">
        <f>AVERAGE(D4:D7)</f>
        <v>0.62000000000000011</v>
      </c>
      <c r="E12">
        <f>AVERAGE(E4:E7)</f>
        <v>3.0249999999999999E-2</v>
      </c>
    </row>
  </sheetData>
  <mergeCells count="1">
    <mergeCell ref="C2:E2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06B08-5E76-496A-AF1F-DA84770F4DE5}">
  <dimension ref="A1:Q23"/>
  <sheetViews>
    <sheetView zoomScale="70" zoomScaleNormal="70" workbookViewId="0">
      <selection activeCell="F21" sqref="F21"/>
    </sheetView>
  </sheetViews>
  <sheetFormatPr defaultRowHeight="14"/>
  <sheetData>
    <row r="1" spans="1:17" ht="14.5" thickBot="1">
      <c r="A1" t="s">
        <v>5</v>
      </c>
      <c r="F1" s="9" t="s">
        <v>9</v>
      </c>
      <c r="G1" s="10"/>
      <c r="H1" s="11"/>
      <c r="K1" s="9" t="s">
        <v>12</v>
      </c>
      <c r="L1" s="10"/>
      <c r="M1" s="11"/>
      <c r="P1" t="s">
        <v>15</v>
      </c>
      <c r="Q1" t="s">
        <v>16</v>
      </c>
    </row>
    <row r="2" spans="1:17" ht="14.5" thickBot="1">
      <c r="A2">
        <f>21.6</f>
        <v>21.6</v>
      </c>
      <c r="F2" s="3" t="s">
        <v>10</v>
      </c>
      <c r="G2" s="4" t="s">
        <v>11</v>
      </c>
      <c r="H2" s="4" t="s">
        <v>7</v>
      </c>
      <c r="K2" s="3" t="s">
        <v>10</v>
      </c>
      <c r="L2" s="4" t="s">
        <v>11</v>
      </c>
      <c r="M2" s="4" t="s">
        <v>7</v>
      </c>
      <c r="P2">
        <f>B23</f>
        <v>0.94500000000000006</v>
      </c>
      <c r="Q2">
        <f>B9</f>
        <v>4.3749999999999997E-2</v>
      </c>
    </row>
    <row r="3" spans="1:17" ht="70.5" thickBot="1">
      <c r="A3" t="s">
        <v>8</v>
      </c>
      <c r="B3" s="2" t="s">
        <v>6</v>
      </c>
      <c r="C3" s="5" t="s">
        <v>7</v>
      </c>
      <c r="F3" t="s">
        <v>8</v>
      </c>
      <c r="G3" s="4">
        <v>0.04</v>
      </c>
      <c r="H3" s="4">
        <v>0.08</v>
      </c>
      <c r="K3" t="s">
        <v>8</v>
      </c>
      <c r="L3" s="4">
        <v>7.0999999999999994E-2</v>
      </c>
      <c r="M3" s="4">
        <v>7.8E-2</v>
      </c>
      <c r="P3">
        <f>C23</f>
        <v>1.68</v>
      </c>
      <c r="Q3">
        <f>C9</f>
        <v>0.08</v>
      </c>
    </row>
    <row r="4" spans="1:17" ht="14.5" thickBot="1">
      <c r="A4" s="2">
        <v>6.0000000000000001E-3</v>
      </c>
      <c r="B4" s="3">
        <v>0.05</v>
      </c>
      <c r="C4" s="4">
        <v>9.2999999999999999E-2</v>
      </c>
      <c r="F4">
        <f>0.007</f>
        <v>7.0000000000000001E-3</v>
      </c>
      <c r="G4" s="4">
        <v>4.1000000000000002E-2</v>
      </c>
      <c r="H4" s="4">
        <v>8.4000000000000005E-2</v>
      </c>
      <c r="K4">
        <f>0.003</f>
        <v>3.0000000000000001E-3</v>
      </c>
      <c r="L4" s="4">
        <v>6.3E-2</v>
      </c>
      <c r="M4" s="4">
        <v>8.1000000000000003E-2</v>
      </c>
      <c r="P4">
        <f>G23</f>
        <v>7.0499999999999998E-3</v>
      </c>
      <c r="Q4">
        <f>G9</f>
        <v>3.5250000000000004E-2</v>
      </c>
    </row>
    <row r="5" spans="1:17" ht="14.5" thickBot="1">
      <c r="A5" s="3">
        <v>7.0000000000000001E-3</v>
      </c>
      <c r="B5" s="3">
        <v>4.3999999999999997E-2</v>
      </c>
      <c r="C5" s="4">
        <v>7.1999999999999995E-2</v>
      </c>
      <c r="F5">
        <f>0.008</f>
        <v>8.0000000000000002E-3</v>
      </c>
      <c r="G5" s="4">
        <v>2.5999999999999999E-2</v>
      </c>
      <c r="H5" s="4"/>
      <c r="K5">
        <f>0.006</f>
        <v>6.0000000000000001E-3</v>
      </c>
      <c r="L5" s="4">
        <v>5.5E-2</v>
      </c>
      <c r="M5" s="4">
        <v>7.5999999999999998E-2</v>
      </c>
      <c r="P5">
        <f>H23</f>
        <v>1.6400000000000001E-2</v>
      </c>
      <c r="Q5">
        <f>H9</f>
        <v>8.2000000000000003E-2</v>
      </c>
    </row>
    <row r="6" spans="1:17" ht="14.5" thickBot="1">
      <c r="A6" s="3">
        <v>7.0000000000000001E-3</v>
      </c>
      <c r="B6" s="3">
        <v>3.7999999999999999E-2</v>
      </c>
      <c r="C6" s="4">
        <v>7.4999999999999997E-2</v>
      </c>
      <c r="F6">
        <f>0.006</f>
        <v>6.0000000000000001E-3</v>
      </c>
      <c r="G6" s="4">
        <v>3.4000000000000002E-2</v>
      </c>
      <c r="H6" s="4">
        <v>8.2000000000000003E-2</v>
      </c>
      <c r="K6">
        <f>0.004</f>
        <v>4.0000000000000001E-3</v>
      </c>
      <c r="L6" s="4">
        <v>5.5E-2</v>
      </c>
      <c r="M6" s="4">
        <v>7.6999999999999999E-2</v>
      </c>
      <c r="P6">
        <f>L23</f>
        <v>6.0450999999999997</v>
      </c>
      <c r="Q6">
        <f>L9</f>
        <v>6.0999999999999999E-2</v>
      </c>
    </row>
    <row r="7" spans="1:17" ht="14.5" thickBot="1">
      <c r="B7" s="3">
        <v>4.2999999999999997E-2</v>
      </c>
      <c r="C7" s="4"/>
      <c r="P7">
        <f>M23</f>
        <v>7.7297999999999991</v>
      </c>
      <c r="Q7">
        <f>M9</f>
        <v>7.8E-2</v>
      </c>
    </row>
    <row r="9" spans="1:17">
      <c r="A9">
        <f>AVERAGE(A4:A6)</f>
        <v>6.6666666666666671E-3</v>
      </c>
      <c r="B9">
        <f>AVERAGE(B4:B7)</f>
        <v>4.3749999999999997E-2</v>
      </c>
      <c r="C9">
        <f>AVERAGE(C4:C6)</f>
        <v>0.08</v>
      </c>
      <c r="F9">
        <f>AVERAGE(F4:F6)</f>
        <v>6.9999999999999993E-3</v>
      </c>
      <c r="G9">
        <f>AVERAGE(G3:G6)</f>
        <v>3.5250000000000004E-2</v>
      </c>
      <c r="H9">
        <f>AVERAGE(H3:H6)</f>
        <v>8.2000000000000003E-2</v>
      </c>
      <c r="K9">
        <f>AVERAGE(K4:K6)</f>
        <v>4.333333333333334E-3</v>
      </c>
      <c r="L9">
        <f>AVERAGE(L3:L6)</f>
        <v>6.0999999999999999E-2</v>
      </c>
      <c r="M9">
        <f>AVERAGE(M3:M6)</f>
        <v>7.8E-2</v>
      </c>
    </row>
    <row r="12" spans="1:17">
      <c r="A12">
        <f>35</f>
        <v>35</v>
      </c>
    </row>
    <row r="13" spans="1:17">
      <c r="A13" t="s">
        <v>13</v>
      </c>
      <c r="B13">
        <f>0.47</f>
        <v>0.47</v>
      </c>
      <c r="C13">
        <f>0.15</f>
        <v>0.15</v>
      </c>
      <c r="G13">
        <f>0.47</f>
        <v>0.47</v>
      </c>
      <c r="H13">
        <f>0.15</f>
        <v>0.15</v>
      </c>
      <c r="L13">
        <f>0.47</f>
        <v>0.47</v>
      </c>
      <c r="M13">
        <f>0.15</f>
        <v>0.15</v>
      </c>
    </row>
    <row r="15" spans="1:17">
      <c r="A15">
        <f>1000</f>
        <v>1000</v>
      </c>
    </row>
    <row r="17" spans="1:13">
      <c r="A17" t="s">
        <v>14</v>
      </c>
    </row>
    <row r="18" spans="1:13">
      <c r="A18">
        <f>A4*21.6</f>
        <v>0.12960000000000002</v>
      </c>
      <c r="B18">
        <f>B4*21.6</f>
        <v>1.08</v>
      </c>
      <c r="C18">
        <f>C4*21</f>
        <v>1.9530000000000001</v>
      </c>
      <c r="F18">
        <f>0.2*F4</f>
        <v>1.4000000000000002E-3</v>
      </c>
      <c r="G18">
        <f>G3*0.2</f>
        <v>8.0000000000000002E-3</v>
      </c>
      <c r="H18">
        <f>H3*0.2</f>
        <v>1.6E-2</v>
      </c>
      <c r="K18">
        <f>K4*99.1</f>
        <v>0.29730000000000001</v>
      </c>
      <c r="L18">
        <f>L3*99.1</f>
        <v>7.0360999999999994</v>
      </c>
      <c r="M18">
        <f>M3*99.1</f>
        <v>7.7297999999999991</v>
      </c>
    </row>
    <row r="19" spans="1:13">
      <c r="A19">
        <f t="shared" ref="A19:B20" si="0">A5*21.6</f>
        <v>0.1512</v>
      </c>
      <c r="B19">
        <f t="shared" si="0"/>
        <v>0.95040000000000002</v>
      </c>
      <c r="C19">
        <f t="shared" ref="C19:C20" si="1">C5*21</f>
        <v>1.5119999999999998</v>
      </c>
      <c r="F19">
        <f t="shared" ref="F19:F20" si="2">0.2*F5</f>
        <v>1.6000000000000001E-3</v>
      </c>
      <c r="G19">
        <f t="shared" ref="G19:H21" si="3">G4*0.2</f>
        <v>8.2000000000000007E-3</v>
      </c>
      <c r="H19">
        <f t="shared" si="3"/>
        <v>1.6800000000000002E-2</v>
      </c>
      <c r="K19">
        <f t="shared" ref="K19:K20" si="4">K5*99.1</f>
        <v>0.59460000000000002</v>
      </c>
      <c r="L19">
        <f t="shared" ref="L19:M21" si="5">L4*99.1</f>
        <v>6.2432999999999996</v>
      </c>
      <c r="M19">
        <f t="shared" si="5"/>
        <v>8.027099999999999</v>
      </c>
    </row>
    <row r="20" spans="1:13">
      <c r="A20">
        <f t="shared" si="0"/>
        <v>0.1512</v>
      </c>
      <c r="B20">
        <f t="shared" si="0"/>
        <v>0.82080000000000009</v>
      </c>
      <c r="C20">
        <f t="shared" si="1"/>
        <v>1.575</v>
      </c>
      <c r="F20">
        <f t="shared" si="2"/>
        <v>1.2000000000000001E-3</v>
      </c>
      <c r="G20">
        <f t="shared" si="3"/>
        <v>5.1999999999999998E-3</v>
      </c>
      <c r="K20">
        <f t="shared" si="4"/>
        <v>0.39639999999999997</v>
      </c>
      <c r="L20">
        <f t="shared" si="5"/>
        <v>5.4504999999999999</v>
      </c>
      <c r="M20">
        <f t="shared" si="5"/>
        <v>7.5315999999999992</v>
      </c>
    </row>
    <row r="21" spans="1:13">
      <c r="B21">
        <f t="shared" ref="B21" si="6">B7*21.6</f>
        <v>0.92879999999999996</v>
      </c>
      <c r="G21">
        <f t="shared" si="3"/>
        <v>6.8000000000000005E-3</v>
      </c>
      <c r="H21">
        <f t="shared" si="3"/>
        <v>1.6400000000000001E-2</v>
      </c>
      <c r="L21">
        <f t="shared" si="5"/>
        <v>5.4504999999999999</v>
      </c>
      <c r="M21">
        <f t="shared" si="5"/>
        <v>7.6306999999999992</v>
      </c>
    </row>
    <row r="23" spans="1:13">
      <c r="A23">
        <f>AVERAGE(A18:A20)</f>
        <v>0.14400000000000002</v>
      </c>
      <c r="B23">
        <f>AVERAGE(B18:B21)</f>
        <v>0.94500000000000006</v>
      </c>
      <c r="C23">
        <f>AVERAGE(C18:C20)</f>
        <v>1.68</v>
      </c>
      <c r="F23">
        <f>AVERAGE(F18:F20)</f>
        <v>1.4000000000000002E-3</v>
      </c>
      <c r="G23">
        <f>AVERAGE(G18:G21)</f>
        <v>7.0499999999999998E-3</v>
      </c>
      <c r="H23">
        <f>AVERAGE(H18:H21)</f>
        <v>1.6400000000000001E-2</v>
      </c>
      <c r="K23">
        <f>AVERAGE(K18:K20)</f>
        <v>0.42943333333333333</v>
      </c>
      <c r="L23">
        <f>AVERAGE(L18:L21)</f>
        <v>6.0450999999999997</v>
      </c>
      <c r="M23">
        <f>AVERAGE(M18:M21)</f>
        <v>7.7297999999999991</v>
      </c>
    </row>
  </sheetData>
  <mergeCells count="2">
    <mergeCell ref="F1:H1"/>
    <mergeCell ref="K1:M1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77BA5-7338-4F05-9440-E9E918207C90}">
  <dimension ref="A1:AB55"/>
  <sheetViews>
    <sheetView zoomScale="55" zoomScaleNormal="55" workbookViewId="0">
      <selection activeCell="W20" sqref="W20"/>
    </sheetView>
  </sheetViews>
  <sheetFormatPr defaultRowHeight="14"/>
  <cols>
    <col min="3" max="5" width="12.75" customWidth="1"/>
  </cols>
  <sheetData>
    <row r="1" spans="1:28">
      <c r="A1" t="s">
        <v>27</v>
      </c>
      <c r="C1">
        <v>18</v>
      </c>
    </row>
    <row r="2" spans="1:28">
      <c r="A2" t="s">
        <v>20</v>
      </c>
      <c r="B2" t="s">
        <v>21</v>
      </c>
      <c r="F2" t="s">
        <v>22</v>
      </c>
      <c r="H2" t="s">
        <v>23</v>
      </c>
      <c r="J2" t="s">
        <v>25</v>
      </c>
      <c r="L2" t="s">
        <v>29</v>
      </c>
      <c r="N2" t="s">
        <v>30</v>
      </c>
      <c r="P2" t="s">
        <v>31</v>
      </c>
    </row>
    <row r="3" spans="1:28">
      <c r="A3" t="s">
        <v>24</v>
      </c>
    </row>
    <row r="4" spans="1:28">
      <c r="A4" t="s">
        <v>17</v>
      </c>
      <c r="B4" t="s">
        <v>15</v>
      </c>
      <c r="C4" t="s">
        <v>16</v>
      </c>
      <c r="E4" t="s">
        <v>28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40</v>
      </c>
      <c r="M4" t="s">
        <v>16</v>
      </c>
      <c r="N4" t="s">
        <v>15</v>
      </c>
      <c r="O4" t="s">
        <v>16</v>
      </c>
      <c r="P4" t="s">
        <v>15</v>
      </c>
      <c r="Q4" t="s">
        <v>16</v>
      </c>
      <c r="R4" t="s">
        <v>33</v>
      </c>
      <c r="S4" t="s">
        <v>34</v>
      </c>
      <c r="T4" t="s">
        <v>41</v>
      </c>
      <c r="U4" t="s">
        <v>42</v>
      </c>
    </row>
    <row r="5" spans="1:28">
      <c r="A5" t="s">
        <v>19</v>
      </c>
      <c r="B5">
        <v>0</v>
      </c>
      <c r="C5">
        <f>0.006</f>
        <v>6.0000000000000001E-3</v>
      </c>
      <c r="L5">
        <f>0</f>
        <v>0</v>
      </c>
      <c r="M5">
        <f>0.007</f>
        <v>7.0000000000000001E-3</v>
      </c>
      <c r="N5">
        <f>0</f>
        <v>0</v>
      </c>
      <c r="O5">
        <f>0.007</f>
        <v>7.0000000000000001E-3</v>
      </c>
      <c r="P5">
        <f>0</f>
        <v>0</v>
      </c>
      <c r="Q5">
        <f>0.007</f>
        <v>7.0000000000000001E-3</v>
      </c>
    </row>
    <row r="6" spans="1:28">
      <c r="A6" t="s">
        <v>19</v>
      </c>
      <c r="B6">
        <f>0</f>
        <v>0</v>
      </c>
      <c r="C6">
        <f>0.006</f>
        <v>6.0000000000000001E-3</v>
      </c>
      <c r="L6">
        <f>0</f>
        <v>0</v>
      </c>
      <c r="M6">
        <f>0.007</f>
        <v>7.0000000000000001E-3</v>
      </c>
      <c r="N6">
        <f>0</f>
        <v>0</v>
      </c>
      <c r="O6">
        <f>0.007</f>
        <v>7.0000000000000001E-3</v>
      </c>
      <c r="P6">
        <f>0</f>
        <v>0</v>
      </c>
      <c r="Q6">
        <f>0.007</f>
        <v>7.0000000000000001E-3</v>
      </c>
    </row>
    <row r="7" spans="1:28">
      <c r="A7" t="s">
        <v>19</v>
      </c>
      <c r="B7">
        <f>0</f>
        <v>0</v>
      </c>
      <c r="C7">
        <f>0.005</f>
        <v>5.0000000000000001E-3</v>
      </c>
      <c r="L7">
        <f>0</f>
        <v>0</v>
      </c>
      <c r="M7">
        <f>0.007</f>
        <v>7.0000000000000001E-3</v>
      </c>
      <c r="N7">
        <f>0</f>
        <v>0</v>
      </c>
      <c r="O7">
        <f>0.007</f>
        <v>7.0000000000000001E-3</v>
      </c>
      <c r="P7">
        <f>0</f>
        <v>0</v>
      </c>
      <c r="Q7">
        <f>0.007</f>
        <v>7.0000000000000001E-3</v>
      </c>
    </row>
    <row r="8" spans="1:28">
      <c r="A8">
        <f>1</f>
        <v>1</v>
      </c>
      <c r="L8">
        <v>0.1782</v>
      </c>
      <c r="M8">
        <v>0.151</v>
      </c>
      <c r="N8">
        <v>0.26200000000000001</v>
      </c>
      <c r="O8">
        <v>0.251</v>
      </c>
      <c r="R8">
        <f>L8*M8</f>
        <v>2.69082E-2</v>
      </c>
      <c r="S8">
        <f>N8*O8</f>
        <v>6.5762000000000001E-2</v>
      </c>
      <c r="T8">
        <f>AVERAGE(L8,N8)</f>
        <v>0.22010000000000002</v>
      </c>
      <c r="U8">
        <f>AVERAGE(R8,S8)</f>
        <v>4.6335100000000004E-2</v>
      </c>
      <c r="AA8">
        <v>0.318</v>
      </c>
      <c r="AB8">
        <v>0.20499999999999999</v>
      </c>
    </row>
    <row r="9" spans="1:28">
      <c r="A9">
        <f>1</f>
        <v>1</v>
      </c>
      <c r="L9">
        <v>0.17660000000000001</v>
      </c>
      <c r="M9">
        <v>0.14799999999999999</v>
      </c>
      <c r="N9">
        <v>0.26200000000000001</v>
      </c>
      <c r="O9">
        <v>0.24299999999999999</v>
      </c>
      <c r="R9">
        <f t="shared" ref="R9:R51" si="0">L9*M9</f>
        <v>2.6136799999999998E-2</v>
      </c>
      <c r="S9">
        <f t="shared" ref="S9:S52" si="1">N9*O9</f>
        <v>6.3666E-2</v>
      </c>
      <c r="T9">
        <f t="shared" ref="T9:T52" si="2">AVERAGE(L9,N9)</f>
        <v>0.21929999999999999</v>
      </c>
      <c r="U9">
        <f t="shared" ref="U9:U52" si="3">AVERAGE(R9,S9)</f>
        <v>4.4901400000000001E-2</v>
      </c>
      <c r="AA9">
        <v>0.318</v>
      </c>
      <c r="AB9">
        <v>0.21199999999999999</v>
      </c>
    </row>
    <row r="10" spans="1:28">
      <c r="A10">
        <f>1</f>
        <v>1</v>
      </c>
      <c r="L10">
        <v>0.1762</v>
      </c>
      <c r="M10">
        <v>0.14699999999999999</v>
      </c>
      <c r="N10">
        <v>0.26100000000000001</v>
      </c>
      <c r="O10">
        <v>0.248</v>
      </c>
      <c r="R10">
        <f t="shared" si="0"/>
        <v>2.5901399999999998E-2</v>
      </c>
      <c r="S10">
        <f t="shared" si="1"/>
        <v>6.4728000000000008E-2</v>
      </c>
      <c r="T10">
        <f t="shared" si="2"/>
        <v>0.21860000000000002</v>
      </c>
      <c r="U10">
        <f t="shared" si="3"/>
        <v>4.5314699999999999E-2</v>
      </c>
      <c r="AA10">
        <v>0.32100000000000001</v>
      </c>
      <c r="AB10">
        <v>0.21</v>
      </c>
    </row>
    <row r="11" spans="1:28">
      <c r="A11">
        <f>3.3</f>
        <v>3.3</v>
      </c>
      <c r="L11">
        <v>0.57799999999999996</v>
      </c>
      <c r="M11">
        <v>0.16800000000000001</v>
      </c>
      <c r="N11">
        <v>0.81899999999999995</v>
      </c>
      <c r="O11">
        <v>0.23300000000000001</v>
      </c>
      <c r="R11">
        <f t="shared" si="0"/>
        <v>9.7103999999999996E-2</v>
      </c>
      <c r="S11">
        <f t="shared" si="1"/>
        <v>0.190827</v>
      </c>
      <c r="T11">
        <f t="shared" si="2"/>
        <v>0.6984999999999999</v>
      </c>
      <c r="U11">
        <f t="shared" si="3"/>
        <v>0.1439655</v>
      </c>
      <c r="AA11">
        <v>0.70799999999999996</v>
      </c>
      <c r="AB11">
        <v>0.22700000000000001</v>
      </c>
    </row>
    <row r="12" spans="1:28">
      <c r="A12">
        <f>3.3</f>
        <v>3.3</v>
      </c>
      <c r="L12">
        <v>0.57999999999999996</v>
      </c>
      <c r="M12">
        <v>0.16800000000000001</v>
      </c>
      <c r="N12">
        <v>0.81899999999999995</v>
      </c>
      <c r="O12">
        <v>0.23499999999999999</v>
      </c>
      <c r="R12">
        <f t="shared" si="0"/>
        <v>9.7439999999999999E-2</v>
      </c>
      <c r="S12">
        <f t="shared" si="1"/>
        <v>0.19246499999999997</v>
      </c>
      <c r="T12">
        <f t="shared" si="2"/>
        <v>0.69950000000000001</v>
      </c>
      <c r="U12">
        <f t="shared" si="3"/>
        <v>0.14495249999999998</v>
      </c>
      <c r="AA12">
        <v>0.70199999999999996</v>
      </c>
      <c r="AB12">
        <v>0.222</v>
      </c>
    </row>
    <row r="13" spans="1:28">
      <c r="A13">
        <f>3.3</f>
        <v>3.3</v>
      </c>
      <c r="L13">
        <v>0.58299999999999996</v>
      </c>
      <c r="M13">
        <v>0.16700000000000001</v>
      </c>
      <c r="N13">
        <v>0.81799999999999995</v>
      </c>
      <c r="O13">
        <v>0.23200000000000001</v>
      </c>
      <c r="R13">
        <f t="shared" si="0"/>
        <v>9.7361000000000003E-2</v>
      </c>
      <c r="S13">
        <f t="shared" si="1"/>
        <v>0.189776</v>
      </c>
      <c r="T13">
        <f t="shared" si="2"/>
        <v>0.7004999999999999</v>
      </c>
      <c r="U13">
        <f t="shared" si="3"/>
        <v>0.14356849999999999</v>
      </c>
      <c r="AA13">
        <v>0.70299999999999996</v>
      </c>
      <c r="AB13">
        <v>0.22600000000000001</v>
      </c>
    </row>
    <row r="14" spans="1:28">
      <c r="A14">
        <f>10</f>
        <v>10</v>
      </c>
      <c r="L14">
        <v>1.7350000000000001</v>
      </c>
      <c r="M14">
        <v>0.17199999999999999</v>
      </c>
      <c r="N14">
        <v>2.37</v>
      </c>
      <c r="O14">
        <v>0.22700000000000001</v>
      </c>
      <c r="R14">
        <f t="shared" si="0"/>
        <v>0.29842000000000002</v>
      </c>
      <c r="S14">
        <f t="shared" si="1"/>
        <v>0.53799000000000008</v>
      </c>
      <c r="T14">
        <f t="shared" si="2"/>
        <v>2.0525000000000002</v>
      </c>
      <c r="U14">
        <f t="shared" si="3"/>
        <v>0.41820500000000005</v>
      </c>
      <c r="AA14">
        <v>2.0840000000000001</v>
      </c>
      <c r="AB14">
        <v>0.217</v>
      </c>
    </row>
    <row r="15" spans="1:28">
      <c r="A15">
        <f>10</f>
        <v>10</v>
      </c>
      <c r="L15">
        <v>1.75</v>
      </c>
      <c r="M15">
        <v>0.17100000000000001</v>
      </c>
      <c r="N15">
        <v>2.4</v>
      </c>
      <c r="O15">
        <v>0.23300000000000001</v>
      </c>
      <c r="R15">
        <f t="shared" si="0"/>
        <v>0.29925000000000002</v>
      </c>
      <c r="S15">
        <f t="shared" si="1"/>
        <v>0.55920000000000003</v>
      </c>
      <c r="T15">
        <f t="shared" si="2"/>
        <v>2.0750000000000002</v>
      </c>
      <c r="U15">
        <f t="shared" si="3"/>
        <v>0.42922500000000002</v>
      </c>
      <c r="AA15">
        <v>2.09</v>
      </c>
      <c r="AB15">
        <v>0.22</v>
      </c>
    </row>
    <row r="16" spans="1:28">
      <c r="A16">
        <f>10</f>
        <v>10</v>
      </c>
      <c r="L16">
        <v>1.7509999999999999</v>
      </c>
      <c r="M16">
        <v>0.17</v>
      </c>
      <c r="N16">
        <v>2.41</v>
      </c>
      <c r="O16">
        <v>0.23200000000000001</v>
      </c>
      <c r="R16">
        <f t="shared" si="0"/>
        <v>0.29766999999999999</v>
      </c>
      <c r="S16">
        <f t="shared" si="1"/>
        <v>0.55912000000000006</v>
      </c>
      <c r="T16">
        <f t="shared" si="2"/>
        <v>2.0804999999999998</v>
      </c>
      <c r="U16">
        <f t="shared" si="3"/>
        <v>0.42839500000000003</v>
      </c>
      <c r="AA16">
        <v>2.08</v>
      </c>
      <c r="AB16">
        <v>0.215</v>
      </c>
    </row>
    <row r="17" spans="1:21">
      <c r="A17">
        <f>15</f>
        <v>15</v>
      </c>
      <c r="L17">
        <v>2.57</v>
      </c>
      <c r="M17">
        <v>0.17499999999999999</v>
      </c>
      <c r="N17">
        <v>3.72</v>
      </c>
      <c r="O17">
        <v>0.24</v>
      </c>
      <c r="R17">
        <f t="shared" si="0"/>
        <v>0.44974999999999993</v>
      </c>
      <c r="S17">
        <f t="shared" si="1"/>
        <v>0.89280000000000004</v>
      </c>
      <c r="T17">
        <f t="shared" si="2"/>
        <v>3.145</v>
      </c>
      <c r="U17">
        <f t="shared" si="3"/>
        <v>0.67127499999999996</v>
      </c>
    </row>
    <row r="18" spans="1:21">
      <c r="A18">
        <f>15</f>
        <v>15</v>
      </c>
      <c r="L18">
        <v>2.57</v>
      </c>
      <c r="M18">
        <v>0.17699999999999999</v>
      </c>
      <c r="N18">
        <v>3.7</v>
      </c>
      <c r="O18">
        <v>0.23799999999999999</v>
      </c>
      <c r="R18">
        <f t="shared" si="0"/>
        <v>0.45488999999999996</v>
      </c>
      <c r="S18">
        <f t="shared" si="1"/>
        <v>0.88060000000000005</v>
      </c>
      <c r="T18">
        <f t="shared" si="2"/>
        <v>3.1349999999999998</v>
      </c>
      <c r="U18">
        <f t="shared" si="3"/>
        <v>0.66774500000000003</v>
      </c>
    </row>
    <row r="19" spans="1:21">
      <c r="A19">
        <f>15</f>
        <v>15</v>
      </c>
      <c r="L19">
        <v>2.56</v>
      </c>
      <c r="M19">
        <v>0.17599999999999999</v>
      </c>
      <c r="N19">
        <v>3.72</v>
      </c>
      <c r="O19">
        <v>0.23899999999999999</v>
      </c>
      <c r="R19">
        <f t="shared" si="0"/>
        <v>0.45055999999999996</v>
      </c>
      <c r="S19">
        <f t="shared" si="1"/>
        <v>0.88907999999999998</v>
      </c>
      <c r="T19">
        <f t="shared" si="2"/>
        <v>3.14</v>
      </c>
      <c r="U19">
        <f t="shared" si="3"/>
        <v>0.66981999999999997</v>
      </c>
    </row>
    <row r="20" spans="1:21">
      <c r="A20">
        <f>20</f>
        <v>20</v>
      </c>
      <c r="L20">
        <v>3.35</v>
      </c>
      <c r="M20">
        <v>0.17299999999999999</v>
      </c>
      <c r="N20">
        <v>4.57</v>
      </c>
      <c r="O20">
        <v>0.23200000000000001</v>
      </c>
      <c r="R20">
        <f t="shared" si="0"/>
        <v>0.57955000000000001</v>
      </c>
      <c r="S20">
        <f t="shared" si="1"/>
        <v>1.0602400000000001</v>
      </c>
      <c r="T20">
        <f t="shared" si="2"/>
        <v>3.96</v>
      </c>
      <c r="U20">
        <f t="shared" si="3"/>
        <v>0.81989500000000004</v>
      </c>
    </row>
    <row r="21" spans="1:21">
      <c r="A21">
        <f>20</f>
        <v>20</v>
      </c>
      <c r="L21">
        <v>3.38</v>
      </c>
      <c r="M21">
        <v>0.17199999999999999</v>
      </c>
      <c r="N21">
        <v>4.57</v>
      </c>
      <c r="O21">
        <v>0.23300000000000001</v>
      </c>
      <c r="R21">
        <f t="shared" si="0"/>
        <v>0.58135999999999999</v>
      </c>
      <c r="S21">
        <f t="shared" si="1"/>
        <v>1.06481</v>
      </c>
      <c r="T21">
        <f t="shared" si="2"/>
        <v>3.9750000000000001</v>
      </c>
      <c r="U21">
        <f t="shared" si="3"/>
        <v>0.82308500000000007</v>
      </c>
    </row>
    <row r="22" spans="1:21">
      <c r="A22">
        <f>20</f>
        <v>20</v>
      </c>
      <c r="L22">
        <v>3.41</v>
      </c>
      <c r="M22">
        <v>0.16700000000000001</v>
      </c>
      <c r="N22">
        <v>4.5599999999999996</v>
      </c>
      <c r="O22">
        <v>0.23300000000000001</v>
      </c>
      <c r="R22">
        <f t="shared" si="0"/>
        <v>0.56947000000000003</v>
      </c>
      <c r="S22">
        <f t="shared" si="1"/>
        <v>1.0624799999999999</v>
      </c>
      <c r="T22">
        <f t="shared" si="2"/>
        <v>3.9849999999999999</v>
      </c>
      <c r="U22">
        <f t="shared" si="3"/>
        <v>0.81597499999999989</v>
      </c>
    </row>
    <row r="23" spans="1:21">
      <c r="A23">
        <f>25</f>
        <v>25</v>
      </c>
      <c r="L23">
        <v>4.1500000000000004</v>
      </c>
      <c r="M23">
        <v>0.17</v>
      </c>
      <c r="N23">
        <v>5.01</v>
      </c>
      <c r="O23">
        <v>0.183</v>
      </c>
      <c r="R23">
        <f t="shared" si="0"/>
        <v>0.70550000000000013</v>
      </c>
      <c r="S23">
        <f t="shared" si="1"/>
        <v>0.91682999999999992</v>
      </c>
      <c r="T23">
        <f t="shared" si="2"/>
        <v>4.58</v>
      </c>
      <c r="U23">
        <f t="shared" si="3"/>
        <v>0.81116500000000002</v>
      </c>
    </row>
    <row r="24" spans="1:21">
      <c r="A24">
        <f>25</f>
        <v>25</v>
      </c>
      <c r="L24">
        <v>4.1500000000000004</v>
      </c>
      <c r="M24">
        <v>0.17399999999999999</v>
      </c>
      <c r="N24">
        <v>5.05</v>
      </c>
      <c r="O24">
        <v>0.185</v>
      </c>
      <c r="R24">
        <f t="shared" si="0"/>
        <v>0.72209999999999996</v>
      </c>
      <c r="S24">
        <f t="shared" si="1"/>
        <v>0.93424999999999991</v>
      </c>
      <c r="T24">
        <f t="shared" si="2"/>
        <v>4.5999999999999996</v>
      </c>
      <c r="U24">
        <f t="shared" si="3"/>
        <v>0.82817499999999988</v>
      </c>
    </row>
    <row r="25" spans="1:21">
      <c r="A25">
        <f>25</f>
        <v>25</v>
      </c>
      <c r="L25">
        <v>4.1500000000000004</v>
      </c>
      <c r="M25">
        <v>0.17100000000000001</v>
      </c>
      <c r="N25">
        <v>5.0599999999999996</v>
      </c>
      <c r="O25">
        <v>0.186</v>
      </c>
      <c r="R25">
        <f t="shared" si="0"/>
        <v>0.70965000000000011</v>
      </c>
      <c r="S25">
        <f t="shared" si="1"/>
        <v>0.94115999999999989</v>
      </c>
      <c r="T25">
        <f t="shared" si="2"/>
        <v>4.6050000000000004</v>
      </c>
      <c r="U25">
        <f t="shared" si="3"/>
        <v>0.82540499999999994</v>
      </c>
    </row>
    <row r="26" spans="1:21">
      <c r="A26">
        <f>27</f>
        <v>27</v>
      </c>
      <c r="L26">
        <v>4.83</v>
      </c>
      <c r="M26">
        <v>0.153</v>
      </c>
      <c r="N26">
        <v>5.15</v>
      </c>
      <c r="O26">
        <v>0.18099999999999999</v>
      </c>
      <c r="R26">
        <f t="shared" si="0"/>
        <v>0.73899000000000004</v>
      </c>
      <c r="S26">
        <f t="shared" si="1"/>
        <v>0.93215000000000003</v>
      </c>
      <c r="T26">
        <f t="shared" si="2"/>
        <v>4.99</v>
      </c>
      <c r="U26">
        <f t="shared" si="3"/>
        <v>0.83557000000000003</v>
      </c>
    </row>
    <row r="27" spans="1:21">
      <c r="A27">
        <f>27</f>
        <v>27</v>
      </c>
      <c r="L27">
        <v>4.79</v>
      </c>
      <c r="M27">
        <v>0.14799999999999999</v>
      </c>
      <c r="N27">
        <v>5.16</v>
      </c>
      <c r="O27">
        <v>0.185</v>
      </c>
      <c r="R27">
        <f t="shared" si="0"/>
        <v>0.70891999999999999</v>
      </c>
      <c r="S27">
        <f t="shared" si="1"/>
        <v>0.9546</v>
      </c>
      <c r="T27">
        <f t="shared" si="2"/>
        <v>4.9749999999999996</v>
      </c>
      <c r="U27">
        <f t="shared" si="3"/>
        <v>0.83176000000000005</v>
      </c>
    </row>
    <row r="28" spans="1:21">
      <c r="A28">
        <f>27</f>
        <v>27</v>
      </c>
      <c r="L28">
        <v>4.79</v>
      </c>
      <c r="M28">
        <v>0.158</v>
      </c>
      <c r="N28">
        <v>5.16</v>
      </c>
      <c r="O28">
        <v>0.183</v>
      </c>
      <c r="R28">
        <f t="shared" si="0"/>
        <v>0.75682000000000005</v>
      </c>
      <c r="S28">
        <f t="shared" si="1"/>
        <v>0.94428000000000001</v>
      </c>
      <c r="T28">
        <f t="shared" si="2"/>
        <v>4.9749999999999996</v>
      </c>
      <c r="U28">
        <f t="shared" si="3"/>
        <v>0.85055000000000003</v>
      </c>
    </row>
    <row r="29" spans="1:21">
      <c r="A29">
        <f>33</f>
        <v>33</v>
      </c>
      <c r="K29" t="s">
        <v>32</v>
      </c>
      <c r="L29">
        <v>5.23</v>
      </c>
      <c r="M29">
        <v>0.156</v>
      </c>
      <c r="N29">
        <v>5.39</v>
      </c>
      <c r="O29">
        <v>0.152</v>
      </c>
      <c r="R29">
        <f t="shared" si="0"/>
        <v>0.81588000000000005</v>
      </c>
      <c r="S29">
        <f t="shared" si="1"/>
        <v>0.8192799999999999</v>
      </c>
      <c r="T29">
        <f t="shared" si="2"/>
        <v>5.3100000000000005</v>
      </c>
      <c r="U29">
        <f t="shared" si="3"/>
        <v>0.81757999999999997</v>
      </c>
    </row>
    <row r="30" spans="1:21">
      <c r="A30">
        <f>33</f>
        <v>33</v>
      </c>
      <c r="L30">
        <v>5.22</v>
      </c>
      <c r="M30">
        <v>0.154</v>
      </c>
      <c r="N30">
        <v>5.39</v>
      </c>
      <c r="O30">
        <v>0.15</v>
      </c>
      <c r="R30">
        <f t="shared" si="0"/>
        <v>0.80387999999999993</v>
      </c>
      <c r="S30">
        <f t="shared" si="1"/>
        <v>0.80849999999999989</v>
      </c>
      <c r="T30">
        <f t="shared" si="2"/>
        <v>5.3049999999999997</v>
      </c>
      <c r="U30">
        <f t="shared" si="3"/>
        <v>0.80618999999999996</v>
      </c>
    </row>
    <row r="31" spans="1:21">
      <c r="A31">
        <f>33</f>
        <v>33</v>
      </c>
      <c r="L31">
        <v>5.21</v>
      </c>
      <c r="M31">
        <v>0.154</v>
      </c>
      <c r="N31">
        <v>5.38</v>
      </c>
      <c r="O31">
        <v>0.14699999999999999</v>
      </c>
      <c r="R31">
        <f t="shared" si="0"/>
        <v>0.80233999999999994</v>
      </c>
      <c r="S31">
        <f t="shared" si="1"/>
        <v>0.7908599999999999</v>
      </c>
      <c r="T31">
        <f t="shared" si="2"/>
        <v>5.2949999999999999</v>
      </c>
      <c r="U31">
        <f t="shared" si="3"/>
        <v>0.79659999999999997</v>
      </c>
    </row>
    <row r="32" spans="1:21">
      <c r="A32">
        <f>40</f>
        <v>40</v>
      </c>
      <c r="L32">
        <v>5.17</v>
      </c>
      <c r="M32">
        <v>0.13100000000000001</v>
      </c>
      <c r="N32">
        <v>5.52</v>
      </c>
      <c r="O32">
        <v>0.11799999999999999</v>
      </c>
      <c r="R32">
        <f t="shared" si="0"/>
        <v>0.67727000000000004</v>
      </c>
      <c r="S32">
        <f t="shared" si="1"/>
        <v>0.65135999999999994</v>
      </c>
      <c r="T32">
        <f t="shared" si="2"/>
        <v>5.3449999999999998</v>
      </c>
      <c r="U32">
        <f t="shared" si="3"/>
        <v>0.66431499999999999</v>
      </c>
    </row>
    <row r="33" spans="1:21">
      <c r="A33">
        <f>40</f>
        <v>40</v>
      </c>
      <c r="L33">
        <v>5.14</v>
      </c>
      <c r="M33">
        <v>0.13300000000000001</v>
      </c>
      <c r="N33">
        <v>5.52</v>
      </c>
      <c r="O33">
        <v>0.12</v>
      </c>
      <c r="R33">
        <f t="shared" si="0"/>
        <v>0.68362000000000001</v>
      </c>
      <c r="S33">
        <f t="shared" si="1"/>
        <v>0.66239999999999988</v>
      </c>
      <c r="T33">
        <f t="shared" si="2"/>
        <v>5.33</v>
      </c>
      <c r="U33">
        <f t="shared" si="3"/>
        <v>0.67300999999999989</v>
      </c>
    </row>
    <row r="34" spans="1:21">
      <c r="A34">
        <f>40</f>
        <v>40</v>
      </c>
      <c r="L34">
        <v>5.15</v>
      </c>
      <c r="M34">
        <v>0.127</v>
      </c>
      <c r="N34">
        <v>5.52</v>
      </c>
      <c r="O34">
        <v>0.125</v>
      </c>
      <c r="R34">
        <f t="shared" si="0"/>
        <v>0.65405000000000002</v>
      </c>
      <c r="S34">
        <f t="shared" si="1"/>
        <v>0.69</v>
      </c>
      <c r="T34">
        <f t="shared" si="2"/>
        <v>5.335</v>
      </c>
      <c r="U34">
        <f t="shared" si="3"/>
        <v>0.67202499999999998</v>
      </c>
    </row>
    <row r="35" spans="1:21">
      <c r="A35">
        <v>50</v>
      </c>
      <c r="L35">
        <v>5.49</v>
      </c>
      <c r="M35">
        <v>0.109</v>
      </c>
      <c r="N35">
        <v>5.69</v>
      </c>
      <c r="O35">
        <v>0.10299999999999999</v>
      </c>
      <c r="R35">
        <f t="shared" si="0"/>
        <v>0.59841</v>
      </c>
      <c r="S35">
        <f t="shared" si="1"/>
        <v>0.58606999999999998</v>
      </c>
      <c r="T35">
        <f t="shared" si="2"/>
        <v>5.59</v>
      </c>
      <c r="U35">
        <f t="shared" si="3"/>
        <v>0.59223999999999999</v>
      </c>
    </row>
    <row r="36" spans="1:21">
      <c r="A36">
        <v>50</v>
      </c>
      <c r="L36">
        <v>5.48</v>
      </c>
      <c r="M36">
        <v>0.10199999999999999</v>
      </c>
      <c r="N36">
        <v>5.67</v>
      </c>
      <c r="O36">
        <v>0.10100000000000001</v>
      </c>
      <c r="R36">
        <f t="shared" si="0"/>
        <v>0.55896000000000001</v>
      </c>
      <c r="S36">
        <f t="shared" si="1"/>
        <v>0.57267000000000001</v>
      </c>
      <c r="T36">
        <f t="shared" si="2"/>
        <v>5.5750000000000002</v>
      </c>
      <c r="U36">
        <f t="shared" si="3"/>
        <v>0.56581499999999996</v>
      </c>
    </row>
    <row r="37" spans="1:21">
      <c r="A37">
        <v>50</v>
      </c>
      <c r="L37">
        <v>5.47</v>
      </c>
      <c r="M37">
        <v>0.105</v>
      </c>
      <c r="N37">
        <v>5.66</v>
      </c>
      <c r="O37">
        <v>9.8000000000000004E-2</v>
      </c>
      <c r="R37">
        <f t="shared" si="0"/>
        <v>0.57434999999999992</v>
      </c>
      <c r="S37">
        <f t="shared" si="1"/>
        <v>0.55468000000000006</v>
      </c>
      <c r="T37">
        <f t="shared" si="2"/>
        <v>5.5649999999999995</v>
      </c>
      <c r="U37">
        <f t="shared" si="3"/>
        <v>0.56451499999999999</v>
      </c>
    </row>
    <row r="38" spans="1:21">
      <c r="A38">
        <f>75</f>
        <v>75</v>
      </c>
      <c r="L38">
        <v>5.65</v>
      </c>
      <c r="M38">
        <v>7.4999999999999997E-2</v>
      </c>
      <c r="N38">
        <v>5.82</v>
      </c>
      <c r="O38">
        <v>5.3999999999999999E-2</v>
      </c>
      <c r="R38">
        <f t="shared" si="0"/>
        <v>0.42375000000000002</v>
      </c>
      <c r="S38">
        <f t="shared" si="1"/>
        <v>0.31428</v>
      </c>
      <c r="T38">
        <f t="shared" si="2"/>
        <v>5.7350000000000003</v>
      </c>
      <c r="U38">
        <f t="shared" si="3"/>
        <v>0.36901499999999998</v>
      </c>
    </row>
    <row r="39" spans="1:21">
      <c r="A39">
        <f>75</f>
        <v>75</v>
      </c>
      <c r="L39">
        <v>5.64</v>
      </c>
      <c r="M39">
        <v>7.0999999999999994E-2</v>
      </c>
      <c r="N39">
        <v>5.82</v>
      </c>
      <c r="O39">
        <v>5.8000000000000003E-2</v>
      </c>
      <c r="R39">
        <f t="shared" si="0"/>
        <v>0.40043999999999996</v>
      </c>
      <c r="S39">
        <f t="shared" si="1"/>
        <v>0.33756000000000003</v>
      </c>
      <c r="T39">
        <f t="shared" si="2"/>
        <v>5.73</v>
      </c>
      <c r="U39">
        <f t="shared" si="3"/>
        <v>0.36899999999999999</v>
      </c>
    </row>
    <row r="40" spans="1:21">
      <c r="A40">
        <f>75</f>
        <v>75</v>
      </c>
      <c r="L40">
        <v>5.63</v>
      </c>
      <c r="M40">
        <v>7.0000000000000007E-2</v>
      </c>
      <c r="N40">
        <v>5.81</v>
      </c>
      <c r="O40">
        <v>5.2999999999999999E-2</v>
      </c>
      <c r="R40">
        <f t="shared" si="0"/>
        <v>0.39410000000000001</v>
      </c>
      <c r="S40">
        <f t="shared" si="1"/>
        <v>0.30792999999999998</v>
      </c>
      <c r="T40">
        <f t="shared" si="2"/>
        <v>5.72</v>
      </c>
      <c r="U40">
        <f t="shared" si="3"/>
        <v>0.35101499999999997</v>
      </c>
    </row>
    <row r="41" spans="1:21">
      <c r="A41">
        <f>100</f>
        <v>100</v>
      </c>
      <c r="L41">
        <v>5.66</v>
      </c>
      <c r="M41">
        <v>5.1999999999999998E-2</v>
      </c>
      <c r="N41">
        <v>5.89</v>
      </c>
      <c r="O41">
        <v>4.3999999999999997E-2</v>
      </c>
      <c r="R41">
        <f t="shared" si="0"/>
        <v>0.29431999999999997</v>
      </c>
      <c r="S41">
        <f t="shared" si="1"/>
        <v>0.25915999999999995</v>
      </c>
      <c r="T41">
        <f t="shared" si="2"/>
        <v>5.7750000000000004</v>
      </c>
      <c r="U41">
        <f t="shared" si="3"/>
        <v>0.27673999999999999</v>
      </c>
    </row>
    <row r="42" spans="1:21">
      <c r="A42">
        <f>100</f>
        <v>100</v>
      </c>
      <c r="L42">
        <v>5.66</v>
      </c>
      <c r="M42">
        <v>5.0999999999999997E-2</v>
      </c>
      <c r="N42">
        <v>5.88</v>
      </c>
      <c r="O42">
        <v>4.3999999999999997E-2</v>
      </c>
      <c r="R42">
        <f t="shared" si="0"/>
        <v>0.28865999999999997</v>
      </c>
      <c r="S42">
        <f t="shared" si="1"/>
        <v>0.25872000000000001</v>
      </c>
      <c r="T42">
        <f t="shared" si="2"/>
        <v>5.77</v>
      </c>
      <c r="U42">
        <f t="shared" si="3"/>
        <v>0.27368999999999999</v>
      </c>
    </row>
    <row r="43" spans="1:21" s="7" customFormat="1">
      <c r="A43" s="7">
        <f>100</f>
        <v>100</v>
      </c>
      <c r="L43" s="7">
        <v>5.65</v>
      </c>
      <c r="M43" s="7">
        <v>5.2999999999999999E-2</v>
      </c>
      <c r="N43" s="7">
        <v>5.86</v>
      </c>
      <c r="O43" s="7">
        <v>4.4999999999999998E-2</v>
      </c>
      <c r="R43">
        <f t="shared" si="0"/>
        <v>0.29944999999999999</v>
      </c>
      <c r="S43">
        <f t="shared" si="1"/>
        <v>0.26369999999999999</v>
      </c>
      <c r="T43">
        <f t="shared" si="2"/>
        <v>5.7550000000000008</v>
      </c>
      <c r="U43">
        <f t="shared" si="3"/>
        <v>0.28157500000000002</v>
      </c>
    </row>
    <row r="44" spans="1:21">
      <c r="A44">
        <f>330</f>
        <v>330</v>
      </c>
      <c r="L44" s="7">
        <v>5.74</v>
      </c>
      <c r="M44" s="7">
        <v>5.2999999999999999E-2</v>
      </c>
      <c r="N44">
        <v>5.97</v>
      </c>
      <c r="O44">
        <v>2.5999999999999999E-2</v>
      </c>
      <c r="R44">
        <f t="shared" si="0"/>
        <v>0.30421999999999999</v>
      </c>
      <c r="S44">
        <f t="shared" si="1"/>
        <v>0.15522</v>
      </c>
      <c r="T44">
        <f t="shared" si="2"/>
        <v>5.8550000000000004</v>
      </c>
      <c r="U44">
        <f t="shared" si="3"/>
        <v>0.22971999999999998</v>
      </c>
    </row>
    <row r="45" spans="1:21">
      <c r="A45">
        <f>330</f>
        <v>330</v>
      </c>
      <c r="L45" s="7">
        <v>5.74</v>
      </c>
      <c r="M45" s="7">
        <v>5.1999999999999998E-2</v>
      </c>
      <c r="N45">
        <v>5.94</v>
      </c>
      <c r="O45">
        <v>2.1000000000000001E-2</v>
      </c>
      <c r="R45">
        <f t="shared" si="0"/>
        <v>0.29848000000000002</v>
      </c>
      <c r="S45">
        <f t="shared" si="1"/>
        <v>0.12474000000000002</v>
      </c>
      <c r="T45">
        <f t="shared" si="2"/>
        <v>5.84</v>
      </c>
      <c r="U45">
        <f t="shared" si="3"/>
        <v>0.21161000000000002</v>
      </c>
    </row>
    <row r="46" spans="1:21">
      <c r="A46">
        <f>330</f>
        <v>330</v>
      </c>
      <c r="L46" s="7">
        <v>5.72</v>
      </c>
      <c r="M46" s="7">
        <v>5.3999999999999999E-2</v>
      </c>
      <c r="N46">
        <v>5.9</v>
      </c>
      <c r="O46">
        <v>0.02</v>
      </c>
      <c r="R46">
        <f t="shared" si="0"/>
        <v>0.30887999999999999</v>
      </c>
      <c r="S46">
        <f t="shared" si="1"/>
        <v>0.11800000000000001</v>
      </c>
      <c r="T46">
        <f t="shared" si="2"/>
        <v>5.8100000000000005</v>
      </c>
      <c r="U46">
        <f t="shared" si="3"/>
        <v>0.21343999999999999</v>
      </c>
    </row>
    <row r="47" spans="1:21">
      <c r="A47">
        <f>1000</f>
        <v>1000</v>
      </c>
      <c r="L47" s="7">
        <v>5.8</v>
      </c>
      <c r="M47" s="7">
        <v>3.9E-2</v>
      </c>
      <c r="N47">
        <v>5.99</v>
      </c>
      <c r="O47">
        <v>8.9999999999999993E-3</v>
      </c>
      <c r="R47">
        <f t="shared" si="0"/>
        <v>0.22619999999999998</v>
      </c>
      <c r="S47">
        <f t="shared" si="1"/>
        <v>5.391E-2</v>
      </c>
      <c r="T47">
        <f t="shared" si="2"/>
        <v>5.8949999999999996</v>
      </c>
      <c r="U47">
        <f t="shared" si="3"/>
        <v>0.14005499999999999</v>
      </c>
    </row>
    <row r="48" spans="1:21">
      <c r="A48">
        <f>1000</f>
        <v>1000</v>
      </c>
      <c r="L48" s="7">
        <v>5.8</v>
      </c>
      <c r="M48" s="7">
        <v>4.3999999999999997E-2</v>
      </c>
      <c r="N48">
        <v>5.98</v>
      </c>
      <c r="O48">
        <v>1.0999999999999999E-2</v>
      </c>
      <c r="R48">
        <f t="shared" si="0"/>
        <v>0.25519999999999998</v>
      </c>
      <c r="S48">
        <f t="shared" si="1"/>
        <v>6.5780000000000005E-2</v>
      </c>
      <c r="T48">
        <f t="shared" si="2"/>
        <v>5.8900000000000006</v>
      </c>
      <c r="U48">
        <f t="shared" si="3"/>
        <v>0.16048999999999999</v>
      </c>
    </row>
    <row r="49" spans="1:21">
      <c r="A49">
        <f>1000</f>
        <v>1000</v>
      </c>
      <c r="L49" s="7">
        <v>5.8</v>
      </c>
      <c r="M49" s="7">
        <v>4.2999999999999997E-2</v>
      </c>
      <c r="N49">
        <v>5.97</v>
      </c>
      <c r="O49">
        <v>0.01</v>
      </c>
      <c r="R49">
        <f t="shared" si="0"/>
        <v>0.24939999999999998</v>
      </c>
      <c r="S49">
        <f t="shared" si="1"/>
        <v>5.9699999999999996E-2</v>
      </c>
      <c r="T49">
        <f t="shared" si="2"/>
        <v>5.8849999999999998</v>
      </c>
      <c r="U49">
        <f t="shared" si="3"/>
        <v>0.15454999999999999</v>
      </c>
    </row>
    <row r="50" spans="1:21">
      <c r="A50">
        <f>2000</f>
        <v>2000</v>
      </c>
      <c r="L50" s="7">
        <v>5.83</v>
      </c>
      <c r="M50" s="7">
        <v>3.5999999999999997E-2</v>
      </c>
      <c r="N50">
        <v>5.96</v>
      </c>
      <c r="O50">
        <v>6.0000000000000001E-3</v>
      </c>
      <c r="R50">
        <f t="shared" si="0"/>
        <v>0.20987999999999998</v>
      </c>
      <c r="S50">
        <f t="shared" si="1"/>
        <v>3.576E-2</v>
      </c>
      <c r="T50">
        <f t="shared" si="2"/>
        <v>5.8949999999999996</v>
      </c>
      <c r="U50">
        <f t="shared" si="3"/>
        <v>0.12281999999999998</v>
      </c>
    </row>
    <row r="51" spans="1:21">
      <c r="A51">
        <f>2000</f>
        <v>2000</v>
      </c>
      <c r="L51" s="7">
        <v>5.83</v>
      </c>
      <c r="M51" s="7">
        <v>3.6999999999999998E-2</v>
      </c>
      <c r="N51">
        <v>5.94</v>
      </c>
      <c r="O51">
        <v>3.0000000000000001E-3</v>
      </c>
      <c r="R51">
        <f t="shared" si="0"/>
        <v>0.21570999999999999</v>
      </c>
      <c r="S51">
        <f t="shared" si="1"/>
        <v>1.7820000000000003E-2</v>
      </c>
      <c r="T51">
        <f t="shared" si="2"/>
        <v>5.8849999999999998</v>
      </c>
      <c r="U51">
        <f t="shared" si="3"/>
        <v>0.11676499999999999</v>
      </c>
    </row>
    <row r="52" spans="1:21">
      <c r="A52">
        <f>2000</f>
        <v>2000</v>
      </c>
      <c r="L52" s="7">
        <v>5.82</v>
      </c>
      <c r="M52" s="7">
        <v>3.6999999999999998E-2</v>
      </c>
      <c r="N52">
        <v>5.93</v>
      </c>
      <c r="O52">
        <v>5.0000000000000001E-3</v>
      </c>
      <c r="R52">
        <f>L52*M52</f>
        <v>0.21534</v>
      </c>
      <c r="S52">
        <f t="shared" si="1"/>
        <v>2.9649999999999999E-2</v>
      </c>
      <c r="T52">
        <f t="shared" si="2"/>
        <v>5.875</v>
      </c>
      <c r="U52">
        <f t="shared" si="3"/>
        <v>0.12249500000000001</v>
      </c>
    </row>
    <row r="53" spans="1:21">
      <c r="A53" t="s">
        <v>18</v>
      </c>
      <c r="B53">
        <f>3.9</f>
        <v>3.9</v>
      </c>
      <c r="C53">
        <f>0</f>
        <v>0</v>
      </c>
      <c r="L53">
        <f>5.8</f>
        <v>5.8</v>
      </c>
      <c r="M53">
        <f>0</f>
        <v>0</v>
      </c>
      <c r="N53">
        <f>5.8</f>
        <v>5.8</v>
      </c>
      <c r="O53">
        <f>0</f>
        <v>0</v>
      </c>
      <c r="P53">
        <f>5.8</f>
        <v>5.8</v>
      </c>
      <c r="Q53">
        <f>0</f>
        <v>0</v>
      </c>
    </row>
    <row r="54" spans="1:21">
      <c r="A54" t="s">
        <v>18</v>
      </c>
      <c r="B54">
        <f>3.94</f>
        <v>3.94</v>
      </c>
      <c r="C54">
        <f>0</f>
        <v>0</v>
      </c>
      <c r="L54">
        <f>5.79</f>
        <v>5.79</v>
      </c>
      <c r="M54">
        <f>0</f>
        <v>0</v>
      </c>
      <c r="N54">
        <f>5.79</f>
        <v>5.79</v>
      </c>
      <c r="O54">
        <f>0</f>
        <v>0</v>
      </c>
      <c r="P54">
        <f>5.79</f>
        <v>5.79</v>
      </c>
      <c r="Q54">
        <f>0</f>
        <v>0</v>
      </c>
    </row>
    <row r="55" spans="1:21">
      <c r="A55" t="s">
        <v>18</v>
      </c>
      <c r="B55">
        <f>3.96</f>
        <v>3.96</v>
      </c>
      <c r="C55">
        <f>0</f>
        <v>0</v>
      </c>
      <c r="L55">
        <f>5.79</f>
        <v>5.79</v>
      </c>
      <c r="M55">
        <f>0</f>
        <v>0</v>
      </c>
      <c r="N55">
        <f>5.79</f>
        <v>5.79</v>
      </c>
      <c r="O55">
        <f>0</f>
        <v>0</v>
      </c>
      <c r="P55">
        <f>5.79</f>
        <v>5.79</v>
      </c>
      <c r="Q55">
        <f>0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435D4-2E15-4ADD-97FC-C573B341947C}">
  <dimension ref="A1:M43"/>
  <sheetViews>
    <sheetView zoomScale="55" zoomScaleNormal="55" workbookViewId="0">
      <selection activeCell="F14" sqref="F14"/>
    </sheetView>
  </sheetViews>
  <sheetFormatPr defaultRowHeight="14"/>
  <cols>
    <col min="3" max="5" width="12.75" customWidth="1"/>
  </cols>
  <sheetData>
    <row r="1" spans="1:13">
      <c r="A1" t="s">
        <v>27</v>
      </c>
      <c r="C1">
        <v>18</v>
      </c>
    </row>
    <row r="2" spans="1:13">
      <c r="A2" t="s">
        <v>20</v>
      </c>
      <c r="B2" t="s">
        <v>21</v>
      </c>
      <c r="F2" t="s">
        <v>22</v>
      </c>
      <c r="H2" t="s">
        <v>23</v>
      </c>
      <c r="J2" t="s">
        <v>25</v>
      </c>
      <c r="L2" t="s">
        <v>26</v>
      </c>
    </row>
    <row r="3" spans="1:13">
      <c r="A3" t="s">
        <v>24</v>
      </c>
    </row>
    <row r="4" spans="1:13">
      <c r="A4" t="s">
        <v>17</v>
      </c>
      <c r="B4" t="s">
        <v>15</v>
      </c>
      <c r="C4" t="s">
        <v>16</v>
      </c>
      <c r="E4" t="s">
        <v>28</v>
      </c>
      <c r="F4" t="s">
        <v>15</v>
      </c>
      <c r="G4" t="s">
        <v>16</v>
      </c>
      <c r="H4" t="s">
        <v>15</v>
      </c>
      <c r="I4" t="s">
        <v>16</v>
      </c>
      <c r="J4" t="s">
        <v>15</v>
      </c>
      <c r="K4" t="s">
        <v>16</v>
      </c>
      <c r="L4" t="s">
        <v>15</v>
      </c>
      <c r="M4" t="s">
        <v>16</v>
      </c>
    </row>
    <row r="5" spans="1:13">
      <c r="A5" t="s">
        <v>19</v>
      </c>
      <c r="B5">
        <v>0</v>
      </c>
      <c r="C5">
        <f>0.006</f>
        <v>6.0000000000000001E-3</v>
      </c>
    </row>
    <row r="6" spans="1:13">
      <c r="A6" t="s">
        <v>19</v>
      </c>
      <c r="B6">
        <f>0</f>
        <v>0</v>
      </c>
      <c r="C6">
        <f>0.006</f>
        <v>6.0000000000000001E-3</v>
      </c>
    </row>
    <row r="7" spans="1:13">
      <c r="A7" t="s">
        <v>19</v>
      </c>
      <c r="B7">
        <f>0</f>
        <v>0</v>
      </c>
      <c r="C7">
        <f>0.005</f>
        <v>5.0000000000000001E-3</v>
      </c>
    </row>
    <row r="8" spans="1:13">
      <c r="A8">
        <v>2.2000000000000002</v>
      </c>
      <c r="B8">
        <f>0.0035</f>
        <v>3.5000000000000001E-3</v>
      </c>
      <c r="C8">
        <f>0.008</f>
        <v>8.0000000000000002E-3</v>
      </c>
      <c r="D8">
        <f>B8/A8</f>
        <v>1.5909090909090907E-3</v>
      </c>
      <c r="E8">
        <f>B8*C8</f>
        <v>2.8E-5</v>
      </c>
    </row>
    <row r="9" spans="1:13">
      <c r="A9">
        <v>2.2000000000000002</v>
      </c>
      <c r="B9">
        <f>0.0033</f>
        <v>3.3E-3</v>
      </c>
      <c r="C9">
        <f>0.007</f>
        <v>7.0000000000000001E-3</v>
      </c>
      <c r="D9">
        <f t="shared" ref="D9:D40" si="0">B9/A9</f>
        <v>1.4999999999999998E-3</v>
      </c>
      <c r="E9">
        <f t="shared" ref="E9:E40" si="1">B9*C9</f>
        <v>2.3099999999999999E-5</v>
      </c>
    </row>
    <row r="10" spans="1:13">
      <c r="A10">
        <v>2.2000000000000002</v>
      </c>
      <c r="B10">
        <f>0.0037</f>
        <v>3.7000000000000002E-3</v>
      </c>
      <c r="C10">
        <f>0.008</f>
        <v>8.0000000000000002E-3</v>
      </c>
      <c r="D10">
        <f t="shared" si="0"/>
        <v>1.6818181818181817E-3</v>
      </c>
      <c r="E10">
        <f t="shared" si="1"/>
        <v>2.9600000000000001E-5</v>
      </c>
    </row>
    <row r="11" spans="1:13">
      <c r="A11">
        <f>10</f>
        <v>10</v>
      </c>
      <c r="B11">
        <f>0.0137</f>
        <v>1.37E-2</v>
      </c>
      <c r="C11">
        <f>0.013</f>
        <v>1.2999999999999999E-2</v>
      </c>
      <c r="D11">
        <f t="shared" si="0"/>
        <v>1.3700000000000001E-3</v>
      </c>
      <c r="E11">
        <f t="shared" si="1"/>
        <v>1.7809999999999999E-4</v>
      </c>
    </row>
    <row r="12" spans="1:13">
      <c r="A12">
        <f>10</f>
        <v>10</v>
      </c>
      <c r="B12">
        <f>0.0141</f>
        <v>1.41E-2</v>
      </c>
      <c r="C12">
        <f>0.013</f>
        <v>1.2999999999999999E-2</v>
      </c>
      <c r="D12">
        <f t="shared" si="0"/>
        <v>1.41E-3</v>
      </c>
      <c r="E12">
        <f t="shared" si="1"/>
        <v>1.8329999999999998E-4</v>
      </c>
    </row>
    <row r="13" spans="1:13">
      <c r="A13">
        <f>10</f>
        <v>10</v>
      </c>
      <c r="B13">
        <f>0.0133</f>
        <v>1.3299999999999999E-2</v>
      </c>
      <c r="C13">
        <f>0.014</f>
        <v>1.4E-2</v>
      </c>
      <c r="D13">
        <f t="shared" si="0"/>
        <v>1.33E-3</v>
      </c>
      <c r="E13">
        <f t="shared" si="1"/>
        <v>1.862E-4</v>
      </c>
    </row>
    <row r="14" spans="1:13">
      <c r="A14">
        <f>20</f>
        <v>20</v>
      </c>
      <c r="B14">
        <f>0.0487</f>
        <v>4.87E-2</v>
      </c>
      <c r="C14">
        <f>0.011</f>
        <v>1.0999999999999999E-2</v>
      </c>
      <c r="D14">
        <f t="shared" si="0"/>
        <v>2.4350000000000001E-3</v>
      </c>
      <c r="E14">
        <f t="shared" si="1"/>
        <v>5.3569999999999996E-4</v>
      </c>
    </row>
    <row r="15" spans="1:13">
      <c r="A15">
        <f>20</f>
        <v>20</v>
      </c>
      <c r="B15">
        <f>0.0472</f>
        <v>4.7199999999999999E-2</v>
      </c>
      <c r="C15">
        <f>0.01</f>
        <v>0.01</v>
      </c>
      <c r="D15">
        <f t="shared" si="0"/>
        <v>2.3600000000000001E-3</v>
      </c>
      <c r="E15">
        <f t="shared" si="1"/>
        <v>4.7199999999999998E-4</v>
      </c>
    </row>
    <row r="16" spans="1:13">
      <c r="A16">
        <f>20</f>
        <v>20</v>
      </c>
      <c r="B16">
        <f>0.0492</f>
        <v>4.9200000000000001E-2</v>
      </c>
      <c r="C16">
        <f>0.009</f>
        <v>8.9999999999999993E-3</v>
      </c>
      <c r="D16">
        <f t="shared" si="0"/>
        <v>2.4599999999999999E-3</v>
      </c>
      <c r="E16">
        <f t="shared" si="1"/>
        <v>4.4279999999999998E-4</v>
      </c>
    </row>
    <row r="17" spans="1:5">
      <c r="A17">
        <f>30</f>
        <v>30</v>
      </c>
      <c r="B17">
        <f>0.087</f>
        <v>8.6999999999999994E-2</v>
      </c>
      <c r="C17">
        <f>0.011</f>
        <v>1.0999999999999999E-2</v>
      </c>
      <c r="D17">
        <f t="shared" si="0"/>
        <v>2.8999999999999998E-3</v>
      </c>
      <c r="E17">
        <f t="shared" si="1"/>
        <v>9.5699999999999984E-4</v>
      </c>
    </row>
    <row r="18" spans="1:5">
      <c r="A18">
        <f>30</f>
        <v>30</v>
      </c>
      <c r="B18">
        <f>0.0883</f>
        <v>8.8300000000000003E-2</v>
      </c>
      <c r="C18">
        <f>0.012</f>
        <v>1.2E-2</v>
      </c>
      <c r="D18">
        <f t="shared" si="0"/>
        <v>2.9433333333333334E-3</v>
      </c>
      <c r="E18">
        <f t="shared" si="1"/>
        <v>1.0596000000000002E-3</v>
      </c>
    </row>
    <row r="19" spans="1:5">
      <c r="A19">
        <f>30</f>
        <v>30</v>
      </c>
      <c r="B19">
        <f>0.0905</f>
        <v>9.0499999999999997E-2</v>
      </c>
      <c r="C19">
        <f>0.013</f>
        <v>1.2999999999999999E-2</v>
      </c>
      <c r="D19">
        <f t="shared" si="0"/>
        <v>3.0166666666666666E-3</v>
      </c>
      <c r="E19">
        <f t="shared" si="1"/>
        <v>1.1764999999999998E-3</v>
      </c>
    </row>
    <row r="20" spans="1:5">
      <c r="A20">
        <f>40</f>
        <v>40</v>
      </c>
      <c r="B20">
        <f>0.0981</f>
        <v>9.8100000000000007E-2</v>
      </c>
      <c r="C20">
        <f>0.005</f>
        <v>5.0000000000000001E-3</v>
      </c>
      <c r="D20">
        <f t="shared" si="0"/>
        <v>2.4525000000000003E-3</v>
      </c>
      <c r="E20">
        <f t="shared" si="1"/>
        <v>4.9050000000000005E-4</v>
      </c>
    </row>
    <row r="21" spans="1:5">
      <c r="A21">
        <f>40</f>
        <v>40</v>
      </c>
      <c r="B21">
        <f>0.0952</f>
        <v>9.5200000000000007E-2</v>
      </c>
      <c r="C21">
        <f>0.006</f>
        <v>6.0000000000000001E-3</v>
      </c>
      <c r="D21">
        <f t="shared" si="0"/>
        <v>2.3800000000000002E-3</v>
      </c>
      <c r="E21">
        <f t="shared" si="1"/>
        <v>5.7120000000000001E-4</v>
      </c>
    </row>
    <row r="22" spans="1:5">
      <c r="A22">
        <f>40</f>
        <v>40</v>
      </c>
      <c r="B22">
        <f>0.0951</f>
        <v>9.5100000000000004E-2</v>
      </c>
      <c r="C22">
        <f>0.007</f>
        <v>7.0000000000000001E-3</v>
      </c>
      <c r="D22">
        <f t="shared" si="0"/>
        <v>2.3775000000000003E-3</v>
      </c>
      <c r="E22">
        <f t="shared" si="1"/>
        <v>6.6570000000000008E-4</v>
      </c>
    </row>
    <row r="23" spans="1:5" s="6" customFormat="1">
      <c r="A23" s="6">
        <f>50</f>
        <v>50</v>
      </c>
      <c r="B23" s="6">
        <f>0.1826</f>
        <v>0.18260000000000001</v>
      </c>
      <c r="C23" s="6">
        <f>0.008</f>
        <v>8.0000000000000002E-3</v>
      </c>
      <c r="D23">
        <f t="shared" si="0"/>
        <v>3.6520000000000003E-3</v>
      </c>
      <c r="E23">
        <f t="shared" si="1"/>
        <v>1.4608000000000002E-3</v>
      </c>
    </row>
    <row r="24" spans="1:5">
      <c r="A24">
        <f>50</f>
        <v>50</v>
      </c>
      <c r="B24">
        <f>0.1729</f>
        <v>0.1729</v>
      </c>
      <c r="C24">
        <f>0.009</f>
        <v>8.9999999999999993E-3</v>
      </c>
      <c r="D24">
        <f t="shared" si="0"/>
        <v>3.4580000000000001E-3</v>
      </c>
      <c r="E24">
        <f t="shared" si="1"/>
        <v>1.5560999999999999E-3</v>
      </c>
    </row>
    <row r="25" spans="1:5">
      <c r="A25">
        <f>50</f>
        <v>50</v>
      </c>
      <c r="B25">
        <f>0.1712</f>
        <v>0.17119999999999999</v>
      </c>
      <c r="C25">
        <f>0.009</f>
        <v>8.9999999999999993E-3</v>
      </c>
      <c r="D25">
        <f t="shared" si="0"/>
        <v>3.424E-3</v>
      </c>
      <c r="E25">
        <f t="shared" si="1"/>
        <v>1.5407999999999997E-3</v>
      </c>
    </row>
    <row r="26" spans="1:5">
      <c r="A26">
        <f>60</f>
        <v>60</v>
      </c>
      <c r="B26">
        <f>0.1828</f>
        <v>0.18279999999999999</v>
      </c>
      <c r="C26">
        <f>0.012</f>
        <v>1.2E-2</v>
      </c>
      <c r="D26">
        <f t="shared" si="0"/>
        <v>3.0466666666666667E-3</v>
      </c>
      <c r="E26">
        <f t="shared" si="1"/>
        <v>2.1936E-3</v>
      </c>
    </row>
    <row r="27" spans="1:5">
      <c r="A27">
        <f>60</f>
        <v>60</v>
      </c>
      <c r="B27">
        <f>0.1845</f>
        <v>0.1845</v>
      </c>
      <c r="C27">
        <f>0.013</f>
        <v>1.2999999999999999E-2</v>
      </c>
      <c r="D27">
        <f t="shared" si="0"/>
        <v>3.075E-3</v>
      </c>
      <c r="E27">
        <f t="shared" si="1"/>
        <v>2.3985E-3</v>
      </c>
    </row>
    <row r="28" spans="1:5">
      <c r="A28">
        <f>60</f>
        <v>60</v>
      </c>
      <c r="B28">
        <f>0.1236</f>
        <v>0.1236</v>
      </c>
      <c r="C28">
        <f>0.012</f>
        <v>1.2E-2</v>
      </c>
      <c r="D28">
        <f t="shared" si="0"/>
        <v>2.0600000000000002E-3</v>
      </c>
      <c r="E28">
        <f t="shared" si="1"/>
        <v>1.4832000000000001E-3</v>
      </c>
    </row>
    <row r="29" spans="1:5">
      <c r="A29">
        <f>70</f>
        <v>70</v>
      </c>
      <c r="B29">
        <f>0.1443</f>
        <v>0.14430000000000001</v>
      </c>
      <c r="C29">
        <f>0.019</f>
        <v>1.9E-2</v>
      </c>
      <c r="D29">
        <f t="shared" si="0"/>
        <v>2.0614285714285717E-3</v>
      </c>
      <c r="E29">
        <f t="shared" si="1"/>
        <v>2.7417000000000001E-3</v>
      </c>
    </row>
    <row r="30" spans="1:5">
      <c r="A30">
        <f>70</f>
        <v>70</v>
      </c>
      <c r="B30">
        <f>0.1462</f>
        <v>0.1462</v>
      </c>
      <c r="C30">
        <f>0.02</f>
        <v>0.02</v>
      </c>
      <c r="D30">
        <f t="shared" si="0"/>
        <v>2.0885714285714283E-3</v>
      </c>
      <c r="E30">
        <f t="shared" si="1"/>
        <v>2.9239999999999999E-3</v>
      </c>
    </row>
    <row r="31" spans="1:5">
      <c r="A31">
        <f>70</f>
        <v>70</v>
      </c>
      <c r="B31">
        <f>0.1457</f>
        <v>0.1457</v>
      </c>
      <c r="C31">
        <f>0.021</f>
        <v>2.1000000000000001E-2</v>
      </c>
      <c r="D31">
        <f t="shared" si="0"/>
        <v>2.0814285714285713E-3</v>
      </c>
      <c r="E31">
        <f t="shared" si="1"/>
        <v>3.0597000000000003E-3</v>
      </c>
    </row>
    <row r="32" spans="1:5">
      <c r="A32">
        <f>80</f>
        <v>80</v>
      </c>
      <c r="B32">
        <f>0.1339</f>
        <v>0.13389999999999999</v>
      </c>
      <c r="C32">
        <f>0.019</f>
        <v>1.9E-2</v>
      </c>
      <c r="D32">
        <f t="shared" si="0"/>
        <v>1.6737499999999999E-3</v>
      </c>
      <c r="E32">
        <f t="shared" si="1"/>
        <v>2.5440999999999997E-3</v>
      </c>
    </row>
    <row r="33" spans="1:5">
      <c r="A33">
        <f>80</f>
        <v>80</v>
      </c>
      <c r="B33">
        <f>0.1374</f>
        <v>0.13739999999999999</v>
      </c>
      <c r="C33">
        <f>0.016</f>
        <v>1.6E-2</v>
      </c>
      <c r="D33">
        <f t="shared" si="0"/>
        <v>1.7174999999999998E-3</v>
      </c>
      <c r="E33">
        <f t="shared" si="1"/>
        <v>2.1984000000000001E-3</v>
      </c>
    </row>
    <row r="34" spans="1:5">
      <c r="A34">
        <f>80</f>
        <v>80</v>
      </c>
      <c r="B34">
        <f>0.1357</f>
        <v>0.13569999999999999</v>
      </c>
      <c r="C34">
        <f>0.015</f>
        <v>1.4999999999999999E-2</v>
      </c>
      <c r="D34">
        <f t="shared" si="0"/>
        <v>1.6962499999999998E-3</v>
      </c>
      <c r="E34">
        <f t="shared" si="1"/>
        <v>2.0354999999999995E-3</v>
      </c>
    </row>
    <row r="35" spans="1:5">
      <c r="A35">
        <f>90</f>
        <v>90</v>
      </c>
      <c r="B35">
        <f>0.1391</f>
        <v>0.1391</v>
      </c>
      <c r="C35">
        <f>0.023</f>
        <v>2.3E-2</v>
      </c>
      <c r="D35">
        <f t="shared" si="0"/>
        <v>1.5455555555555557E-3</v>
      </c>
      <c r="E35">
        <f t="shared" si="1"/>
        <v>3.1993E-3</v>
      </c>
    </row>
    <row r="36" spans="1:5">
      <c r="A36">
        <f>90</f>
        <v>90</v>
      </c>
      <c r="B36">
        <f>0.143</f>
        <v>0.14299999999999999</v>
      </c>
      <c r="C36">
        <f>0.024</f>
        <v>2.4E-2</v>
      </c>
      <c r="D36">
        <f t="shared" si="0"/>
        <v>1.5888888888888888E-3</v>
      </c>
      <c r="E36">
        <f t="shared" si="1"/>
        <v>3.4319999999999997E-3</v>
      </c>
    </row>
    <row r="37" spans="1:5">
      <c r="A37">
        <f>90</f>
        <v>90</v>
      </c>
      <c r="B37">
        <f>0.1416</f>
        <v>0.1416</v>
      </c>
      <c r="C37">
        <f>0.026</f>
        <v>2.5999999999999999E-2</v>
      </c>
      <c r="D37">
        <f t="shared" si="0"/>
        <v>1.5733333333333333E-3</v>
      </c>
      <c r="E37">
        <f t="shared" si="1"/>
        <v>3.6815999999999997E-3</v>
      </c>
    </row>
    <row r="38" spans="1:5">
      <c r="A38">
        <f>100</f>
        <v>100</v>
      </c>
      <c r="B38">
        <f>0.1038</f>
        <v>0.1038</v>
      </c>
      <c r="C38">
        <f>0.023</f>
        <v>2.3E-2</v>
      </c>
      <c r="D38">
        <f t="shared" si="0"/>
        <v>1.0380000000000001E-3</v>
      </c>
      <c r="E38">
        <f t="shared" si="1"/>
        <v>2.3874E-3</v>
      </c>
    </row>
    <row r="39" spans="1:5">
      <c r="A39">
        <f>100</f>
        <v>100</v>
      </c>
      <c r="B39">
        <f>0.1043</f>
        <v>0.1043</v>
      </c>
      <c r="C39">
        <f>0.024</f>
        <v>2.4E-2</v>
      </c>
      <c r="D39">
        <f t="shared" si="0"/>
        <v>1.0430000000000001E-3</v>
      </c>
      <c r="E39">
        <f t="shared" si="1"/>
        <v>2.5032000000000001E-3</v>
      </c>
    </row>
    <row r="40" spans="1:5">
      <c r="A40">
        <f>100</f>
        <v>100</v>
      </c>
      <c r="B40">
        <f>0.1039</f>
        <v>0.10390000000000001</v>
      </c>
      <c r="C40">
        <f>0.02</f>
        <v>0.02</v>
      </c>
      <c r="D40">
        <f t="shared" si="0"/>
        <v>1.039E-3</v>
      </c>
      <c r="E40">
        <f t="shared" si="1"/>
        <v>2.078E-3</v>
      </c>
    </row>
    <row r="41" spans="1:5">
      <c r="A41" t="s">
        <v>18</v>
      </c>
      <c r="B41">
        <f>3.9</f>
        <v>3.9</v>
      </c>
      <c r="C41">
        <f>0</f>
        <v>0</v>
      </c>
    </row>
    <row r="42" spans="1:5">
      <c r="A42" t="s">
        <v>18</v>
      </c>
      <c r="B42">
        <f>3.94</f>
        <v>3.94</v>
      </c>
      <c r="C42">
        <f>0</f>
        <v>0</v>
      </c>
    </row>
    <row r="43" spans="1:5">
      <c r="A43" t="s">
        <v>18</v>
      </c>
      <c r="B43">
        <f>3.96</f>
        <v>3.96</v>
      </c>
      <c r="C43">
        <f>0</f>
        <v>0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B4F7A-F07D-4882-BE8E-2B082B908AFA}">
  <dimension ref="A1:V13"/>
  <sheetViews>
    <sheetView zoomScale="70" zoomScaleNormal="70" workbookViewId="0">
      <selection activeCell="K11" sqref="K11"/>
    </sheetView>
  </sheetViews>
  <sheetFormatPr defaultRowHeight="14"/>
  <sheetData>
    <row r="1" spans="1:22">
      <c r="A1" t="s">
        <v>35</v>
      </c>
      <c r="B1" t="s">
        <v>36</v>
      </c>
    </row>
    <row r="2" spans="1:22">
      <c r="A2">
        <f>4.21</f>
        <v>4.21</v>
      </c>
      <c r="B2">
        <f>0.036</f>
        <v>3.5999999999999997E-2</v>
      </c>
    </row>
    <row r="3" spans="1:22">
      <c r="A3">
        <f>4.3</f>
        <v>4.3</v>
      </c>
      <c r="B3">
        <f>0.036</f>
        <v>3.5999999999999997E-2</v>
      </c>
    </row>
    <row r="4" spans="1:22">
      <c r="A4">
        <f>4.4</f>
        <v>4.4000000000000004</v>
      </c>
      <c r="B4">
        <f>0.037</f>
        <v>3.6999999999999998E-2</v>
      </c>
    </row>
    <row r="5" spans="1:22">
      <c r="A5">
        <f>4.5</f>
        <v>4.5</v>
      </c>
      <c r="B5">
        <f>0.037</f>
        <v>3.6999999999999998E-2</v>
      </c>
      <c r="P5" t="s">
        <v>37</v>
      </c>
    </row>
    <row r="6" spans="1:22">
      <c r="A6">
        <f>4.6</f>
        <v>4.5999999999999996</v>
      </c>
      <c r="B6">
        <f>AVERAGE(C6:E6)</f>
        <v>9.866666666666668E-2</v>
      </c>
      <c r="C6">
        <f>0.101</f>
        <v>0.10100000000000001</v>
      </c>
      <c r="D6">
        <f>0.096</f>
        <v>9.6000000000000002E-2</v>
      </c>
      <c r="E6">
        <f>0.099</f>
        <v>9.9000000000000005E-2</v>
      </c>
      <c r="V6" t="s">
        <v>38</v>
      </c>
    </row>
    <row r="7" spans="1:22">
      <c r="A7">
        <f>4.7</f>
        <v>4.7</v>
      </c>
      <c r="B7">
        <f t="shared" ref="B7:B13" si="0">AVERAGE(C7:E7)</f>
        <v>0.28633333333333333</v>
      </c>
      <c r="C7">
        <f>0.285</f>
        <v>0.28499999999999998</v>
      </c>
      <c r="D7">
        <f>0.291</f>
        <v>0.29099999999999998</v>
      </c>
      <c r="E7">
        <f>0.283</f>
        <v>0.28299999999999997</v>
      </c>
      <c r="V7" t="s">
        <v>39</v>
      </c>
    </row>
    <row r="8" spans="1:22">
      <c r="A8">
        <f>4.8</f>
        <v>4.8</v>
      </c>
      <c r="B8">
        <f t="shared" si="0"/>
        <v>0.41199999999999998</v>
      </c>
      <c r="C8">
        <f>0.403</f>
        <v>0.40300000000000002</v>
      </c>
      <c r="D8">
        <f>0.411</f>
        <v>0.41099999999999998</v>
      </c>
      <c r="E8">
        <f>0.422</f>
        <v>0.42199999999999999</v>
      </c>
    </row>
    <row r="9" spans="1:22">
      <c r="A9">
        <f>4.9</f>
        <v>4.9000000000000004</v>
      </c>
      <c r="B9">
        <f t="shared" si="0"/>
        <v>0.53566666666666662</v>
      </c>
      <c r="C9">
        <f>0.535</f>
        <v>0.53500000000000003</v>
      </c>
      <c r="D9">
        <f>0.542</f>
        <v>0.54200000000000004</v>
      </c>
      <c r="E9">
        <f>0.53</f>
        <v>0.53</v>
      </c>
    </row>
    <row r="10" spans="1:22">
      <c r="A10">
        <f>4.95</f>
        <v>4.95</v>
      </c>
      <c r="B10">
        <f>AVERAGE(C10:E10)</f>
        <v>0.73766666666666669</v>
      </c>
      <c r="C10">
        <f>0.774</f>
        <v>0.77400000000000002</v>
      </c>
      <c r="D10">
        <f>0.714</f>
        <v>0.71399999999999997</v>
      </c>
      <c r="E10">
        <f>0.725</f>
        <v>0.72499999999999998</v>
      </c>
    </row>
    <row r="11" spans="1:22">
      <c r="A11">
        <f>5</f>
        <v>5</v>
      </c>
      <c r="B11">
        <f t="shared" si="0"/>
        <v>0.92866666666666664</v>
      </c>
      <c r="C11">
        <f>0.934</f>
        <v>0.93400000000000005</v>
      </c>
      <c r="D11">
        <f>0.88</f>
        <v>0.88</v>
      </c>
      <c r="E11">
        <f>0.972</f>
        <v>0.97199999999999998</v>
      </c>
    </row>
    <row r="12" spans="1:22">
      <c r="A12">
        <f>5.1</f>
        <v>5.0999999999999996</v>
      </c>
      <c r="B12">
        <f t="shared" si="0"/>
        <v>1.0609999999999999</v>
      </c>
      <c r="C12">
        <f>1.176</f>
        <v>1.1759999999999999</v>
      </c>
      <c r="D12">
        <f>1.001</f>
        <v>1.0009999999999999</v>
      </c>
      <c r="E12">
        <f>1.006</f>
        <v>1.006</v>
      </c>
    </row>
    <row r="13" spans="1:22">
      <c r="A13">
        <f>5.2</f>
        <v>5.2</v>
      </c>
      <c r="B13">
        <f t="shared" si="0"/>
        <v>1.083</v>
      </c>
      <c r="C13">
        <f>1.084</f>
        <v>1.0840000000000001</v>
      </c>
      <c r="D13">
        <f>1.093</f>
        <v>1.093</v>
      </c>
      <c r="E13">
        <f>1.072</f>
        <v>1.0720000000000001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2E2C-46EA-4B5E-91ED-019FB66A58C0}">
  <dimension ref="A1:C3"/>
  <sheetViews>
    <sheetView workbookViewId="0">
      <selection activeCell="E11" sqref="E11"/>
    </sheetView>
  </sheetViews>
  <sheetFormatPr defaultRowHeight="14"/>
  <sheetData>
    <row r="1" spans="1:3">
      <c r="A1" s="8" t="s">
        <v>43</v>
      </c>
      <c r="B1" s="8" t="s">
        <v>44</v>
      </c>
      <c r="C1" s="8" t="s">
        <v>45</v>
      </c>
    </row>
    <row r="2" spans="1:3">
      <c r="A2" s="8">
        <f>5.362</f>
        <v>5.3620000000000001</v>
      </c>
      <c r="B2" s="8">
        <f>4.549</f>
        <v>4.5490000000000004</v>
      </c>
      <c r="C2" s="8"/>
    </row>
    <row r="3" spans="1:3">
      <c r="A3">
        <f>5.129</f>
        <v>5.1289999999999996</v>
      </c>
      <c r="B3">
        <f>5.102</f>
        <v>5.1020000000000003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3A1E-B39A-45AD-A6E8-79FCC7CE491A}">
  <dimension ref="A1:I13"/>
  <sheetViews>
    <sheetView workbookViewId="0">
      <selection activeCell="J15" sqref="J15"/>
    </sheetView>
  </sheetViews>
  <sheetFormatPr defaultRowHeight="14"/>
  <sheetData>
    <row r="1" spans="1:9">
      <c r="A1" s="8"/>
      <c r="B1" s="8" t="s">
        <v>46</v>
      </c>
      <c r="C1" s="8" t="s">
        <v>47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</row>
    <row r="2" spans="1:9">
      <c r="A2" s="8" t="s">
        <v>53</v>
      </c>
      <c r="B2" s="12">
        <f>5.35</f>
        <v>5.35</v>
      </c>
      <c r="C2" s="12">
        <f>0.1537</f>
        <v>0.1537</v>
      </c>
      <c r="D2" s="12">
        <f t="shared" ref="D2:D6" si="0">B2*C2</f>
        <v>0.822295</v>
      </c>
      <c r="E2" s="12">
        <f>4.88</f>
        <v>4.88</v>
      </c>
      <c r="F2" s="12">
        <f>0.105</f>
        <v>0.105</v>
      </c>
      <c r="G2" s="12">
        <f t="shared" ref="G2:G6" si="1">E2*F2</f>
        <v>0.51239999999999997</v>
      </c>
      <c r="H2" s="12">
        <f t="shared" ref="H2:H6" si="2">(G2/D2)*100</f>
        <v>62.313403340650254</v>
      </c>
      <c r="I2" t="s">
        <v>54</v>
      </c>
    </row>
    <row r="3" spans="1:9">
      <c r="A3" s="8" t="s">
        <v>55</v>
      </c>
      <c r="B3" s="12">
        <f>5.719</f>
        <v>5.7190000000000003</v>
      </c>
      <c r="C3" s="12">
        <f>0.108</f>
        <v>0.108</v>
      </c>
      <c r="D3" s="12">
        <f t="shared" si="0"/>
        <v>0.61765199999999998</v>
      </c>
      <c r="E3" s="12">
        <f>4.561</f>
        <v>4.5609999999999999</v>
      </c>
      <c r="F3" s="12">
        <f>0.097</f>
        <v>9.7000000000000003E-2</v>
      </c>
      <c r="G3" s="12">
        <f t="shared" si="1"/>
        <v>0.442417</v>
      </c>
      <c r="H3" s="12">
        <f t="shared" si="2"/>
        <v>71.628846016850915</v>
      </c>
    </row>
    <row r="4" spans="1:9">
      <c r="A4" s="8" t="s">
        <v>55</v>
      </c>
      <c r="B4" s="12">
        <f>5.722</f>
        <v>5.7220000000000004</v>
      </c>
      <c r="C4" s="12">
        <f>0.092</f>
        <v>9.1999999999999998E-2</v>
      </c>
      <c r="D4" s="12">
        <f t="shared" si="0"/>
        <v>0.526424</v>
      </c>
      <c r="E4" s="12">
        <f>4.562</f>
        <v>4.5620000000000003</v>
      </c>
      <c r="F4" s="12">
        <f>0.085</f>
        <v>8.5000000000000006E-2</v>
      </c>
      <c r="G4" s="12">
        <f t="shared" si="1"/>
        <v>0.38777000000000006</v>
      </c>
      <c r="H4" s="12">
        <f t="shared" si="2"/>
        <v>73.661155266477223</v>
      </c>
    </row>
    <row r="5" spans="1:9">
      <c r="A5" s="8" t="s">
        <v>56</v>
      </c>
      <c r="B5" s="12">
        <f>5.719</f>
        <v>5.7190000000000003</v>
      </c>
      <c r="C5" s="12">
        <f>0.083</f>
        <v>8.3000000000000004E-2</v>
      </c>
      <c r="D5" s="12">
        <f t="shared" si="0"/>
        <v>0.47467700000000007</v>
      </c>
      <c r="E5" s="12">
        <f>4.56</f>
        <v>4.5599999999999996</v>
      </c>
      <c r="F5" s="12">
        <f>0.077</f>
        <v>7.6999999999999999E-2</v>
      </c>
      <c r="G5" s="12">
        <f t="shared" si="1"/>
        <v>0.35111999999999999</v>
      </c>
      <c r="H5" s="12">
        <f t="shared" si="2"/>
        <v>73.97029980386661</v>
      </c>
    </row>
    <row r="6" spans="1:9">
      <c r="A6" s="8" t="s">
        <v>56</v>
      </c>
      <c r="B6" s="12">
        <f>5.724</f>
        <v>5.7240000000000002</v>
      </c>
      <c r="C6" s="12">
        <f>0.099</f>
        <v>9.9000000000000005E-2</v>
      </c>
      <c r="D6" s="12">
        <f t="shared" si="0"/>
        <v>0.56667600000000007</v>
      </c>
      <c r="E6" s="12">
        <f>4.56</f>
        <v>4.5599999999999996</v>
      </c>
      <c r="F6" s="12">
        <f>0.082</f>
        <v>8.2000000000000003E-2</v>
      </c>
      <c r="G6" s="12">
        <f t="shared" si="1"/>
        <v>0.37391999999999997</v>
      </c>
      <c r="H6" s="12">
        <f t="shared" si="2"/>
        <v>65.984795544543957</v>
      </c>
      <c r="I6" t="s">
        <v>54</v>
      </c>
    </row>
    <row r="7" spans="1:9">
      <c r="A7" s="8" t="s">
        <v>57</v>
      </c>
      <c r="B7" s="12">
        <f>5.21</f>
        <v>5.21</v>
      </c>
      <c r="C7" s="12">
        <f>0.36</f>
        <v>0.36</v>
      </c>
      <c r="D7" s="12">
        <f>B7*C7</f>
        <v>1.8755999999999999</v>
      </c>
      <c r="E7" s="12">
        <f>4.73</f>
        <v>4.7300000000000004</v>
      </c>
      <c r="F7" s="12">
        <f>0.289</f>
        <v>0.28899999999999998</v>
      </c>
      <c r="G7" s="12">
        <f>E7*F7</f>
        <v>1.36697</v>
      </c>
      <c r="H7" s="12">
        <f>(G7/D7)*100</f>
        <v>72.881744508423978</v>
      </c>
    </row>
    <row r="8" spans="1:9">
      <c r="A8" s="8" t="s">
        <v>58</v>
      </c>
      <c r="B8" s="12">
        <f>5.28</f>
        <v>5.28</v>
      </c>
      <c r="C8" s="12">
        <f t="shared" ref="C8" si="3">0.36</f>
        <v>0.36</v>
      </c>
      <c r="D8" s="12">
        <f t="shared" ref="D8" si="4">B8*C8</f>
        <v>1.9008</v>
      </c>
      <c r="E8" s="12">
        <f>4.72</f>
        <v>4.72</v>
      </c>
      <c r="F8" s="12">
        <f t="shared" ref="F8" si="5">0.289</f>
        <v>0.28899999999999998</v>
      </c>
      <c r="G8" s="12">
        <f t="shared" ref="G8" si="6">E8*F8</f>
        <v>1.3640799999999997</v>
      </c>
      <c r="H8" s="12">
        <f t="shared" ref="H8" si="7">(G8/D8)*100</f>
        <v>71.763468013468</v>
      </c>
    </row>
    <row r="9" spans="1:9">
      <c r="A9" s="8" t="s">
        <v>59</v>
      </c>
      <c r="B9" s="8"/>
      <c r="C9" s="8"/>
      <c r="D9" s="8"/>
      <c r="E9" s="8"/>
      <c r="F9" s="8"/>
      <c r="G9" s="8"/>
      <c r="H9" s="12">
        <f>AVERAGE(H2:H6)</f>
        <v>69.511699994477794</v>
      </c>
    </row>
    <row r="10" spans="1:9">
      <c r="A10" s="8" t="s">
        <v>60</v>
      </c>
      <c r="B10" s="8"/>
      <c r="C10" s="8"/>
      <c r="D10" s="8"/>
      <c r="E10" s="8"/>
      <c r="F10" s="8"/>
      <c r="G10" s="8"/>
      <c r="H10" s="12">
        <f>AVERAGE(H7:H8)</f>
        <v>72.322606260945989</v>
      </c>
    </row>
    <row r="11" spans="1:9">
      <c r="A11" s="8" t="s">
        <v>61</v>
      </c>
      <c r="B11" s="8"/>
      <c r="C11" s="8"/>
      <c r="D11" s="8"/>
      <c r="E11" s="8"/>
      <c r="F11" s="8"/>
      <c r="G11" s="8"/>
      <c r="H11" s="12">
        <f>AVERAGE(H2,H3,H4,H5,H6,H7,H8)</f>
        <v>70.31481607061157</v>
      </c>
    </row>
    <row r="12" spans="1:9">
      <c r="A12" s="8" t="s">
        <v>62</v>
      </c>
      <c r="B12" s="12">
        <f>AVERAGE(G2:G6)</f>
        <v>0.41352539999999999</v>
      </c>
    </row>
    <row r="13" spans="1:9">
      <c r="A13" s="8" t="s">
        <v>63</v>
      </c>
      <c r="B13" s="12">
        <f>AVERAGE(G7:G8)</f>
        <v>1.3655249999999999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94AB-BF88-42F9-B0C5-3451EDFE6C83}">
  <dimension ref="A1:L6"/>
  <sheetViews>
    <sheetView workbookViewId="0">
      <selection activeCell="N5" sqref="N5"/>
    </sheetView>
  </sheetViews>
  <sheetFormatPr defaultRowHeight="14"/>
  <cols>
    <col min="9" max="9" width="12.5" customWidth="1"/>
    <col min="10" max="10" width="10.33203125" customWidth="1"/>
    <col min="11" max="11" width="34.1640625" customWidth="1"/>
  </cols>
  <sheetData>
    <row r="1" spans="1:12" ht="75">
      <c r="A1" s="13" t="s">
        <v>64</v>
      </c>
      <c r="B1" s="13" t="s">
        <v>65</v>
      </c>
      <c r="C1" s="13" t="s">
        <v>66</v>
      </c>
      <c r="D1" s="13" t="s">
        <v>67</v>
      </c>
      <c r="E1" s="13" t="s">
        <v>64</v>
      </c>
      <c r="F1" s="13" t="s">
        <v>65</v>
      </c>
      <c r="G1" s="13" t="s">
        <v>66</v>
      </c>
      <c r="H1" s="13" t="s">
        <v>67</v>
      </c>
      <c r="J1" s="8"/>
      <c r="K1" s="14" t="s">
        <v>68</v>
      </c>
      <c r="L1" s="15">
        <f>5</f>
        <v>5</v>
      </c>
    </row>
    <row r="2" spans="1:12" ht="45">
      <c r="A2" s="13" t="s">
        <v>69</v>
      </c>
      <c r="B2" s="16">
        <f>3.3</f>
        <v>3.3</v>
      </c>
      <c r="C2" s="16">
        <f>0.5</f>
        <v>0.5</v>
      </c>
      <c r="D2" s="16">
        <f>B2*C2</f>
        <v>1.65</v>
      </c>
      <c r="E2" s="13" t="s">
        <v>70</v>
      </c>
      <c r="F2" s="13" t="s">
        <v>71</v>
      </c>
      <c r="G2" s="13" t="s">
        <v>71</v>
      </c>
      <c r="H2" s="13">
        <v>0.89</v>
      </c>
      <c r="J2" s="8"/>
      <c r="K2" s="17" t="s">
        <v>72</v>
      </c>
      <c r="L2" s="15">
        <f>2.1</f>
        <v>2.1</v>
      </c>
    </row>
    <row r="3" spans="1:12" ht="45">
      <c r="A3" s="13" t="s">
        <v>73</v>
      </c>
      <c r="B3" s="16">
        <f>3.3</f>
        <v>3.3</v>
      </c>
      <c r="C3" s="16">
        <f>0.5</f>
        <v>0.5</v>
      </c>
      <c r="D3" s="16">
        <f>B3*C3</f>
        <v>1.65</v>
      </c>
      <c r="E3" s="13" t="s">
        <v>74</v>
      </c>
      <c r="F3" s="16">
        <v>3.6</v>
      </c>
      <c r="G3" s="16">
        <v>5.1999999999999998E-2</v>
      </c>
      <c r="H3" s="16">
        <f>F3*G3</f>
        <v>0.18720000000000001</v>
      </c>
      <c r="J3" s="8"/>
      <c r="K3" s="17" t="s">
        <v>75</v>
      </c>
      <c r="L3" s="15">
        <f>5000</f>
        <v>5000</v>
      </c>
    </row>
    <row r="4" spans="1:12" ht="30">
      <c r="A4" s="13" t="s">
        <v>76</v>
      </c>
      <c r="B4" s="16">
        <f>6</f>
        <v>6</v>
      </c>
      <c r="C4" s="16">
        <f>0.16*2</f>
        <v>0.32</v>
      </c>
      <c r="D4" s="16">
        <f>B4*C4</f>
        <v>1.92</v>
      </c>
      <c r="E4" s="13" t="s">
        <v>77</v>
      </c>
      <c r="F4" s="13" t="s">
        <v>71</v>
      </c>
      <c r="G4" s="13" t="s">
        <v>71</v>
      </c>
      <c r="H4" s="16">
        <v>0.19600000000000001</v>
      </c>
      <c r="J4" s="8"/>
      <c r="K4" s="17" t="s">
        <v>78</v>
      </c>
      <c r="L4" s="15">
        <f>L1*L2</f>
        <v>10.5</v>
      </c>
    </row>
    <row r="5" spans="1:12" ht="90">
      <c r="A5" s="13" t="s">
        <v>79</v>
      </c>
      <c r="B5" s="12">
        <f>D2+D3+D4+H2+H3+H4</f>
        <v>6.493199999999999</v>
      </c>
      <c r="C5" s="12"/>
      <c r="D5" s="12"/>
      <c r="E5" s="8"/>
      <c r="F5" s="8"/>
      <c r="G5" s="8"/>
      <c r="H5" s="8"/>
      <c r="J5" s="8"/>
      <c r="K5" s="17" t="s">
        <v>80</v>
      </c>
      <c r="L5" s="15">
        <f>B5/L1</f>
        <v>1.2986399999999998</v>
      </c>
    </row>
    <row r="6" spans="1:12">
      <c r="J6" s="8"/>
      <c r="K6" s="17" t="s">
        <v>81</v>
      </c>
      <c r="L6" s="15">
        <f>L3/(L5*1000)</f>
        <v>3.8501817285775894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Battery Charging Initial Draft</vt:lpstr>
      <vt:lpstr>PV Panels Initial Draft</vt:lpstr>
      <vt:lpstr>PV panel new</vt:lpstr>
      <vt:lpstr>PV panel</vt:lpstr>
      <vt:lpstr>Battery Characteristic</vt:lpstr>
      <vt:lpstr>Partial Shading Effect Output V</vt:lpstr>
      <vt:lpstr>Power and Efficiency</vt:lpstr>
      <vt:lpstr>Rover Power Consumption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Ge</dc:creator>
  <cp:lastModifiedBy>Rebecca</cp:lastModifiedBy>
  <dcterms:created xsi:type="dcterms:W3CDTF">2022-05-26T13:19:33Z</dcterms:created>
  <dcterms:modified xsi:type="dcterms:W3CDTF">2022-06-24T13:18:15Z</dcterms:modified>
</cp:coreProperties>
</file>