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⑤R8_5特殊メイク" sheetId="8" r:id="rId12"/>
    <sheet state="visible" name="④R8_5月報" sheetId="9" r:id="rId13"/>
    <sheet state="visible" name="③R8_5日報" sheetId="10" r:id="rId14"/>
    <sheet state="visible" name="①R8_4集計" sheetId="11" r:id="rId15"/>
    <sheet state="visible" name="⑤R8_4特殊メイク" sheetId="12" r:id="rId16"/>
    <sheet state="visible" name="②R8_4シフト" sheetId="13" r:id="rId17"/>
    <sheet state="visible" name="③R8_4日報" sheetId="14" r:id="rId18"/>
    <sheet state="visible" name="④R8_4月報"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12"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<sst xmlns="http://schemas.openxmlformats.org/spreadsheetml/2006/main" count="7158" uniqueCount="1039">
  <si>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</si>
  <si>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</si>
  <si>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</si>
  <si>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</si>
  <si>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</si>
  <si>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</si>
  <si>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</si>
  <si>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</si>
  <si>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</si>
  <si>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</si>
  <si>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</si>
  <si>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</si>
  <si>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</si>
  <si>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</si>
  <si>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</si>
  <si>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</si>
  <si>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</si>
  <si>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</si>
  <si>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</si>
  <si>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</si>
  <si>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</si>
  <si>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</si>
  <si>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</si>
  <si>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</si>
  <si>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</si>
  <si>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</si>
  <si>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</si>
  <si>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</si>
  <si>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</si>
  <si>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</si>
  <si>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</si>
  <si>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</si>
  <si>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</si>
  <si>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</si>
  <si>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</si>
  <si>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</si>
  <si>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</si>
  <si>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</si>
  <si>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</si>
  <si>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</si>
  <si>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</si>
  <si>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</si>
  <si>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</si>
  <si>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</si>
  <si>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</si>
  <si>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</si>
  <si>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</si>
  <si>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</si>
  <si>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</si>
  <si>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</si>
  <si>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</si>
  <si>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</si>
  <si>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</si>
  <si>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</si>
  <si>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</si>
  <si>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</si>
  <si>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</si>
  <si>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</si>
  <si>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</si>
  <si>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</si>
  <si>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</si>
  <si>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</si>
  <si>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</si>
  <si>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</si>
  <si>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</si>
  <si>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</si>
  <si>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</si>
  <si>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</si>
  <si>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</si>
  <si>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</si>
  <si>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</si>
  <si>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</si>
  <si>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</si>
  <si>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</si>
  <si>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</si>
  <si>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</si>
  <si>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</si>
  <si>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</si>
  <si>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</si>
  <si>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</si>
  <si>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</si>
  <si>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</si>
  <si>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</si>
  <si>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</si>
  <si>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</si>
  <si>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</si>
  <si>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</si>
  <si>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</si>
  <si>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</si>
  <si>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</si>
  <si>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</si>
  <si>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</si>
  <si>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</si>
  <si>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</si>
  <si>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</si>
  <si>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</si>
  <si>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</si>
  <si>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</si>
  <si>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</si>
  <si>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</si>
  <si>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</si>
  <si>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</si>
  <si>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</si>
  <si>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</si>
  <si>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</si>
  <si>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</si>
  <si>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</si>
  <si>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</si>
  <si>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</si>
  <si>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</si>
  <si>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</si>
  <si>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</si>
  <si>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</si>
  <si>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</si>
  <si>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</si>
  <si>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</si>
  <si>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</si>
  <si>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</si>
  <si>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</si>
  <si>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</si>
  <si>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</si>
  <si>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</si>
  <si>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</si>
  <si>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</si>
  <si>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</si>
  <si>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</si>
  <si>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</si>
  <si>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</si>
  <si>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</si>
  <si>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</si>
  <si>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</si>
  <si>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</si>
  <si>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</si>
  <si>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</si>
  <si>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</si>
  <si>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</si>
  <si>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</si>
  <si>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</si>
  <si>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</si>
  <si>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</si>
  <si>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</si>
  <si>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</si>
  <si>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</si>
  <si>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</si>
  <si>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</si>
  <si>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</si>
  <si>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</si>
  <si>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</si>
  <si>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</si>
  <si>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</si>
  <si>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</si>
  <si>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</si>
  <si>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</si>
  <si>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</si>
  <si>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</si>
  <si>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</si>
  <si>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</si>
  <si>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</si>
  <si>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</si>
  <si>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</si>
  <si>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</si>
  <si>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</si>
  <si>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</si>
  <si>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</si>
  <si>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</si>
  <si>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</si>
  <si>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</si>
  <si>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</si>
  <si>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</si>
  <si>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</si>
  <si>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</si>
  <si>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</si>
  <si>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</si>
  <si>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</si>
  <si>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</si>
  <si>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</si>
  <si>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</si>
  <si>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</si>
  <si>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</si>
  <si>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</si>
  <si>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</si>
  <si>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</si>
  <si>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</si>
  <si>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</si>
  <si>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</si>
  <si>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</si>
  <si>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</si>
  <si>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</si>
  <si>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</si>
  <si>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</si>
  <si>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</si>
  <si>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</si>
  <si>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</si>
  <si>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</si>
  <si>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</si>
  <si>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</si>
  <si>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</si>
  <si>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</si>
  <si>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</si>
  <si>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</si>
  <si>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</si>
  <si>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</si>
  <si>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</si>
  <si>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</si>
  <si>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</si>
  <si>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</si>
  <si>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</si>
  <si>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</si>
  <si>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</si>
  <si>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</si>
  <si>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</si>
  <si>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</si>
  <si>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</si>
  <si>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</si>
  <si>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</si>
  <si>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</si>
  <si>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</si>
  <si>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</si>
  <si>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</si>
  <si>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</si>
  <si>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</si>
  <si>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</si>
  <si>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</si>
  <si>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</si>
  <si>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</si>
  <si>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</si>
  <si>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</si>
  <si>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</si>
  <si>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</si>
  <si>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</si>
  <si>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</si>
  <si>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</si>
  <si>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</si>
  <si>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</si>
  <si>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</si>
  <si>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</si>
  <si>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</si>
  <si>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</si>
  <si>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</si>
  <si>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</si>
  <si>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</si>
  <si>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</si>
  <si>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</si>
  <si>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</si>
  <si>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</si>
  <si>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</si>
  <si>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</si>
  <si>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</si>
  <si>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</si>
  <si>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</si>
  <si>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</si>
  <si>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</si>
  <si>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</si>
  <si>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</si>
  <si>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</si>
  <si>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</si>
  <si>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</si>
  <si>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</si>
  <si>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</si>
  <si>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</si>
  <si>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</si>
  <si>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</si>
  <si>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</si>
  <si>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</si>
  <si>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</si>
  <si>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</si>
  <si>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</si>
  <si>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</si>
  <si>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</si>
  <si>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</si>
  <si>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</si>
  <si>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</si>
  <si>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</si>
  <si>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</si>
  <si>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</si>
  <si>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ちゃんと確認するかどうかだけかと思います。点検フローを固めましょう。</t>
  </si>
  <si>
    <t>(土)</t>
  </si>
  <si>
    <t>布団に赤いシミの汚れがある</t>
  </si>
  <si>
    <t>場所が端っこでメイクした際に光の陰に暮れて見逃してしまった</t>
  </si>
  <si>
    <t>メイド、チェッカー共にベッドの見る角度を変えて汚れがないかを確認する</t>
  </si>
  <si>
    <t>同様のクレームがやっぱり多いです。現場全体で認識の上改善しましょう。</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</si>
  <si>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</si>
  <si>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</si>
  <si>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</si>
  <si>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</si>
  <si>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冬の期間水入れを基本にしていたせいでカビっぽくなっているところもあると思います。その点の確認を行ってください。</t>
  </si>
  <si>
    <t>バスタオルの中に髪の毛があったと申告。</t>
  </si>
  <si>
    <t>タオルを折り畳む際に目を離してしまい、他の場所の髪の毛を確認していたため。</t>
  </si>
  <si>
    <t>必ず目を離さずに、畳みながら髪の毛の確認を徹底します。</t>
  </si>
  <si>
    <t>4日</t>
  </si>
  <si>
    <t>枕に汚れとしわが多くあった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</si>
  <si>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</si>
  <si>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</si>
  <si>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</si>
  <si>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</si>
  <si>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</si>
  <si>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</si>
  <si>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</si>
  <si>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</si>
  <si>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</si>
  <si>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</si>
  <si>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</si>
  <si>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</si>
  <si>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</si>
  <si>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</si>
  <si>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</si>
  <si>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</si>
  <si>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</si>
  <si>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</si>
  <si>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</si>
  <si>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</si>
  <si>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</si>
  <si>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</si>
  <si>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</si>
  <si>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</si>
  <si>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</si>
  <si>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</si>
  <si>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</si>
  <si>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</si>
  <si>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</si>
  <si>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</si>
  <si>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</si>
  <si>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</si>
  <si>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</si>
  <si>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</si>
  <si>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</si>
  <si>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</si>
  <si>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</si>
  <si>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</si>
  <si>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</si>
  <si>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</si>
  <si>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</si>
  <si>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</si>
  <si>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</si>
  <si>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</si>
  <si>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</si>
  <si>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</si>
  <si>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</si>
  <si>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</si>
  <si>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</si>
  <si>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</si>
  <si>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</si>
  <si>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</si>
  <si>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</si>
  <si>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</si>
  <si>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</si>
  <si>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</si>
  <si>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</si>
  <si>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</si>
  <si>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</si>
  <si>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</si>
  <si>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</si>
  <si>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</si>
  <si>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</si>
  <si>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</si>
  <si>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</si>
  <si>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</si>
  <si>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</si>
  <si>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</si>
  <si>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</si>
  <si>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</si>
  <si>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</si>
  <si>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</si>
  <si>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</si>
  <si>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</si>
  <si>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</si>
  <si>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</si>
  <si>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</si>
  <si>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</si>
  <si>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</si>
  <si>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</si>
  <si>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</si>
  <si>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</si>
  <si>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</si>
  <si>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</si>
  <si>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</si>
  <si>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</si>
  <si>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</si>
  <si>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</si>
  <si>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</si>
  <si>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</si>
  <si>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</si>
  <si>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</si>
  <si>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</si>
  <si>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</si>
  <si>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</si>
  <si>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</si>
  <si>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</si>
  <si>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</si>
  <si>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</si>
  <si>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</si>
  <si>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</si>
  <si>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</si>
  <si>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</si>
  <si>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</si>
  <si>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</si>
  <si>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</si>
  <si>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</si>
  <si>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</si>
  <si>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</si>
  <si>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</si>
  <si>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</si>
  <si>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</si>
  <si>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</si>
  <si>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</si>
  <si>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</si>
  <si>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</si>
  <si>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</si>
  <si>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</si>
  <si>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</si>
  <si>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</si>
  <si>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</si>
  <si>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</si>
  <si>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</si>
  <si>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</si>
  <si>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</si>
  <si>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</si>
  <si>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</si>
  <si>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</si>
  <si>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</si>
  <si>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</si>
  <si>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</si>
  <si>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</si>
  <si>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</si>
  <si>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</si>
  <si>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</si>
  <si>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</si>
  <si>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</si>
  <si>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</si>
  <si>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</si>
  <si>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</si>
  <si>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</si>
  <si>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</si>
  <si>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</si>
  <si>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</si>
  <si>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</si>
  <si>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</si>
  <si>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</si>
  <si>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</si>
  <si>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</si>
  <si>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</si>
  <si>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</si>
  <si>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</si>
  <si>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</si>
  <si>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</si>
  <si>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</si>
  <si>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</si>
  <si>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</si>
  <si>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</si>
  <si>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</si>
  <si>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</si>
  <si>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</si>
  <si>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</si>
  <si>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</si>
  <si>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</si>
  <si>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</si>
  <si>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</si>
  <si>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</si>
  <si>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</si>
  <si>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</si>
  <si>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</si>
  <si>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</si>
  <si>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</si>
  <si>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</si>
  <si>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</si>
  <si>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</si>
  <si>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</si>
  <si>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</si>
  <si>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</si>
  <si>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</si>
  <si>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</si>
  <si>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</si>
  <si>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</si>
  <si>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</si>
  <si>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</si>
  <si>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</si>
  <si>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</si>
  <si>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</si>
  <si>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</si>
  <si>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</si>
  <si>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</si>
  <si>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</si>
  <si>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</si>
  <si>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</si>
  <si>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</si>
  <si>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</si>
  <si>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</si>
  <si>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</si>
  <si>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</si>
  <si>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</si>
  <si>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</si>
  <si>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</si>
  <si>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</si>
  <si>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</si>
  <si>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</si>
  <si>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</si>
  <si>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</si>
  <si>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</si>
  <si>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</si>
  <si>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</si>
  <si>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</si>
  <si>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</si>
  <si>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</si>
  <si>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</si>
  <si>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</si>
  <si>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</si>
  <si>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</si>
  <si>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</si>
  <si>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</si>
  <si>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</si>
  <si>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</si>
  <si>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</si>
  <si>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</si>
  <si>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</si>
  <si>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</si>
  <si>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</si>
  <si>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</si>
  <si>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</si>
  <si>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</si>
  <si>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</si>
  <si>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</si>
  <si>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</si>
  <si>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</si>
  <si>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</si>
  <si>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</si>
  <si>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</si>
  <si>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</si>
  <si>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</si>
  <si>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</si>
  <si>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</si>
  <si>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</si>
  <si>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</si>
  <si>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</si>
  <si>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</si>
  <si>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</si>
  <si>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</si>
  <si>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</si>
  <si>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</si>
  <si>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</si>
  <si>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</si>
  <si>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</si>
  <si>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</si>
  <si>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</si>
  <si>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</si>
  <si>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</si>
  <si>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</si>
  <si>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</si>
  <si>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</si>
  <si>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</si>
  <si>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</si>
  <si>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</si>
  <si>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</si>
  <si>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</si>
  <si>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</si>
  <si>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</si>
  <si>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</si>
  <si>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</si>
  <si>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</si>
  <si>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</si>
  <si>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</si>
  <si>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</si>
  <si>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</si>
  <si>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</si>
  <si>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</si>
  <si>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</si>
  <si>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</si>
  <si>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</si>
  <si>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</si>
  <si>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</si>
  <si>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</si>
  <si>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</si>
  <si>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</si>
  <si>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</si>
  <si>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</si>
  <si>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</si>
  <si>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</si>
  <si>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</si>
  <si>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</si>
  <si>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</si>
  <si>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</si>
  <si>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</si>
  <si>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</si>
  <si>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</si>
  <si>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</si>
  <si>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</si>
  <si>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</si>
  <si>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</si>
  <si>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</si>
  <si>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</si>
  <si>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</si>
  <si>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</si>
  <si>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</si>
  <si>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</si>
  <si>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</si>
  <si>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</si>
  <si>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</si>
  <si>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</si>
  <si>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</si>
  <si>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</si>
  <si>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</si>
  <si>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</si>
  <si>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</si>
  <si>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</si>
  <si>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</si>
  <si>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</si>
  <si>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</si>
  <si>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</si>
  <si>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</si>
  <si>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</si>
  <si>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</si>
  <si>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</si>
  <si>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</si>
  <si>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</si>
  <si>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</si>
  <si>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</si>
  <si>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</si>
  <si>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</si>
  <si>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</si>
  <si>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</si>
  <si>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</si>
  <si>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</si>
  <si>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</si>
  <si>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</si>
  <si>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</si>
  <si>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髪の毛クレームゼロ。シーツ汚れを1件で抑える。新人メイド教育完成。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</si>
  <si>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</si>
  <si>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</si>
  <si>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</si>
  <si>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</si>
  <si>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</si>
  <si>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</si>
  <si>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</si>
  <si>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</si>
  <si>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</si>
  <si>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</si>
  <si>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</si>
  <si>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</si>
  <si>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</si>
  <si>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</si>
  <si>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</si>
  <si>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</si>
  <si>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</si>
  <si>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120部屋、亀井、ティン、堀、メイド6名、昨日のクレームなし。櫻井さんから毎月のシャワーカーテン10枚の発注を今日依頼しました。サビタさんが本日当欠次の月曜日から出勤可能</t>
  </si>
  <si>
    <t>15：00</t>
  </si>
  <si>
    <t>MGから</t>
  </si>
  <si>
    <t>昨日クレームなし。ナン熱出したので本日当欠。5月からエアコン、温便座OFF、空気清浄機の水入れ不要を明日全員に共有するようにお願いします。</t>
  </si>
  <si>
    <t>末吉</t>
  </si>
  <si>
    <t>122部屋、小沼、亀井、大山、菊池パブリック、メイド6名、昨日のクレームなし。社員の打刻は治ったが、アルバイトの打刻治らず。</t>
  </si>
  <si>
    <t>小沼、亀井、大山、メイド6名、昨日のクレーム。402の枕がシワが多く汚れもあったとの事。実物を受け取ったがピロをはがされてしまった後の為どのくらいの汚れやシワだったのかは不明。本日はラマさんの清掃がかなりひどく、本人に注意をしても素直に聞かず言い訳ばかりだったため明日の部屋割りではプラス分は無しにします。サビタさん初出勤で9部屋清掃に入ってもらったがセット漏れなどがある為続けて教育していきます。</t>
  </si>
  <si>
    <t>15：40</t>
  </si>
  <si>
    <t>記入者1</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</si>
  <si>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</si>
  <si>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</si>
  <si>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</si>
  <si>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</si>
  <si>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</si>
  <si>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</si>
  <si>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</si>
  <si>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</si>
  <si>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</si>
  <si>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</si>
  <si>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</si>
  <si>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</si>
  <si>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</si>
  <si>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</si>
  <si>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</si>
  <si>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</si>
  <si>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</si>
  <si>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</si>
  <si>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</si>
  <si>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</si>
  <si>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</si>
  <si>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</si>
  <si>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</si>
  <si>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</si>
  <si>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</si>
  <si>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</si>
  <si>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</si>
  <si>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</si>
  <si>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</si>
  <si>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</si>
  <si>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</si>
  <si>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</si>
  <si>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</si>
  <si>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</si>
  <si>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</si>
  <si>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</si>
  <si>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</si>
  <si>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</si>
  <si>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</si>
  <si>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</si>
  <si>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</si>
  <si>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</si>
  <si>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</si>
  <si>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</si>
  <si>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</si>
  <si>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1人</t>
  </si>
  <si>
    <t>不足は無いが必要</t>
  </si>
  <si>
    <t>求人掲載中</t>
  </si>
  <si>
    <t>・インカムに付けてるイヤホンの変更可能か。                                                       ・リネンダメージカゴの提案が通り、運営開始日の確認。</t>
  </si>
  <si>
    <t>・リネン庫がないフロアの台車の発注時期確認。</t>
  </si>
  <si>
    <t>カルキ カトリ サビタ</t>
  </si>
  <si>
    <t>採用</t>
  </si>
  <si>
    <t>経験者、週6出れる</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</si>
  <si>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</si>
  <si>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</si>
  <si>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</si>
  <si>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</si>
  <si>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</si>
  <si>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</si>
  <si>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今月もお疲れ様でした。
品質検査での合格、それも全店舗中得点が1位での合格とのことでこれまでの改善だったり教育が実を結ぶ形になったのではないかと評価しています。ありがとうございました。
現場の利益管理も中旬までは怪しかったところをしっかり改善して余裕を持てる数値まで持ってきてくれた点は今月は良かったと思います。次月以降も数字への意識は同様に行ってもらいたいと思います。
品質検査の結果もあって、課題だった品質面はある程度持ち直してくれたと考えているので、ここからはそれの維持と細かい部分のブラッシュアップが求められるかなと思っています。そのために現場メンバーでどうやって課題に取り組むか、人員を安定させるかを考えて次月以降の行動に繋げていってください。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</si>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</sst>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0&quot;件&quot;"/>
    <numFmt numFmtId="180" formatCode="###0&quot;人&quot;"/>
    <numFmt numFmtId="181" formatCode="H:mm"/>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A1CF90"/>
        <bgColor rgb="FFA1CF90"/>
      </patternFill>
    </fill>
    <fill>
      <patternFill patternType="solid">
        <fgColor rgb="FFDD7E6B"/>
        <bgColor rgb="FFDD7E6B"/>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FF9900"/>
        <bgColor rgb="FFFF99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161" fillId="0" fontId="10" numFmtId="0" xfId="0" applyAlignment="1" applyBorder="1" applyFont="1">
      <alignment horizontal="center"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4" fontId="23"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186" fillId="0" fontId="76" numFmtId="0" xfId="0" applyAlignment="1" applyBorder="1" applyFont="1">
      <alignment vertical="center"/>
    </xf>
    <xf borderId="0" fillId="0" fontId="76" numFmtId="0" xfId="0" applyAlignment="1" applyFont="1">
      <alignment vertical="center"/>
    </xf>
    <xf borderId="0" fillId="0" fontId="126" numFmtId="0" xfId="0" applyAlignment="1" applyFont="1">
      <alignment readingOrder="0" shrinkToFit="0" vertical="center" wrapText="0"/>
    </xf>
    <xf borderId="0" fillId="0" fontId="87" numFmtId="0" xfId="0" applyAlignment="1" applyFont="1">
      <alignment horizontal="center" readingOrder="0" vertical="center"/>
    </xf>
    <xf borderId="0" fillId="0" fontId="12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13" fillId="3" fontId="130" numFmtId="0" xfId="0" applyAlignment="1" applyBorder="1" applyFont="1">
      <alignment horizontal="center" readingOrder="0" vertical="center"/>
    </xf>
    <xf borderId="13" fillId="4" fontId="131" numFmtId="0" xfId="0" applyAlignment="1" applyBorder="1" applyFont="1">
      <alignment horizontal="center" readingOrder="0" vertical="center"/>
    </xf>
    <xf borderId="13" fillId="3" fontId="131" numFmtId="0" xfId="0" applyAlignment="1" applyBorder="1" applyFont="1">
      <alignment horizontal="center" readingOrder="0" vertical="center"/>
    </xf>
    <xf borderId="13" fillId="0" fontId="132" numFmtId="0" xfId="0" applyAlignment="1" applyBorder="1" applyFont="1">
      <alignment horizontal="center" readingOrder="0" vertical="center"/>
    </xf>
    <xf borderId="13" fillId="0" fontId="131" numFmtId="0" xfId="0" applyAlignment="1" applyBorder="1" applyFont="1">
      <alignment horizontal="center" readingOrder="0" vertical="center"/>
    </xf>
    <xf borderId="13" fillId="0" fontId="133" numFmtId="0" xfId="0" applyAlignment="1" applyBorder="1" applyFont="1">
      <alignment horizontal="center" readingOrder="0" vertical="center"/>
    </xf>
    <xf borderId="0" fillId="0" fontId="134" numFmtId="0" xfId="0" applyAlignment="1" applyFont="1">
      <alignment horizontal="center" vertical="center"/>
    </xf>
    <xf borderId="0" fillId="48" fontId="72" numFmtId="0" xfId="0" applyAlignment="1" applyFill="1" applyFont="1">
      <alignment horizontal="center" readingOrder="0" vertical="center"/>
    </xf>
    <xf borderId="0" fillId="49" fontId="72" numFmtId="0" xfId="0" applyAlignment="1" applyFill="1" applyFont="1">
      <alignment horizontal="center" readingOrder="0" vertical="center"/>
    </xf>
    <xf borderId="72" fillId="20" fontId="118" numFmtId="0" xfId="0" applyAlignment="1" applyBorder="1" applyFont="1">
      <alignment horizontal="left" readingOrder="0" vertical="center"/>
    </xf>
    <xf borderId="124" fillId="0" fontId="135" numFmtId="0" xfId="0" applyAlignment="1" applyBorder="1" applyFont="1">
      <alignment readingOrder="0"/>
    </xf>
    <xf borderId="0" fillId="0" fontId="135" numFmtId="0" xfId="0" applyAlignment="1" applyFont="1">
      <alignment readingOrder="0"/>
    </xf>
    <xf borderId="9" fillId="46" fontId="135" numFmtId="0" xfId="0" applyAlignment="1" applyBorder="1" applyFont="1">
      <alignment readingOrder="0" vertical="center"/>
    </xf>
    <xf borderId="0" fillId="0" fontId="134" numFmtId="0" xfId="0" applyAlignment="1" applyFont="1">
      <alignment horizontal="center" readingOrder="0" vertical="center"/>
    </xf>
    <xf borderId="41" fillId="50" fontId="135"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6" numFmtId="0" xfId="0" applyAlignment="1" applyBorder="1" applyFont="1">
      <alignment horizontal="center" readingOrder="0" vertical="center"/>
    </xf>
    <xf borderId="126"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1" fontId="36" numFmtId="0" xfId="0" applyAlignment="1" applyBorder="1" applyFont="1">
      <alignment readingOrder="0" vertical="center"/>
    </xf>
    <xf borderId="11" fillId="51" fontId="138" numFmtId="10" xfId="0" applyAlignment="1" applyBorder="1" applyFont="1" applyNumberFormat="1">
      <alignment horizontal="center" vertical="center"/>
    </xf>
    <xf borderId="11" fillId="51" fontId="13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4"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1"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187" fillId="13" fontId="22" numFmtId="179" xfId="0" applyAlignment="1" applyBorder="1" applyFont="1" applyNumberFormat="1">
      <alignment horizontal="center" readingOrder="0" vertical="center"/>
    </xf>
    <xf borderId="41" fillId="27" fontId="131" numFmtId="0" xfId="0" applyAlignment="1" applyBorder="1" applyFont="1">
      <alignment horizontal="center" vertical="center"/>
    </xf>
    <xf borderId="188"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7" numFmtId="0" xfId="0" applyAlignment="1" applyFont="1">
      <alignment vertical="center"/>
    </xf>
    <xf borderId="11" fillId="0" fontId="131" numFmtId="0" xfId="0" applyAlignment="1" applyBorder="1" applyFont="1">
      <alignment horizontal="center" readingOrder="0" vertical="center"/>
    </xf>
    <xf borderId="11" fillId="0" fontId="131" numFmtId="0" xfId="0" applyAlignment="1" applyBorder="1" applyFont="1">
      <alignment horizontal="center" vertical="center"/>
    </xf>
    <xf borderId="11" fillId="5" fontId="33" numFmtId="180" xfId="0" applyAlignment="1" applyBorder="1" applyFont="1" applyNumberFormat="1">
      <alignment horizontal="center" vertical="center"/>
    </xf>
    <xf borderId="41" fillId="46" fontId="135" numFmtId="0" xfId="0" applyAlignment="1" applyBorder="1" applyFont="1">
      <alignment readingOrder="0" vertical="center"/>
    </xf>
    <xf borderId="41" fillId="9" fontId="139" numFmtId="0" xfId="0" applyAlignment="1" applyBorder="1" applyFont="1">
      <alignment horizontal="left" readingOrder="0" vertical="center"/>
    </xf>
    <xf borderId="23" fillId="9" fontId="139" numFmtId="0" xfId="0" applyAlignment="1" applyBorder="1" applyFont="1">
      <alignment horizontal="center" readingOrder="0" vertical="center"/>
    </xf>
    <xf borderId="0" fillId="0" fontId="13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5" numFmtId="0" xfId="0" applyAlignment="1" applyBorder="1" applyFont="1">
      <alignment readingOrder="0" vertical="center"/>
    </xf>
    <xf borderId="57" fillId="0" fontId="135"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189" fillId="0" fontId="2" numFmtId="0" xfId="0" applyBorder="1" applyFont="1"/>
    <xf borderId="190"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186" fillId="0" fontId="140" numFmtId="0" xfId="0" applyAlignment="1" applyBorder="1" applyFont="1">
      <alignment vertical="center"/>
    </xf>
    <xf borderId="0" fillId="0" fontId="14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186" fillId="0" fontId="141" numFmtId="0" xfId="0" applyAlignment="1" applyBorder="1" applyFont="1">
      <alignment vertical="center"/>
    </xf>
    <xf borderId="0" fillId="0" fontId="14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5" numFmtId="0" xfId="0" applyAlignment="1" applyBorder="1" applyFont="1">
      <alignment readingOrder="0" vertical="center"/>
    </xf>
    <xf borderId="0" fillId="0" fontId="137" numFmtId="0" xfId="0" applyAlignment="1" applyFont="1">
      <alignment readingOrder="0" shrinkToFit="0" vertical="center" wrapText="1"/>
    </xf>
    <xf borderId="41" fillId="2" fontId="135" numFmtId="0" xfId="0" applyAlignment="1" applyBorder="1" applyFont="1">
      <alignment horizontal="center" readingOrder="0" shrinkToFit="0" vertical="center" wrapText="1"/>
    </xf>
    <xf borderId="0" fillId="0" fontId="64" numFmtId="0" xfId="0" applyAlignment="1" applyFont="1">
      <alignment readingOrder="0"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42"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43" numFmtId="0" xfId="0" applyAlignment="1" applyFont="1">
      <alignment readingOrder="0" shrinkToFit="0" vertical="center" wrapText="0"/>
    </xf>
    <xf borderId="13" fillId="5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91" fillId="0" fontId="2" numFmtId="0" xfId="0" applyBorder="1" applyFont="1"/>
    <xf borderId="192" fillId="35" fontId="144" numFmtId="167" xfId="0" applyAlignment="1" applyBorder="1" applyFont="1" applyNumberFormat="1">
      <alignment horizontal="center" readingOrder="0" shrinkToFit="0" vertical="center" wrapText="1"/>
    </xf>
    <xf borderId="193" fillId="4" fontId="88" numFmtId="0" xfId="0" applyAlignment="1" applyBorder="1" applyFont="1">
      <alignment horizontal="center" readingOrder="0" shrinkToFit="0" vertical="center" wrapText="1"/>
    </xf>
    <xf borderId="192" fillId="5" fontId="88" numFmtId="0" xfId="0" applyAlignment="1" applyBorder="1" applyFont="1">
      <alignment readingOrder="0" shrinkToFit="0" vertical="center" wrapText="1"/>
    </xf>
    <xf borderId="92" fillId="0" fontId="2" numFmtId="0" xfId="0" applyBorder="1" applyFont="1"/>
    <xf borderId="0" fillId="0" fontId="145" numFmtId="0" xfId="0" applyAlignment="1" applyFont="1">
      <alignment readingOrder="0" shrinkToFit="0" vertical="center" wrapText="1"/>
    </xf>
    <xf borderId="0" fillId="0" fontId="146" numFmtId="0" xfId="0" applyAlignment="1" applyFont="1">
      <alignment readingOrder="0" shrinkToFit="0" vertical="center" wrapText="0"/>
    </xf>
    <xf borderId="194" fillId="7" fontId="128" numFmtId="0" xfId="0" applyAlignment="1" applyBorder="1" applyFont="1">
      <alignment horizontal="center" readingOrder="0" shrinkToFit="0" vertical="center" wrapText="1"/>
    </xf>
    <xf borderId="195" fillId="7" fontId="128" numFmtId="0" xfId="0" applyAlignment="1" applyBorder="1" applyFont="1">
      <alignment horizontal="center" readingOrder="0" shrinkToFit="0" vertical="center" wrapText="1"/>
    </xf>
    <xf borderId="196" fillId="7" fontId="147" numFmtId="0" xfId="0" applyAlignment="1" applyBorder="1" applyFont="1">
      <alignment horizontal="center" readingOrder="0" shrinkToFit="0" vertical="center" wrapText="1"/>
    </xf>
    <xf borderId="195" fillId="23" fontId="128" numFmtId="0" xfId="0" applyAlignment="1" applyBorder="1" applyFont="1">
      <alignment horizontal="center" readingOrder="0" shrinkToFit="0" vertical="center" wrapText="1"/>
    </xf>
    <xf borderId="195" fillId="19" fontId="128" numFmtId="0" xfId="0" applyAlignment="1" applyBorder="1" applyFont="1">
      <alignment horizontal="center" readingOrder="0" shrinkToFit="0" vertical="center" wrapText="1"/>
    </xf>
    <xf borderId="197" fillId="44" fontId="16" numFmtId="0" xfId="0" applyAlignment="1" applyBorder="1" applyFont="1">
      <alignment horizontal="center" shrinkToFit="0" vertical="center" wrapText="1"/>
    </xf>
    <xf borderId="198" fillId="0" fontId="2" numFmtId="0" xfId="0" applyBorder="1" applyFont="1"/>
    <xf borderId="195" fillId="49" fontId="128" numFmtId="0" xfId="0" applyAlignment="1" applyBorder="1" applyFont="1">
      <alignment horizontal="center" readingOrder="0" shrinkToFit="0" vertical="center" wrapText="1"/>
    </xf>
    <xf borderId="199" fillId="4" fontId="128" numFmtId="0" xfId="0" applyAlignment="1" applyBorder="1" applyFont="1">
      <alignment horizontal="center" readingOrder="0" shrinkToFit="0" vertical="center" wrapText="1"/>
    </xf>
    <xf borderId="0" fillId="0" fontId="148"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5" numFmtId="0" xfId="0" applyAlignment="1" applyFont="1">
      <alignment horizontal="left" shrinkToFit="0" vertical="center" wrapText="1"/>
    </xf>
    <xf borderId="72" fillId="7" fontId="145" numFmtId="0" xfId="0" applyAlignment="1" applyBorder="1" applyFont="1">
      <alignment horizontal="center" readingOrder="0" shrinkToFit="0" vertical="center" wrapText="1"/>
    </xf>
    <xf borderId="200" fillId="0" fontId="2" numFmtId="0" xfId="0" applyBorder="1" applyFont="1"/>
    <xf borderId="201" fillId="0" fontId="2" numFmtId="0" xfId="0" applyBorder="1" applyFont="1"/>
    <xf borderId="202" fillId="0" fontId="2" numFmtId="0" xfId="0" applyBorder="1" applyFont="1"/>
    <xf borderId="72" fillId="19" fontId="16" numFmtId="0" xfId="0" applyAlignment="1" applyBorder="1" applyFont="1">
      <alignment horizontal="center" shrinkToFit="0" vertical="center" wrapText="1"/>
    </xf>
    <xf borderId="203" fillId="0" fontId="2" numFmtId="0" xfId="0" applyBorder="1" applyFont="1"/>
    <xf borderId="204" fillId="0" fontId="2" numFmtId="0" xfId="0" applyBorder="1" applyFont="1"/>
    <xf borderId="205" fillId="0" fontId="2" numFmtId="0" xfId="0" applyBorder="1" applyFont="1"/>
    <xf borderId="72" fillId="7" fontId="35" numFmtId="0" xfId="0" applyAlignment="1" applyBorder="1" applyFont="1">
      <alignment horizontal="left" shrinkToFit="0" vertical="center" wrapText="1"/>
    </xf>
    <xf borderId="0" fillId="0" fontId="145" numFmtId="0" xfId="0" applyAlignment="1" applyFont="1">
      <alignment shrinkToFit="0" vertical="center" wrapText="1"/>
    </xf>
    <xf borderId="206" fillId="2" fontId="149" numFmtId="0" xfId="0" applyAlignment="1" applyBorder="1" applyFont="1">
      <alignment readingOrder="0" shrinkToFit="0" vertical="center" wrapText="0"/>
    </xf>
    <xf borderId="207" fillId="2" fontId="149" numFmtId="0" xfId="0" applyAlignment="1" applyBorder="1" applyFont="1">
      <alignment readingOrder="0" shrinkToFit="0" vertical="center" wrapText="0"/>
    </xf>
    <xf borderId="207" fillId="2" fontId="143" numFmtId="0" xfId="0" applyAlignment="1" applyBorder="1" applyFont="1">
      <alignment horizontal="center" readingOrder="0" shrinkToFit="0" vertical="center" wrapText="1"/>
    </xf>
    <xf borderId="207" fillId="2" fontId="143" numFmtId="0" xfId="0" applyAlignment="1" applyBorder="1" applyFont="1">
      <alignment readingOrder="0" shrinkToFit="0" vertical="center" wrapText="1"/>
    </xf>
    <xf borderId="207" fillId="2" fontId="149" numFmtId="181" xfId="0" applyAlignment="1" applyBorder="1" applyFont="1" applyNumberFormat="1">
      <alignment horizontal="center" readingOrder="0" shrinkToFit="0" vertical="center" wrapText="1"/>
    </xf>
    <xf borderId="207" fillId="2" fontId="149" numFmtId="0" xfId="0" applyAlignment="1" applyBorder="1" applyFont="1">
      <alignment horizontal="center" shrinkToFit="0" vertical="center" wrapText="1"/>
    </xf>
    <xf borderId="208" fillId="2" fontId="143" numFmtId="0" xfId="0" applyAlignment="1" applyBorder="1" applyFont="1">
      <alignment readingOrder="0" shrinkToFit="0" vertical="center" wrapText="1"/>
    </xf>
    <xf borderId="207" fillId="2" fontId="149" numFmtId="0" xfId="0" applyAlignment="1" applyBorder="1" applyFont="1">
      <alignment horizontal="center" readingOrder="0" shrinkToFit="0" vertical="center" wrapText="1"/>
    </xf>
    <xf borderId="207" fillId="2" fontId="143" numFmtId="0" xfId="0" applyAlignment="1" applyBorder="1" applyFont="1">
      <alignment shrinkToFit="0" vertical="center" wrapText="1"/>
    </xf>
    <xf borderId="209" fillId="2" fontId="143" numFmtId="0" xfId="0" applyAlignment="1" applyBorder="1" applyFont="1">
      <alignment shrinkToFit="0" vertical="center" wrapText="1"/>
    </xf>
    <xf borderId="72" fillId="0" fontId="150"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10" fillId="3" fontId="137" numFmtId="0" xfId="0" applyAlignment="1" applyBorder="1" applyFont="1">
      <alignment readingOrder="0" shrinkToFit="0" vertical="center" wrapText="1"/>
    </xf>
    <xf borderId="211" fillId="3" fontId="135" numFmtId="175" xfId="0" applyAlignment="1" applyBorder="1" applyFont="1" applyNumberFormat="1">
      <alignment horizontal="center" shrinkToFit="0" vertical="center" wrapText="1"/>
    </xf>
    <xf borderId="211" fillId="3" fontId="135" numFmtId="0" xfId="0" applyAlignment="1" applyBorder="1" applyFont="1">
      <alignment horizontal="center" shrinkToFit="0" vertical="center" wrapText="1"/>
    </xf>
    <xf borderId="211" fillId="3" fontId="145" numFmtId="0" xfId="0" applyAlignment="1" applyBorder="1" applyFont="1">
      <alignment readingOrder="0" shrinkToFit="0" vertical="center" wrapText="1"/>
    </xf>
    <xf borderId="211" fillId="3" fontId="145" numFmtId="0" xfId="0" applyAlignment="1" applyBorder="1" applyFont="1">
      <alignment horizontal="center" readingOrder="0" shrinkToFit="0" vertical="center" wrapText="1"/>
    </xf>
    <xf borderId="212" fillId="3" fontId="64" numFmtId="0" xfId="0" applyAlignment="1" applyBorder="1" applyFont="1">
      <alignment readingOrder="0" shrinkToFit="0" vertical="center" wrapText="1"/>
    </xf>
    <xf borderId="211" fillId="3" fontId="135"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13" fillId="3" fontId="64" numFmtId="0" xfId="0" applyAlignment="1" applyBorder="1" applyFont="1">
      <alignment shrinkToFit="0" vertical="center" wrapText="1"/>
    </xf>
    <xf borderId="214" fillId="0" fontId="2" numFmtId="0" xfId="0" applyBorder="1" applyFont="1"/>
    <xf borderId="210" fillId="0" fontId="2" numFmtId="0" xfId="0" applyBorder="1" applyFont="1"/>
    <xf borderId="211" fillId="0" fontId="2" numFmtId="0" xfId="0" applyBorder="1" applyFont="1"/>
    <xf borderId="212" fillId="0" fontId="2" numFmtId="0" xfId="0" applyBorder="1" applyFont="1"/>
    <xf borderId="135" fillId="3" fontId="64" numFmtId="0" xfId="0" applyAlignment="1" applyBorder="1" applyFont="1">
      <alignment readingOrder="0" shrinkToFit="0" vertical="center" wrapText="1"/>
    </xf>
    <xf borderId="213" fillId="0" fontId="2" numFmtId="0" xfId="0" applyBorder="1" applyFont="1"/>
    <xf borderId="135" fillId="3" fontId="64" numFmtId="0" xfId="0" applyAlignment="1" applyBorder="1" applyFont="1">
      <alignment shrinkToFit="0" vertical="center" wrapText="1"/>
    </xf>
    <xf borderId="215" fillId="3" fontId="64" numFmtId="0" xfId="0" applyAlignment="1" applyBorder="1" applyFont="1">
      <alignment shrinkToFit="0" vertical="center" wrapText="1"/>
    </xf>
    <xf borderId="215" fillId="3" fontId="64" numFmtId="0" xfId="0" applyAlignment="1" applyBorder="1" applyFont="1">
      <alignment readingOrder="0" shrinkToFit="0" vertical="center" wrapText="1"/>
    </xf>
    <xf borderId="216" fillId="0" fontId="2" numFmtId="0" xfId="0" applyBorder="1" applyFont="1"/>
    <xf borderId="217" fillId="0" fontId="2" numFmtId="0" xfId="0" applyBorder="1" applyFont="1"/>
    <xf borderId="135" fillId="3" fontId="145" numFmtId="0" xfId="0" applyAlignment="1" applyBorder="1" applyFont="1">
      <alignment horizontal="left" readingOrder="0" shrinkToFit="0" vertical="center" wrapText="1"/>
    </xf>
    <xf borderId="177" fillId="3" fontId="151" numFmtId="0" xfId="0" applyAlignment="1" applyBorder="1" applyFont="1">
      <alignment horizontal="left" readingOrder="0" shrinkToFit="0" vertical="center" wrapText="1"/>
    </xf>
    <xf borderId="177" fillId="0" fontId="2" numFmtId="0" xfId="0" applyBorder="1" applyFont="1"/>
    <xf borderId="218" fillId="3" fontId="151" numFmtId="0" xfId="0" applyAlignment="1" applyBorder="1" applyFont="1">
      <alignment horizontal="left" readingOrder="0" shrinkToFit="0" vertical="center" wrapText="1"/>
    </xf>
    <xf borderId="219" fillId="5" fontId="137" numFmtId="0" xfId="0" applyAlignment="1" applyBorder="1" applyFont="1">
      <alignment readingOrder="0" shrinkToFit="0" vertical="center" wrapText="1"/>
    </xf>
    <xf borderId="215" fillId="5" fontId="135" numFmtId="175" xfId="0" applyAlignment="1" applyBorder="1" applyFont="1" applyNumberFormat="1">
      <alignment horizontal="center" shrinkToFit="0" vertical="center" wrapText="1"/>
    </xf>
    <xf borderId="215" fillId="5" fontId="135" numFmtId="0" xfId="0" applyAlignment="1" applyBorder="1" applyFont="1">
      <alignment horizontal="center" shrinkToFit="0" vertical="center" wrapText="1"/>
    </xf>
    <xf borderId="215" fillId="5" fontId="145" numFmtId="0" xfId="0" applyAlignment="1" applyBorder="1" applyFont="1">
      <alignment readingOrder="0" shrinkToFit="0" vertical="center" wrapText="1"/>
    </xf>
    <xf borderId="211" fillId="5" fontId="145" numFmtId="0" xfId="0" applyAlignment="1" applyBorder="1" applyFont="1">
      <alignment horizontal="center" readingOrder="0" shrinkToFit="0" vertical="center" wrapText="1"/>
    </xf>
    <xf borderId="212" fillId="5" fontId="64" numFmtId="0" xfId="0" applyAlignment="1" applyBorder="1" applyFont="1">
      <alignment readingOrder="0" shrinkToFit="0" vertical="center" wrapText="1"/>
    </xf>
    <xf borderId="211" fillId="5" fontId="135" numFmtId="0" xfId="0" applyAlignment="1" applyBorder="1" applyFont="1">
      <alignment horizontal="center" readingOrder="0" shrinkToFit="0" vertical="center" wrapText="1"/>
    </xf>
    <xf borderId="211" fillId="5" fontId="135" numFmtId="181" xfId="0" applyAlignment="1" applyBorder="1" applyFont="1" applyNumberFormat="1">
      <alignment horizontal="center" readingOrder="0" shrinkToFit="0" vertical="center" wrapText="1"/>
    </xf>
    <xf borderId="211" fillId="5" fontId="135" numFmtId="0" xfId="0" applyAlignment="1" applyBorder="1" applyFont="1">
      <alignment horizontal="center" shrinkToFit="0" vertical="center" wrapText="1"/>
    </xf>
    <xf borderId="201" fillId="5" fontId="64" numFmtId="0" xfId="0" applyAlignment="1" applyBorder="1" applyFont="1">
      <alignment readingOrder="0" shrinkToFit="0" vertical="center" wrapText="1"/>
    </xf>
    <xf borderId="213"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45" numFmtId="0" xfId="0" applyAlignment="1" applyBorder="1" applyFont="1">
      <alignment horizontal="left" readingOrder="0" shrinkToFit="0" vertical="center" wrapText="1"/>
    </xf>
    <xf borderId="177" fillId="5" fontId="151" numFmtId="0" xfId="0" applyAlignment="1" applyBorder="1" applyFont="1">
      <alignment horizontal="left" readingOrder="0" shrinkToFit="0" vertical="center" wrapText="1"/>
    </xf>
    <xf borderId="218" fillId="5" fontId="151" numFmtId="0" xfId="0" applyAlignment="1" applyBorder="1" applyFont="1">
      <alignment horizontal="left" readingOrder="0" shrinkToFit="0" vertical="center" wrapText="1"/>
    </xf>
    <xf borderId="219" fillId="0" fontId="137" numFmtId="0" xfId="0" applyAlignment="1" applyBorder="1" applyFont="1">
      <alignment readingOrder="0" shrinkToFit="0" vertical="center" wrapText="1"/>
    </xf>
    <xf borderId="215" fillId="0" fontId="135" numFmtId="175" xfId="0" applyAlignment="1" applyBorder="1" applyFont="1" applyNumberFormat="1">
      <alignment horizontal="center" shrinkToFit="0" vertical="center" wrapText="1"/>
    </xf>
    <xf borderId="215" fillId="0" fontId="135" numFmtId="0" xfId="0" applyAlignment="1" applyBorder="1" applyFont="1">
      <alignment horizontal="center" shrinkToFit="0" vertical="center" wrapText="1"/>
    </xf>
    <xf borderId="215" fillId="0" fontId="145" numFmtId="0" xfId="0" applyAlignment="1" applyBorder="1" applyFont="1">
      <alignment readingOrder="0" shrinkToFit="0" vertical="center" wrapText="1"/>
    </xf>
    <xf borderId="215" fillId="0" fontId="145" numFmtId="0" xfId="0" applyAlignment="1" applyBorder="1" applyFont="1">
      <alignment horizontal="center" readingOrder="0" shrinkToFit="0" vertical="center" wrapText="1"/>
    </xf>
    <xf borderId="220" fillId="0" fontId="64" numFmtId="0" xfId="0" applyAlignment="1" applyBorder="1" applyFont="1">
      <alignment readingOrder="0" shrinkToFit="0" vertical="center" wrapText="1"/>
    </xf>
    <xf borderId="215" fillId="0" fontId="135" numFmtId="0" xfId="0" applyAlignment="1" applyBorder="1" applyFont="1">
      <alignment horizontal="center" readingOrder="0" shrinkToFit="0" vertical="center" wrapText="1"/>
    </xf>
    <xf borderId="215" fillId="0" fontId="135" numFmtId="181"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21" fillId="0" fontId="64" numFmtId="0" xfId="0" applyAlignment="1" applyBorder="1" applyFont="1">
      <alignment shrinkToFit="0" vertical="center" wrapText="1"/>
    </xf>
    <xf borderId="222" fillId="0" fontId="2" numFmtId="0" xfId="0" applyBorder="1" applyFont="1"/>
    <xf borderId="223" fillId="0" fontId="2" numFmtId="0" xfId="0" applyBorder="1" applyFont="1"/>
    <xf borderId="135" fillId="0" fontId="64" numFmtId="0" xfId="0" applyAlignment="1" applyBorder="1" applyFont="1">
      <alignment shrinkToFit="0" vertical="center" wrapText="1"/>
    </xf>
    <xf borderId="215" fillId="5" fontId="145" numFmtId="0" xfId="0" applyAlignment="1" applyBorder="1" applyFont="1">
      <alignment horizontal="center" readingOrder="0" shrinkToFit="0" vertical="center" wrapText="1"/>
    </xf>
    <xf borderId="220" fillId="5" fontId="64" numFmtId="0" xfId="0" applyAlignment="1" applyBorder="1" applyFont="1">
      <alignment readingOrder="0" shrinkToFit="0" vertical="center" wrapText="1"/>
    </xf>
    <xf borderId="215" fillId="5" fontId="135" numFmtId="0" xfId="0" applyAlignment="1" applyBorder="1" applyFont="1">
      <alignment horizontal="center" readingOrder="0" shrinkToFit="0" vertical="center" wrapText="1"/>
    </xf>
    <xf borderId="221" fillId="5" fontId="64" numFmtId="0" xfId="0" applyAlignment="1" applyBorder="1" applyFont="1">
      <alignment shrinkToFit="0" vertical="center" wrapText="1"/>
    </xf>
    <xf borderId="224" fillId="2" fontId="149" numFmtId="0" xfId="0" applyAlignment="1" applyBorder="1" applyFont="1">
      <alignment readingOrder="0" shrinkToFit="0" vertical="center" wrapText="0"/>
    </xf>
    <xf borderId="225" fillId="2" fontId="149" numFmtId="0" xfId="0" applyAlignment="1" applyBorder="1" applyFont="1">
      <alignment readingOrder="0" shrinkToFit="0" vertical="center" wrapText="0"/>
    </xf>
    <xf borderId="225" fillId="2" fontId="143" numFmtId="0" xfId="0" applyAlignment="1" applyBorder="1" applyFont="1">
      <alignment horizontal="center" readingOrder="0" shrinkToFit="0" vertical="center" wrapText="1"/>
    </xf>
    <xf borderId="225" fillId="2" fontId="143" numFmtId="0" xfId="0" applyAlignment="1" applyBorder="1" applyFont="1">
      <alignment readingOrder="0" shrinkToFit="0" vertical="center" wrapText="1"/>
    </xf>
    <xf borderId="225" fillId="2" fontId="149" numFmtId="181" xfId="0" applyAlignment="1" applyBorder="1" applyFont="1" applyNumberFormat="1">
      <alignment horizontal="center" readingOrder="0" shrinkToFit="0" vertical="center" wrapText="1"/>
    </xf>
    <xf borderId="225" fillId="2" fontId="149" numFmtId="0" xfId="0" applyAlignment="1" applyBorder="1" applyFont="1">
      <alignment horizontal="center" shrinkToFit="0" vertical="center" wrapText="1"/>
    </xf>
    <xf borderId="225" fillId="2" fontId="149" numFmtId="0" xfId="0" applyAlignment="1" applyBorder="1" applyFont="1">
      <alignment horizontal="center" readingOrder="0" shrinkToFit="0" vertical="center" wrapText="1"/>
    </xf>
    <xf borderId="225" fillId="2" fontId="143" numFmtId="0" xfId="0" applyAlignment="1" applyBorder="1" applyFont="1">
      <alignment shrinkToFit="0" vertical="center" wrapText="1"/>
    </xf>
    <xf borderId="226" fillId="2" fontId="143" numFmtId="0" xfId="0" applyAlignment="1" applyBorder="1" applyFont="1">
      <alignment shrinkToFit="0" vertical="center" wrapText="1"/>
    </xf>
    <xf borderId="215" fillId="5" fontId="135" numFmtId="181" xfId="0" applyAlignment="1" applyBorder="1" applyFont="1" applyNumberFormat="1">
      <alignment horizontal="center" readingOrder="0" shrinkToFit="0" vertical="center" wrapText="1"/>
    </xf>
    <xf borderId="227" fillId="0" fontId="2" numFmtId="0" xfId="0" applyBorder="1" applyFont="1"/>
    <xf borderId="228" fillId="0" fontId="2" numFmtId="0" xfId="0" applyBorder="1" applyFont="1"/>
    <xf borderId="229" fillId="3" fontId="145" numFmtId="0" xfId="0" applyAlignment="1" applyBorder="1" applyFont="1">
      <alignment horizontal="left" readingOrder="0" shrinkToFit="0" vertical="center" wrapText="1"/>
    </xf>
    <xf borderId="230" fillId="3" fontId="151" numFmtId="0" xfId="0" applyAlignment="1" applyBorder="1" applyFont="1">
      <alignment horizontal="left" readingOrder="0" shrinkToFit="0" vertical="center" wrapText="1"/>
    </xf>
    <xf borderId="230" fillId="0" fontId="2" numFmtId="0" xfId="0" applyBorder="1" applyFont="1"/>
    <xf borderId="231" fillId="3" fontId="151" numFmtId="0" xfId="0" applyAlignment="1" applyBorder="1" applyFont="1">
      <alignment horizontal="left" readingOrder="0" shrinkToFit="0" vertical="center" wrapText="1"/>
    </xf>
    <xf borderId="0" fillId="0" fontId="145" numFmtId="175" xfId="0" applyAlignment="1" applyFont="1" applyNumberFormat="1">
      <alignment horizontal="center" shrinkToFit="0" vertical="center" wrapText="1"/>
    </xf>
    <xf borderId="0" fillId="0" fontId="145" numFmtId="0" xfId="0" applyAlignment="1" applyFont="1">
      <alignment horizontal="center" shrinkToFit="0" vertical="center" wrapText="1"/>
    </xf>
    <xf borderId="0" fillId="0" fontId="145" numFmtId="0" xfId="0" applyAlignment="1" applyFont="1">
      <alignment horizontal="left" readingOrder="0" shrinkToFit="0" vertical="center" wrapText="1"/>
    </xf>
    <xf borderId="11" fillId="7" fontId="65" numFmtId="0" xfId="0" applyAlignment="1" applyBorder="1" applyFont="1">
      <alignment readingOrder="0"/>
    </xf>
    <xf borderId="72" fillId="44" fontId="63" numFmtId="0" xfId="0" applyAlignment="1" applyBorder="1" applyFont="1">
      <alignment horizontal="center" readingOrder="0" vertical="center"/>
    </xf>
    <xf borderId="72" fillId="53"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146" fillId="0" fontId="10" numFmtId="182" xfId="0" applyAlignment="1" applyBorder="1" applyFont="1" applyNumberFormat="1">
      <alignment readingOrder="0" vertical="center"/>
    </xf>
    <xf borderId="145" fillId="0" fontId="76" numFmtId="0" xfId="0" applyAlignment="1" applyBorder="1" applyFont="1">
      <alignment horizontal="center" readingOrder="0" vertical="center"/>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7"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22"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44"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52"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5"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11" fillId="3" fontId="135" numFmtId="181"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31"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31"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1" numFmtId="187" xfId="0" applyAlignment="1" applyFont="1" applyNumberFormat="1">
      <alignment horizontal="center" readingOrder="0" vertical="center"/>
    </xf>
    <xf borderId="243" fillId="0" fontId="131" numFmtId="0" xfId="0" applyAlignment="1" applyBorder="1" applyFont="1">
      <alignment horizontal="center" readingOrder="0" vertical="center"/>
    </xf>
    <xf borderId="0" fillId="0" fontId="131" numFmtId="0" xfId="0" applyAlignment="1" applyFont="1">
      <alignment horizontal="center" vertical="center"/>
    </xf>
    <xf borderId="243" fillId="63" fontId="131" numFmtId="0" xfId="0" applyAlignment="1" applyBorder="1" applyFill="1" applyFont="1">
      <alignment horizontal="center" readingOrder="0" vertical="center"/>
    </xf>
    <xf borderId="243" fillId="64" fontId="131" numFmtId="0" xfId="0" applyAlignment="1" applyBorder="1" applyFill="1" applyFont="1">
      <alignment horizontal="center" vertical="center"/>
    </xf>
    <xf borderId="243" fillId="62" fontId="131" numFmtId="0" xfId="0" applyAlignment="1" applyBorder="1" applyFont="1">
      <alignment horizontal="center" vertical="center"/>
    </xf>
    <xf borderId="0" fillId="0" fontId="131" numFmtId="0" xfId="0" applyAlignment="1" applyFont="1">
      <alignment vertical="center"/>
    </xf>
    <xf borderId="243" fillId="63" fontId="131" numFmtId="0" xfId="0" applyAlignment="1" applyBorder="1" applyFont="1">
      <alignment horizontal="center" vertical="center"/>
    </xf>
    <xf borderId="243" fillId="0" fontId="131"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7" numFmtId="0" xfId="0" applyAlignment="1" applyFont="1">
      <alignment horizontal="center" vertical="center"/>
    </xf>
    <xf borderId="245" fillId="2" fontId="13" numFmtId="0" xfId="0" applyAlignment="1" applyBorder="1" applyFont="1">
      <alignment horizontal="left" readingOrder="0" vertical="center"/>
    </xf>
    <xf borderId="225" fillId="2" fontId="135" numFmtId="0" xfId="0" applyAlignment="1" applyBorder="1" applyFont="1">
      <alignment horizontal="center" readingOrder="0" vertical="center"/>
    </xf>
    <xf borderId="246" fillId="2" fontId="135"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5"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8" fillId="0" fontId="22" numFmtId="0" xfId="0" applyAlignment="1" applyBorder="1" applyFont="1">
      <alignment horizontal="left" readingOrder="0" vertical="center"/>
    </xf>
    <xf borderId="208" fillId="0" fontId="183" numFmtId="0" xfId="0" applyAlignment="1" applyBorder="1" applyFont="1">
      <alignment horizontal="center" vertical="center"/>
    </xf>
    <xf borderId="0" fillId="0" fontId="180" numFmtId="0" xfId="0" applyAlignment="1" applyFont="1">
      <alignment readingOrder="0"/>
    </xf>
    <xf borderId="208"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8823477"/>
        <c:axId val="1968094009"/>
      </c:lineChart>
      <c:catAx>
        <c:axId val="168823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8094009"/>
      </c:catAx>
      <c:valAx>
        <c:axId val="19680940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8234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0531554"/>
        <c:axId val="1804933980"/>
      </c:barChart>
      <c:catAx>
        <c:axId val="2405315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4933980"/>
      </c:catAx>
      <c:valAx>
        <c:axId val="18049339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053155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52419699"/>
        <c:axId val="671350080"/>
      </c:lineChart>
      <c:catAx>
        <c:axId val="9524196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1350080"/>
      </c:catAx>
      <c:valAx>
        <c:axId val="6713500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24196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44314151"/>
        <c:axId val="84247756"/>
      </c:barChart>
      <c:catAx>
        <c:axId val="2443141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4247756"/>
      </c:catAx>
      <c:valAx>
        <c:axId val="842477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431415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1255042"/>
        <c:axId val="1216194720"/>
      </c:lineChart>
      <c:catAx>
        <c:axId val="5212550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6194720"/>
      </c:catAx>
      <c:valAx>
        <c:axId val="12161947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125504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25982977"/>
        <c:axId val="768956191"/>
      </c:lineChart>
      <c:catAx>
        <c:axId val="17259829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8956191"/>
      </c:catAx>
      <c:valAx>
        <c:axId val="7689561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598297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5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5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22" Type="http://schemas.openxmlformats.org/officeDocument/2006/relationships/drawing" Target="../drawings/drawing2.xm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8.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401</v>
      </c>
      <c r="J8" s="25">
        <f>'🔵クレーム'!T13</f>
        <v>1</v>
      </c>
      <c r="K8" s="26">
        <f>'🔵クレーム'!X13</f>
        <v>0.002493765586</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9809</v>
      </c>
      <c r="J17" s="49">
        <f t="shared" si="4"/>
        <v>8</v>
      </c>
      <c r="K17" s="50">
        <f>J17/I17</f>
        <v>0.0008155775308</v>
      </c>
      <c r="L17" s="49">
        <f>SUM(L5:L16)</f>
        <v>2</v>
      </c>
      <c r="M17" s="51">
        <f>L17/I17</f>
        <v>0.0002038943827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IFERROR(__xludf.DUMMYFUNCTION("""COMPUTED_VALUE"""),4.0)</f>
        <v>4</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IFERROR(__xludf.DUMMYFUNCTION("""COMPUTED_VALUE"""),4.0)</f>
        <v>4</v>
      </c>
      <c r="J39" s="102">
        <f t="array" ref="J39:J1038">IF(H39:H1038="","", I39:I1038 / SUM(I39:I1038))</f>
        <v>0.5</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IFERROR(__xludf.DUMMYFUNCTION("""COMPUTED_VALUE"""),4.0)</f>
        <v>4</v>
      </c>
      <c r="AH39" s="85">
        <f>IFERROR(__xludf.DUMMYFUNCTION("""COMPUTED_VALUE"""),0.5)</f>
        <v>0.5</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IFERROR(__xludf.DUMMYFUNCTION("""COMPUTED_VALUE"""),2.0)</f>
        <v>2</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0.25</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IFERROR(__xludf.DUMMYFUNCTION("""COMPUTED_VALUE"""),0.25)</f>
        <v>0.25</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0.125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IFERROR(__xludf.DUMMYFUNCTION("""COMPUTED_VALUE"""),"ヤム")</f>
        <v>ヤム</v>
      </c>
      <c r="AF41" s="85" t="str">
        <f>IFERROR(__xludf.DUMMYFUNCTION("""COMPUTED_VALUE"""),"セット漏れ")</f>
        <v>セット漏れ</v>
      </c>
      <c r="AG41" s="85">
        <f>IFERROR(__xludf.DUMMYFUNCTION("""COMPUTED_VALUE"""),1.0)</f>
        <v>1</v>
      </c>
      <c r="AH41" s="85">
        <f>IFERROR(__xludf.DUMMYFUNCTION("""COMPUTED_VALUE"""),0.125)</f>
        <v>0.125</v>
      </c>
      <c r="AK41" s="111"/>
      <c r="AL41" s="111"/>
      <c r="AM41" s="112"/>
    </row>
    <row r="42">
      <c r="B42" s="103" t="str">
        <f>IFERROR(__xludf.DUMMYFUNCTION("""COMPUTED_VALUE"""),"ヤム")</f>
        <v>ヤム</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0.125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IFERROR(__xludf.DUMMYFUNCTION("""COMPUTED_VALUE"""),"ラディカ")</f>
        <v>ラディカ</v>
      </c>
      <c r="AF42" s="85" t="str">
        <f>IFERROR(__xludf.DUMMYFUNCTION("""COMPUTED_VALUE"""),"髪の毛")</f>
        <v>髪の毛</v>
      </c>
      <c r="AG42" s="85">
        <f>IFERROR(__xludf.DUMMYFUNCTION("""COMPUTED_VALUE"""),1.0)</f>
        <v>1</v>
      </c>
      <c r="AH42" s="85">
        <f>IFERROR(__xludf.DUMMYFUNCTION("""COMPUTED_VALUE"""),0.125)</f>
        <v>0.125</v>
      </c>
      <c r="AK42" s="111"/>
      <c r="AL42" s="111"/>
      <c r="AM42" s="112"/>
    </row>
    <row r="43">
      <c r="B43" s="103" t="str">
        <f>IFERROR(__xludf.DUMMYFUNCTION("""COMPUTED_VALUE"""),"ラマ")</f>
        <v>ラマ</v>
      </c>
      <c r="C43" s="106">
        <f>IFERROR(__xludf.DUMMYFUNCTION("""COMPUTED_VALUE"""),1.0)</f>
        <v>1</v>
      </c>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IFERROR(__xludf.DUMMYFUNCTION("""COMPUTED_VALUE"""),"ラマ")</f>
        <v>ラマ</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E44" s="85" t="str">
        <f>IFERROR(__xludf.DUMMYFUNCTION("""COMPUTED_VALUE"""),"亀井")</f>
        <v>亀井</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5月</v>
      </c>
      <c r="X46" s="82" t="str">
        <f>'🔵クレーム'!D37</f>
        <v>4日</v>
      </c>
      <c r="Y46" s="81" t="str">
        <f>'🔵クレーム'!I37</f>
        <v>汚れ</v>
      </c>
      <c r="Z46" s="82" t="str">
        <f>'🔵クレーム'!J37</f>
        <v/>
      </c>
      <c r="AA46" s="82" t="str">
        <f>'🔵クレーム'!K37</f>
        <v>亀井</v>
      </c>
      <c r="AB46" s="82" t="str">
        <f>'🔵クレーム'!L37</f>
        <v>ヤム</v>
      </c>
      <c r="AC46" s="84" t="str">
        <f>'🔵クレーム'!N37</f>
        <v>枕に汚れとしわが多くあった</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IFERROR(__xludf.DUMMYFUNCTION("""COMPUTED_VALUE"""),"5月")</f>
        <v>5月</v>
      </c>
      <c r="C104" s="104" t="str">
        <f>IFERROR(__xludf.DUMMYFUNCTION("""COMPUTED_VALUE"""),"4日")</f>
        <v>4日</v>
      </c>
      <c r="D104" s="104" t="str">
        <f>IFERROR(__xludf.DUMMYFUNCTION("""COMPUTED_VALUE"""),"汚れ")</f>
        <v>汚れ</v>
      </c>
      <c r="E104" s="104" t="str">
        <f>IFERROR(__xludf.DUMMYFUNCTION("""COMPUTED_VALUE"""),"亀井")</f>
        <v>亀井</v>
      </c>
      <c r="F104" s="104" t="str">
        <f>IFERROR(__xludf.DUMMYFUNCTION("""COMPUTED_VALUE"""),"ヤム")</f>
        <v>ヤム</v>
      </c>
      <c r="G104" s="114" t="str">
        <f>IFERROR(__xludf.DUMMYFUNCTION("""COMPUTED_VALUE"""),"枕に汚れとしわが多くあった")</f>
        <v>枕に汚れとしわが多くあった</v>
      </c>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IFERROR(__xludf.DUMMYFUNCTION("""COMPUTED_VALUE"""),"Trip.com")</f>
        <v>Trip.com</v>
      </c>
      <c r="D6" s="149">
        <f>IFERROR(__xludf.DUMMYFUNCTION("""COMPUTED_VALUE"""),10.0)</f>
        <v>10</v>
      </c>
      <c r="E6" s="163">
        <f>IFERROR(__xludf.DUMMYFUNCTION("""COMPUTED_VALUE"""),46147.0)</f>
        <v>46147</v>
      </c>
      <c r="F6" s="164"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G6" s="149"/>
      <c r="H6" s="149"/>
      <c r="I6" s="149"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J6" s="149" t="str">
        <f>IFERROR(__xludf.DUMMYFUNCTION("""COMPUTED_VALUE"""),"")</f>
        <v/>
      </c>
      <c r="K6" s="149" t="str">
        <f>IFERROR(__xludf.DUMMYFUNCTION("""COMPUTED_VALUE"""),"")</f>
        <v/>
      </c>
      <c r="L6" s="149" t="str">
        <f>IFERROR(__xludf.DUMMYFUNCTION("""COMPUTED_VALUE"""),"P‍a‍h‍p‍o‍m")</f>
        <v>P‍a‍h‍p‍o‍m</v>
      </c>
      <c r="N6" s="85" t="b">
        <f>IFERROR(__xludf.DUMMYFUNCTION("IMPORTRANGE(C3,Q3&amp;R3&amp;T3)"),FALSE)</f>
        <v>0</v>
      </c>
      <c r="O6" s="162" t="str">
        <f>IFERROR(__xludf.DUMMYFUNCTION("""COMPUTED_VALUE"""),"Trip.com")</f>
        <v>Trip.com</v>
      </c>
      <c r="P6" s="85">
        <f>IFERROR(__xludf.DUMMYFUNCTION("""COMPUTED_VALUE"""),10.0)</f>
        <v>10</v>
      </c>
      <c r="Q6" s="165">
        <f>IFERROR(__xludf.DUMMYFUNCTION("""COMPUTED_VALUE"""),46147.0)</f>
        <v>46147</v>
      </c>
      <c r="R6" s="85"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S6" s="85"/>
      <c r="T6" s="85"/>
      <c r="U6" s="85"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V6" s="85" t="str">
        <f>IFERROR(__xludf.DUMMYFUNCTION("""COMPUTED_VALUE"""),"")</f>
        <v/>
      </c>
      <c r="W6" s="85" t="str">
        <f>IFERROR(__xludf.DUMMYFUNCTION("""COMPUTED_VALUE"""),"")</f>
        <v/>
      </c>
      <c r="X6" s="85" t="str">
        <f>IFERROR(__xludf.DUMMYFUNCTION("""COMPUTED_VALUE"""),"P‍a‍h‍p‍o‍m")</f>
        <v>P‍a‍h‍p‍o‍m</v>
      </c>
    </row>
    <row r="7">
      <c r="B7" s="71" t="b">
        <f>IFERROR(__xludf.DUMMYFUNCTION("""COMPUTED_VALUE"""),FALSE)</f>
        <v>0</v>
      </c>
      <c r="C7" s="162" t="str">
        <f>IFERROR(__xludf.DUMMYFUNCTION("""COMPUTED_VALUE"""),"Trip.com")</f>
        <v>Trip.com</v>
      </c>
      <c r="D7" s="149">
        <f>IFERROR(__xludf.DUMMYFUNCTION("""COMPUTED_VALUE"""),10.0)</f>
        <v>10</v>
      </c>
      <c r="E7" s="163">
        <f>IFERROR(__xludf.DUMMYFUNCTION("""COMPUTED_VALUE"""),46146.0)</f>
        <v>46146</v>
      </c>
      <c r="F7" s="149" t="str">
        <f>IFERROR(__xludf.DUMMYFUNCTION("""COMPUTED_VALUE"""),"I just dont comfortable with the public smoking area near by the hotel but the other thing is superb.")</f>
        <v>I just dont comfortable with the public smoking area near by the hotel but the other thing is superb.</v>
      </c>
      <c r="G7" s="149"/>
      <c r="H7" s="149"/>
      <c r="I7" s="149"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J7" s="149" t="str">
        <f>IFERROR(__xludf.DUMMYFUNCTION("""COMPUTED_VALUE"""),"")</f>
        <v/>
      </c>
      <c r="K7" s="149" t="str">
        <f>IFERROR(__xludf.DUMMYFUNCTION("""COMPUTED_VALUE"""),"")</f>
        <v/>
      </c>
      <c r="L7" s="149" t="str">
        <f>IFERROR(__xludf.DUMMYFUNCTION("""COMPUTED_VALUE"""),"ゲ‍ス‍ト")</f>
        <v>ゲ‍ス‍ト</v>
      </c>
      <c r="N7" s="85" t="b">
        <f>IFERROR(__xludf.DUMMYFUNCTION("""COMPUTED_VALUE"""),FALSE)</f>
        <v>0</v>
      </c>
      <c r="O7" s="162" t="str">
        <f>IFERROR(__xludf.DUMMYFUNCTION("""COMPUTED_VALUE"""),"Trip.com")</f>
        <v>Trip.com</v>
      </c>
      <c r="P7" s="85">
        <f>IFERROR(__xludf.DUMMYFUNCTION("""COMPUTED_VALUE"""),10.0)</f>
        <v>10</v>
      </c>
      <c r="Q7" s="165">
        <f>IFERROR(__xludf.DUMMYFUNCTION("""COMPUTED_VALUE"""),46146.0)</f>
        <v>46146</v>
      </c>
      <c r="R7" s="85" t="str">
        <f>IFERROR(__xludf.DUMMYFUNCTION("""COMPUTED_VALUE"""),"I just dont comfortable with the public smoking area near by the hotel but the other thing is superb.")</f>
        <v>I just dont comfortable with the public smoking area near by the hotel but the other thing is superb.</v>
      </c>
      <c r="S7" s="85"/>
      <c r="T7" s="85"/>
      <c r="U7" s="85"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162" t="str">
        <f>IFERROR(__xludf.DUMMYFUNCTION("""COMPUTED_VALUE"""),"Trip.com")</f>
        <v>Trip.com</v>
      </c>
      <c r="D8" s="149">
        <f>IFERROR(__xludf.DUMMYFUNCTION("""COMPUTED_VALUE"""),10.0)</f>
        <v>10</v>
      </c>
      <c r="E8" s="163">
        <f>IFERROR(__xludf.DUMMYFUNCTION("""COMPUTED_VALUE"""),46146.0)</f>
        <v>46146</v>
      </c>
      <c r="F8" s="164" t="str">
        <f>IFERROR(__xludf.DUMMYFUNCTION("""COMPUTED_VALUE"""),"交通很方便，周遭生活機能很健全")</f>
        <v>交通很方便，周遭生活機能很健全</v>
      </c>
      <c r="G8" s="149"/>
      <c r="H8" s="149"/>
      <c r="I8" s="149" t="str">
        <f>IFERROR(__xludf.DUMMYFUNCTION("""COMPUTED_VALUE"""),"交通の便が非常に良く、周辺地域には生活に必要な施設がすべて揃っています。")</f>
        <v>交通の便が非常に良く、周辺地域には生活に必要な施設がすべて揃っています。</v>
      </c>
      <c r="J8" s="149" t="str">
        <f>IFERROR(__xludf.DUMMYFUNCTION("""COMPUTED_VALUE"""),"")</f>
        <v/>
      </c>
      <c r="K8" s="149" t="str">
        <f>IFERROR(__xludf.DUMMYFUNCTION("""COMPUTED_VALUE"""),"")</f>
        <v/>
      </c>
      <c r="L8" s="149" t="str">
        <f>IFERROR(__xludf.DUMMYFUNCTION("""COMPUTED_VALUE"""),"ゲ‍ス‍ト")</f>
        <v>ゲ‍ス‍ト</v>
      </c>
      <c r="N8" s="85" t="b">
        <f>IFERROR(__xludf.DUMMYFUNCTION("""COMPUTED_VALUE"""),FALSE)</f>
        <v>0</v>
      </c>
      <c r="O8" s="162" t="str">
        <f>IFERROR(__xludf.DUMMYFUNCTION("""COMPUTED_VALUE"""),"Trip.com")</f>
        <v>Trip.com</v>
      </c>
      <c r="P8" s="85">
        <f>IFERROR(__xludf.DUMMYFUNCTION("""COMPUTED_VALUE"""),10.0)</f>
        <v>10</v>
      </c>
      <c r="Q8" s="165">
        <f>IFERROR(__xludf.DUMMYFUNCTION("""COMPUTED_VALUE"""),46146.0)</f>
        <v>46146</v>
      </c>
      <c r="R8" s="85" t="str">
        <f>IFERROR(__xludf.DUMMYFUNCTION("""COMPUTED_VALUE"""),"交通很方便，周遭生活機能很健全")</f>
        <v>交通很方便，周遭生活機能很健全</v>
      </c>
      <c r="S8" s="85"/>
      <c r="T8" s="85"/>
      <c r="U8" s="85" t="str">
        <f>IFERROR(__xludf.DUMMYFUNCTION("""COMPUTED_VALUE"""),"交通の便が非常に良く、周辺地域には生活に必要な施設がすべて揃っています。")</f>
        <v>交通の便が非常に良く、周辺地域には生活に必要な施設がすべて揃っています。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2" t="str">
        <f>IFERROR(__xludf.DUMMYFUNCTION("""COMPUTED_VALUE"""),"Trip.com")</f>
        <v>Trip.com</v>
      </c>
      <c r="D9" s="149">
        <f>IFERROR(__xludf.DUMMYFUNCTION("""COMPUTED_VALUE"""),9.0)</f>
        <v>9</v>
      </c>
      <c r="E9" s="163">
        <f>IFERROR(__xludf.DUMMYFUNCTION("""COMPUTED_VALUE"""),46145.0)</f>
        <v>46145</v>
      </c>
      <c r="F9" s="149"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G9" s="166"/>
      <c r="H9" s="149"/>
      <c r="I9" s="149"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J9" s="149" t="str">
        <f>IFERROR(__xludf.DUMMYFUNCTION("""COMPUTED_VALUE"""),"")</f>
        <v/>
      </c>
      <c r="K9" s="149" t="str">
        <f>IFERROR(__xludf.DUMMYFUNCTION("""COMPUTED_VALUE"""),"")</f>
        <v/>
      </c>
      <c r="L9" s="149" t="str">
        <f>IFERROR(__xludf.DUMMYFUNCTION("""COMPUTED_VALUE"""),"匿‍名‍ユ‍ー‍ザ‍ー")</f>
        <v>匿‍名‍ユ‍ー‍ザ‍ー</v>
      </c>
      <c r="N9" s="85" t="b">
        <f>IFERROR(__xludf.DUMMYFUNCTION("""COMPUTED_VALUE"""),FALSE)</f>
        <v>0</v>
      </c>
      <c r="O9" s="162" t="str">
        <f>IFERROR(__xludf.DUMMYFUNCTION("""COMPUTED_VALUE"""),"Trip.com")</f>
        <v>Trip.com</v>
      </c>
      <c r="P9" s="85">
        <f>IFERROR(__xludf.DUMMYFUNCTION("""COMPUTED_VALUE"""),9.0)</f>
        <v>9</v>
      </c>
      <c r="Q9" s="165">
        <f>IFERROR(__xludf.DUMMYFUNCTION("""COMPUTED_VALUE"""),46145.0)</f>
        <v>46145</v>
      </c>
      <c r="R9" s="85"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S9" s="85"/>
      <c r="T9" s="85"/>
      <c r="U9" s="85"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V9" s="85" t="str">
        <f>IFERROR(__xludf.DUMMYFUNCTION("""COMPUTED_VALUE"""),"")</f>
        <v/>
      </c>
      <c r="W9" s="85" t="str">
        <f>IFERROR(__xludf.DUMMYFUNCTION("""COMPUTED_VALUE"""),"")</f>
        <v/>
      </c>
      <c r="X9" s="85" t="str">
        <f>IFERROR(__xludf.DUMMYFUNCTION("""COMPUTED_VALUE"""),"匿‍名‍ユ‍ー‍ザ‍ー")</f>
        <v>匿‍名‍ユ‍ー‍ザ‍ー</v>
      </c>
    </row>
    <row r="10">
      <c r="B10" s="71" t="b">
        <f>IFERROR(__xludf.DUMMYFUNCTION("""COMPUTED_VALUE"""),FALSE)</f>
        <v>0</v>
      </c>
      <c r="C10" s="162" t="str">
        <f>IFERROR(__xludf.DUMMYFUNCTION("""COMPUTED_VALUE"""),"Booking.com")</f>
        <v>Booking.com</v>
      </c>
      <c r="D10" s="149">
        <f>IFERROR(__xludf.DUMMYFUNCTION("""COMPUTED_VALUE"""),10.0)</f>
        <v>10</v>
      </c>
      <c r="E10" s="163">
        <f>IFERROR(__xludf.DUMMYFUNCTION("""COMPUTED_VALUE"""),46145.0)</f>
        <v>46145</v>
      </c>
      <c r="F10" s="149"/>
      <c r="G10" s="149" t="str">
        <f>IFERROR(__xludf.DUMMYFUNCTION("""COMPUTED_VALUE"""),"位子非常方便，離車站很近")</f>
        <v>位子非常方便，離車站很近</v>
      </c>
      <c r="H10" s="149"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I10" s="149" t="str">
        <f>IFERROR(__xludf.DUMMYFUNCTION("""COMPUTED_VALUE"""),"")</f>
        <v/>
      </c>
      <c r="J10" s="149" t="str">
        <f>IFERROR(__xludf.DUMMYFUNCTION("""COMPUTED_VALUE"""),"立地は非常に便利で、駅からもとても近いです。")</f>
        <v>立地は非常に便利で、駅からもとても近いです。</v>
      </c>
      <c r="K10" s="149"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L10" s="149" t="str">
        <f>IFERROR(__xludf.DUMMYFUNCTION("""COMPUTED_VALUE"""),"Yenyi")</f>
        <v>Yenyi</v>
      </c>
      <c r="N10" s="85" t="b">
        <f>IFERROR(__xludf.DUMMYFUNCTION("""COMPUTED_VALUE"""),FALSE)</f>
        <v>0</v>
      </c>
      <c r="O10" s="162" t="str">
        <f>IFERROR(__xludf.DUMMYFUNCTION("""COMPUTED_VALUE"""),"Booking.com")</f>
        <v>Booking.com</v>
      </c>
      <c r="P10" s="85">
        <f>IFERROR(__xludf.DUMMYFUNCTION("""COMPUTED_VALUE"""),10.0)</f>
        <v>10</v>
      </c>
      <c r="Q10" s="165">
        <f>IFERROR(__xludf.DUMMYFUNCTION("""COMPUTED_VALUE"""),46145.0)</f>
        <v>46145</v>
      </c>
      <c r="R10" s="85"/>
      <c r="S10" s="85" t="str">
        <f>IFERROR(__xludf.DUMMYFUNCTION("""COMPUTED_VALUE"""),"位子非常方便，離車站很近")</f>
        <v>位子非常方便，離車站很近</v>
      </c>
      <c r="T10" s="85"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U10" s="85" t="str">
        <f>IFERROR(__xludf.DUMMYFUNCTION("""COMPUTED_VALUE"""),"")</f>
        <v/>
      </c>
      <c r="V10" s="85" t="str">
        <f>IFERROR(__xludf.DUMMYFUNCTION("""COMPUTED_VALUE"""),"立地は非常に便利で、駅からもとても近いです。")</f>
        <v>立地は非常に便利で、駅からもとても近いです。</v>
      </c>
      <c r="W10" s="85"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X10" s="85" t="str">
        <f>IFERROR(__xludf.DUMMYFUNCTION("""COMPUTED_VALUE"""),"Yenyi")</f>
        <v>Yenyi</v>
      </c>
    </row>
    <row r="11">
      <c r="B11" s="71" t="b">
        <f>IFERROR(__xludf.DUMMYFUNCTION("""COMPUTED_VALUE"""),FALSE)</f>
        <v>0</v>
      </c>
      <c r="C11" s="85" t="str">
        <f>IFERROR(__xludf.DUMMYFUNCTION("""COMPUTED_VALUE"""),"Agoda")</f>
        <v>Agoda</v>
      </c>
      <c r="D11" s="149">
        <f>IFERROR(__xludf.DUMMYFUNCTION("""COMPUTED_VALUE"""),8.0)</f>
        <v>8</v>
      </c>
      <c r="E11" s="163">
        <f>IFERROR(__xludf.DUMMYFUNCTION("""COMPUTED_VALUE"""),46145.0)</f>
        <v>46145</v>
      </c>
      <c r="F11"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G11" s="149"/>
      <c r="H11" s="149"/>
      <c r="I11"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J11" s="149" t="str">
        <f>IFERROR(__xludf.DUMMYFUNCTION("""COMPUTED_VALUE"""),"")</f>
        <v/>
      </c>
      <c r="K11" s="149" t="str">
        <f>IFERROR(__xludf.DUMMYFUNCTION("""COMPUTED_VALUE"""),"")</f>
        <v/>
      </c>
      <c r="L11" s="149" t="str">
        <f>IFERROR(__xludf.DUMMYFUNCTION("""COMPUTED_VALUE"""),"りん")</f>
        <v>りん</v>
      </c>
      <c r="N11" s="85" t="b">
        <f>IFERROR(__xludf.DUMMYFUNCTION("""COMPUTED_VALUE"""),FALSE)</f>
        <v>0</v>
      </c>
      <c r="O11" s="85" t="str">
        <f>IFERROR(__xludf.DUMMYFUNCTION("""COMPUTED_VALUE"""),"Agoda")</f>
        <v>Agoda</v>
      </c>
      <c r="P11" s="85">
        <f>IFERROR(__xludf.DUMMYFUNCTION("""COMPUTED_VALUE"""),8.0)</f>
        <v>8</v>
      </c>
      <c r="Q11" s="165">
        <f>IFERROR(__xludf.DUMMYFUNCTION("""COMPUTED_VALUE"""),46145.0)</f>
        <v>46145</v>
      </c>
      <c r="R11"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S11" s="85"/>
      <c r="T11" s="85"/>
      <c r="U11"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V11" s="85" t="str">
        <f>IFERROR(__xludf.DUMMYFUNCTION("""COMPUTED_VALUE"""),"")</f>
        <v/>
      </c>
      <c r="W11" s="85" t="str">
        <f>IFERROR(__xludf.DUMMYFUNCTION("""COMPUTED_VALUE"""),"")</f>
        <v/>
      </c>
      <c r="X11" s="85" t="str">
        <f>IFERROR(__xludf.DUMMYFUNCTION("""COMPUTED_VALUE"""),"りん")</f>
        <v>りん</v>
      </c>
    </row>
    <row r="12">
      <c r="B12" s="71" t="b">
        <f>IFERROR(__xludf.DUMMYFUNCTION("""COMPUTED_VALUE"""),FALSE)</f>
        <v>0</v>
      </c>
      <c r="C12" s="162" t="str">
        <f>IFERROR(__xludf.DUMMYFUNCTION("""COMPUTED_VALUE"""),"Booking.com")</f>
        <v>Booking.com</v>
      </c>
      <c r="D12" s="149">
        <f>IFERROR(__xludf.DUMMYFUNCTION("""COMPUTED_VALUE"""),7.0)</f>
        <v>7</v>
      </c>
      <c r="E12" s="163">
        <f>IFERROR(__xludf.DUMMYFUNCTION("""COMPUTED_VALUE"""),46144.0)</f>
        <v>46144</v>
      </c>
      <c r="F12" s="149"/>
      <c r="G12" s="149"/>
      <c r="H12" s="149"/>
      <c r="I12" s="149" t="str">
        <f>IFERROR(__xludf.DUMMYFUNCTION("""COMPUTED_VALUE"""),"")</f>
        <v/>
      </c>
      <c r="J12" s="149" t="str">
        <f>IFERROR(__xludf.DUMMYFUNCTION("""COMPUTED_VALUE"""),"")</f>
        <v/>
      </c>
      <c r="K12" s="149" t="str">
        <f>IFERROR(__xludf.DUMMYFUNCTION("""COMPUTED_VALUE"""),"")</f>
        <v/>
      </c>
      <c r="L12" s="149" t="str">
        <f>IFERROR(__xludf.DUMMYFUNCTION("""COMPUTED_VALUE"""),"Sarah")</f>
        <v>Sarah</v>
      </c>
      <c r="N12" s="85" t="b">
        <f>IFERROR(__xludf.DUMMYFUNCTION("""COMPUTED_VALUE"""),FALSE)</f>
        <v>0</v>
      </c>
      <c r="O12" s="162" t="str">
        <f>IFERROR(__xludf.DUMMYFUNCTION("""COMPUTED_VALUE"""),"Booking.com")</f>
        <v>Booking.com</v>
      </c>
      <c r="P12" s="85">
        <f>IFERROR(__xludf.DUMMYFUNCTION("""COMPUTED_VALUE"""),7.0)</f>
        <v>7</v>
      </c>
      <c r="Q12" s="165">
        <f>IFERROR(__xludf.DUMMYFUNCTION("""COMPUTED_VALUE"""),46144.0)</f>
        <v>46144</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IFERROR(__xludf.DUMMYFUNCTION("""COMPUTED_VALUE"""),"Sarah")</f>
        <v>Sarah</v>
      </c>
    </row>
    <row r="13">
      <c r="B13" s="71" t="b">
        <f>IFERROR(__xludf.DUMMYFUNCTION("""COMPUTED_VALUE"""),FALSE)</f>
        <v>0</v>
      </c>
      <c r="C13" s="162" t="str">
        <f>IFERROR(__xludf.DUMMYFUNCTION("""COMPUTED_VALUE"""),"Booking.com")</f>
        <v>Booking.com</v>
      </c>
      <c r="D13" s="149">
        <f>IFERROR(__xludf.DUMMYFUNCTION("""COMPUTED_VALUE"""),4.0)</f>
        <v>4</v>
      </c>
      <c r="E13" s="163">
        <f>IFERROR(__xludf.DUMMYFUNCTION("""COMPUTED_VALUE"""),46143.0)</f>
        <v>46143</v>
      </c>
      <c r="F13" s="149"/>
      <c r="G13" s="149" t="str">
        <f>IFERROR(__xludf.DUMMYFUNCTION("""COMPUTED_VALUE"""),"The location is very good.")</f>
        <v>The location is very good.</v>
      </c>
      <c r="H13" s="149" t="str">
        <f>IFERROR(__xludf.DUMMYFUNCTION("""COMPUTED_VALUE"""),"The room was very small. No public space at all. The staff members were not so friendly.")</f>
        <v>The room was very small. No public space at all. The staff members were not so friendly.</v>
      </c>
      <c r="I13" s="149" t="str">
        <f>IFERROR(__xludf.DUMMYFUNCTION("""COMPUTED_VALUE"""),"")</f>
        <v/>
      </c>
      <c r="J13" s="149" t="str">
        <f>IFERROR(__xludf.DUMMYFUNCTION("""COMPUTED_VALUE"""),"立地はとても良いです。")</f>
        <v>立地はとても良いです。</v>
      </c>
      <c r="K13"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13" s="149" t="str">
        <f>IFERROR(__xludf.DUMMYFUNCTION("""COMPUTED_VALUE"""),"Keiji")</f>
        <v>Keiji</v>
      </c>
      <c r="N13" s="85" t="b">
        <f>IFERROR(__xludf.DUMMYFUNCTION("""COMPUTED_VALUE"""),FALSE)</f>
        <v>0</v>
      </c>
      <c r="O13" s="162" t="str">
        <f>IFERROR(__xludf.DUMMYFUNCTION("""COMPUTED_VALUE"""),"Booking.com")</f>
        <v>Booking.com</v>
      </c>
      <c r="P13" s="85">
        <f>IFERROR(__xludf.DUMMYFUNCTION("""COMPUTED_VALUE"""),4.0)</f>
        <v>4</v>
      </c>
      <c r="Q13" s="165">
        <f>IFERROR(__xludf.DUMMYFUNCTION("""COMPUTED_VALUE"""),46143.0)</f>
        <v>46143</v>
      </c>
      <c r="R13" s="85"/>
      <c r="S13" s="85" t="str">
        <f>IFERROR(__xludf.DUMMYFUNCTION("""COMPUTED_VALUE"""),"The location is very good.")</f>
        <v>The location is very good.</v>
      </c>
      <c r="T13" s="85" t="str">
        <f>IFERROR(__xludf.DUMMYFUNCTION("""COMPUTED_VALUE"""),"The room was very small. No public space at all. The staff members were not so friendly.")</f>
        <v>The room was very small. No public space at all. The staff members were not so friendly.</v>
      </c>
      <c r="U13" s="85" t="str">
        <f>IFERROR(__xludf.DUMMYFUNCTION("""COMPUTED_VALUE"""),"")</f>
        <v/>
      </c>
      <c r="V13" s="85" t="str">
        <f>IFERROR(__xludf.DUMMYFUNCTION("""COMPUTED_VALUE"""),"立地はとても良いです。")</f>
        <v>立地はとても良いです。</v>
      </c>
      <c r="W13"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13" s="85" t="str">
        <f>IFERROR(__xludf.DUMMYFUNCTION("""COMPUTED_VALUE"""),"Keiji")</f>
        <v>Keiji</v>
      </c>
    </row>
    <row r="14">
      <c r="B14" s="71" t="b">
        <f>IFERROR(__xludf.DUMMYFUNCTION("""COMPUTED_VALUE"""),FALSE)</f>
        <v>0</v>
      </c>
      <c r="C14" s="162" t="str">
        <f>IFERROR(__xludf.DUMMYFUNCTION("""COMPUTED_VALUE"""),"Booking.com")</f>
        <v>Booking.com</v>
      </c>
      <c r="D14" s="149">
        <f>IFERROR(__xludf.DUMMYFUNCTION("""COMPUTED_VALUE"""),9.0)</f>
        <v>9</v>
      </c>
      <c r="E14" s="163">
        <f>IFERROR(__xludf.DUMMYFUNCTION("""COMPUTED_VALUE"""),46143.0)</f>
        <v>46143</v>
      </c>
      <c r="F14" s="149"/>
      <c r="G14" s="149"/>
      <c r="H14" s="149"/>
      <c r="I14" s="149" t="str">
        <f>IFERROR(__xludf.DUMMYFUNCTION("""COMPUTED_VALUE"""),"")</f>
        <v/>
      </c>
      <c r="J14" s="149" t="str">
        <f>IFERROR(__xludf.DUMMYFUNCTION("""COMPUTED_VALUE"""),"")</f>
        <v/>
      </c>
      <c r="K14" s="149" t="str">
        <f>IFERROR(__xludf.DUMMYFUNCTION("""COMPUTED_VALUE"""),"")</f>
        <v/>
      </c>
      <c r="L14" s="149" t="str">
        <f>IFERROR(__xludf.DUMMYFUNCTION("""COMPUTED_VALUE"""),"杰駿")</f>
        <v>杰駿</v>
      </c>
      <c r="N14" s="85" t="b">
        <f>IFERROR(__xludf.DUMMYFUNCTION("""COMPUTED_VALUE"""),FALSE)</f>
        <v>0</v>
      </c>
      <c r="O14" s="162" t="str">
        <f>IFERROR(__xludf.DUMMYFUNCTION("""COMPUTED_VALUE"""),"Booking.com")</f>
        <v>Booking.com</v>
      </c>
      <c r="P14" s="85">
        <f>IFERROR(__xludf.DUMMYFUNCTION("""COMPUTED_VALUE"""),9.0)</f>
        <v>9</v>
      </c>
      <c r="Q14" s="165">
        <f>IFERROR(__xludf.DUMMYFUNCTION("""COMPUTED_VALUE"""),46143.0)</f>
        <v>46143</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IFERROR(__xludf.DUMMYFUNCTION("""COMPUTED_VALUE"""),"杰駿")</f>
        <v>杰駿</v>
      </c>
    </row>
    <row r="15">
      <c r="B15" s="71" t="b">
        <f>IFERROR(__xludf.DUMMYFUNCTION("""COMPUTED_VALUE"""),FALSE)</f>
        <v>0</v>
      </c>
      <c r="C15" s="162" t="str">
        <f>IFERROR(__xludf.DUMMYFUNCTION("""COMPUTED_VALUE"""),"Trip.com")</f>
        <v>Trip.com</v>
      </c>
      <c r="D15" s="149">
        <f>IFERROR(__xludf.DUMMYFUNCTION("""COMPUTED_VALUE"""),9.0)</f>
        <v>9</v>
      </c>
      <c r="E15" s="163">
        <f>IFERROR(__xludf.DUMMYFUNCTION("""COMPUTED_VALUE"""),46142.0)</f>
        <v>46142</v>
      </c>
      <c r="F15"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15" s="149"/>
      <c r="H15" s="149"/>
      <c r="I15"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15" s="149" t="str">
        <f>IFERROR(__xludf.DUMMYFUNCTION("""COMPUTED_VALUE"""),"")</f>
        <v/>
      </c>
      <c r="K15" s="149" t="str">
        <f>IFERROR(__xludf.DUMMYFUNCTION("""COMPUTED_VALUE"""),"")</f>
        <v/>
      </c>
      <c r="L15" s="149" t="str">
        <f>IFERROR(__xludf.DUMMYFUNCTION("""COMPUTED_VALUE"""),"T‍r‍a‍v‍e‍l‍e‍r‍_‍h‍k‍e‍r")</f>
        <v>T‍r‍a‍v‍e‍l‍e‍r‍_‍h‍k‍e‍r</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49">
        <f>IFERROR(__xludf.DUMMYFUNCTION("""COMPUTED_VALUE"""),1.0)</f>
        <v>1</v>
      </c>
      <c r="E16" s="163">
        <f>IFERROR(__xludf.DUMMYFUNCTION("""COMPUTED_VALUE"""),46142.0)</f>
        <v>46142</v>
      </c>
      <c r="F16"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16" s="149"/>
      <c r="H16" s="149"/>
      <c r="I16"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6" s="149" t="str">
        <f>IFERROR(__xludf.DUMMYFUNCTION("""COMPUTED_VALUE"""),"")</f>
        <v/>
      </c>
      <c r="K16" s="149" t="str">
        <f>IFERROR(__xludf.DUMMYFUNCTION("""COMPUTED_VALUE"""),"")</f>
        <v/>
      </c>
      <c r="L16" s="149" t="str">
        <f>IFERROR(__xludf.DUMMYFUNCTION("""COMPUTED_VALUE"""),"caty sabogal")</f>
        <v>caty sabogal</v>
      </c>
      <c r="N16" s="85"/>
      <c r="O16" s="85"/>
      <c r="P16" s="85"/>
      <c r="Q16" s="85"/>
      <c r="R16" s="85"/>
      <c r="S16" s="85"/>
      <c r="T16" s="85"/>
      <c r="U16" s="85"/>
      <c r="V16" s="85"/>
      <c r="W16" s="85"/>
      <c r="X16" s="85"/>
    </row>
    <row r="17">
      <c r="B17" s="71" t="b">
        <f>IFERROR(__xludf.DUMMYFUNCTION("""COMPUTED_VALUE"""),FALSE)</f>
        <v>0</v>
      </c>
      <c r="C17" s="162" t="str">
        <f>IFERROR(__xludf.DUMMYFUNCTION("""COMPUTED_VALUE"""),"Trip.com")</f>
        <v>Trip.com</v>
      </c>
      <c r="D17" s="166">
        <f>IFERROR(__xludf.DUMMYFUNCTION("""COMPUTED_VALUE"""),10.0)</f>
        <v>10</v>
      </c>
      <c r="E17" s="163">
        <f>IFERROR(__xludf.DUMMYFUNCTION("""COMPUTED_VALUE"""),46142.0)</f>
        <v>46142</v>
      </c>
      <c r="F17"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17" s="149"/>
      <c r="H17" s="149"/>
      <c r="I17"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17" s="149" t="str">
        <f>IFERROR(__xludf.DUMMYFUNCTION("""COMPUTED_VALUE"""),"")</f>
        <v/>
      </c>
      <c r="K17" s="149" t="str">
        <f>IFERROR(__xludf.DUMMYFUNCTION("""COMPUTED_VALUE"""),"")</f>
        <v/>
      </c>
      <c r="L17" s="149" t="str">
        <f>IFERROR(__xludf.DUMMYFUNCTION("""COMPUTED_VALUE"""),"ゲ‍ス‍ト")</f>
        <v>ゲ‍ス‍ト</v>
      </c>
      <c r="N17" s="85"/>
      <c r="O17" s="85"/>
      <c r="P17" s="85"/>
      <c r="Q17" s="85"/>
      <c r="R17" s="85"/>
      <c r="S17" s="85"/>
      <c r="T17" s="85"/>
      <c r="U17" s="85"/>
      <c r="V17" s="85"/>
      <c r="W17" s="85"/>
      <c r="X17" s="85"/>
    </row>
    <row r="18">
      <c r="B18" s="71" t="b">
        <f>IFERROR(__xludf.DUMMYFUNCTION("""COMPUTED_VALUE"""),FALSE)</f>
        <v>0</v>
      </c>
      <c r="C18" s="162" t="str">
        <f>IFERROR(__xludf.DUMMYFUNCTION("""COMPUTED_VALUE"""),"Booking.com")</f>
        <v>Booking.com</v>
      </c>
      <c r="D18" s="149">
        <f>IFERROR(__xludf.DUMMYFUNCTION("""COMPUTED_VALUE"""),7.0)</f>
        <v>7</v>
      </c>
      <c r="E18" s="163">
        <f>IFERROR(__xludf.DUMMYFUNCTION("""COMPUTED_VALUE"""),46142.0)</f>
        <v>46142</v>
      </c>
      <c r="F18" s="149"/>
      <c r="G18" s="149"/>
      <c r="H18" s="149"/>
      <c r="I18" s="149" t="str">
        <f>IFERROR(__xludf.DUMMYFUNCTION("""COMPUTED_VALUE"""),"")</f>
        <v/>
      </c>
      <c r="J18" s="149" t="str">
        <f>IFERROR(__xludf.DUMMYFUNCTION("""COMPUTED_VALUE"""),"")</f>
        <v/>
      </c>
      <c r="K18" s="149" t="str">
        <f>IFERROR(__xludf.DUMMYFUNCTION("""COMPUTED_VALUE"""),"")</f>
        <v/>
      </c>
      <c r="L18" s="149" t="str">
        <f>IFERROR(__xludf.DUMMYFUNCTION("""COMPUTED_VALUE"""),"Siew")</f>
        <v>Siew</v>
      </c>
      <c r="N18" s="85"/>
      <c r="O18" s="85"/>
      <c r="P18" s="85"/>
      <c r="Q18" s="85"/>
      <c r="R18" s="85"/>
      <c r="S18" s="85"/>
      <c r="T18" s="85"/>
      <c r="U18" s="85"/>
      <c r="V18" s="85"/>
      <c r="W18" s="85"/>
      <c r="X18" s="85"/>
    </row>
    <row r="19">
      <c r="B19" s="71" t="b">
        <f>IFERROR(__xludf.DUMMYFUNCTION("""COMPUTED_VALUE"""),FALSE)</f>
        <v>0</v>
      </c>
      <c r="C19" s="162" t="str">
        <f>IFERROR(__xludf.DUMMYFUNCTION("""COMPUTED_VALUE"""),"Booking.com")</f>
        <v>Booking.com</v>
      </c>
      <c r="D19" s="149">
        <f>IFERROR(__xludf.DUMMYFUNCTION("""COMPUTED_VALUE"""),9.0)</f>
        <v>9</v>
      </c>
      <c r="E19" s="163">
        <f>IFERROR(__xludf.DUMMYFUNCTION("""COMPUTED_VALUE"""),46142.0)</f>
        <v>46142</v>
      </c>
      <c r="F19" s="149"/>
      <c r="G19" s="149"/>
      <c r="H19" s="149"/>
      <c r="I19" s="149" t="str">
        <f>IFERROR(__xludf.DUMMYFUNCTION("""COMPUTED_VALUE"""),"")</f>
        <v/>
      </c>
      <c r="J19" s="149" t="str">
        <f>IFERROR(__xludf.DUMMYFUNCTION("""COMPUTED_VALUE"""),"")</f>
        <v/>
      </c>
      <c r="K19" s="149" t="str">
        <f>IFERROR(__xludf.DUMMYFUNCTION("""COMPUTED_VALUE"""),"")</f>
        <v/>
      </c>
      <c r="L19" s="149" t="str">
        <f>IFERROR(__xludf.DUMMYFUNCTION("""COMPUTED_VALUE"""),"Melisa")</f>
        <v>Melisa</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49">
        <f>IFERROR(__xludf.DUMMYFUNCTION("""COMPUTED_VALUE"""),1.0)</f>
        <v>1</v>
      </c>
      <c r="E20" s="163">
        <f>IFERROR(__xludf.DUMMYFUNCTION("""COMPUTED_VALUE"""),46142.0)</f>
        <v>46142</v>
      </c>
      <c r="F20"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20" s="149"/>
      <c r="H20" s="149"/>
      <c r="I20"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0" s="149" t="str">
        <f>IFERROR(__xludf.DUMMYFUNCTION("""COMPUTED_VALUE"""),"")</f>
        <v/>
      </c>
      <c r="K20" s="149" t="str">
        <f>IFERROR(__xludf.DUMMYFUNCTION("""COMPUTED_VALUE"""),"")</f>
        <v/>
      </c>
      <c r="L20" s="149" t="str">
        <f>IFERROR(__xludf.DUMMYFUNCTION("""COMPUTED_VALUE"""),"caty sabogal")</f>
        <v>caty sabogal</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49">
        <f>IFERROR(__xludf.DUMMYFUNCTION("""COMPUTED_VALUE"""),3.0)</f>
        <v>3</v>
      </c>
      <c r="E21" s="163">
        <f>IFERROR(__xludf.DUMMYFUNCTION("""COMPUTED_VALUE"""),46142.0)</f>
        <v>46142</v>
      </c>
      <c r="F21" s="149"/>
      <c r="G21" s="149"/>
      <c r="H21" s="149"/>
      <c r="I21" s="149" t="str">
        <f>IFERROR(__xludf.DUMMYFUNCTION("""COMPUTED_VALUE"""),"")</f>
        <v/>
      </c>
      <c r="J21" s="149" t="str">
        <f>IFERROR(__xludf.DUMMYFUNCTION("""COMPUTED_VALUE"""),"")</f>
        <v/>
      </c>
      <c r="K21" s="149" t="str">
        <f>IFERROR(__xludf.DUMMYFUNCTION("""COMPUTED_VALUE"""),"")</f>
        <v/>
      </c>
      <c r="L21" s="149" t="str">
        <f>IFERROR(__xludf.DUMMYFUNCTION("""COMPUTED_VALUE"""),"GW_gw JINJO")</f>
        <v>GW_gw JINJO</v>
      </c>
      <c r="N21" s="85"/>
      <c r="O21" s="85"/>
      <c r="P21" s="85"/>
      <c r="Q21" s="85"/>
      <c r="R21" s="85"/>
      <c r="S21" s="85"/>
      <c r="T21" s="85"/>
      <c r="U21" s="85"/>
      <c r="V21" s="85"/>
      <c r="W21" s="85"/>
      <c r="X21" s="85"/>
    </row>
    <row r="22">
      <c r="B22" s="71" t="b">
        <f>IFERROR(__xludf.DUMMYFUNCTION("""COMPUTED_VALUE"""),FALSE)</f>
        <v>0</v>
      </c>
      <c r="C22" s="162" t="str">
        <f>IFERROR(__xludf.DUMMYFUNCTION("""COMPUTED_VALUE"""),"Trip.com")</f>
        <v>Trip.com</v>
      </c>
      <c r="D22" s="149">
        <f>IFERROR(__xludf.DUMMYFUNCTION("""COMPUTED_VALUE"""),6.0)</f>
        <v>6</v>
      </c>
      <c r="E22" s="163">
        <f>IFERROR(__xludf.DUMMYFUNCTION("""COMPUTED_VALUE"""),46141.0)</f>
        <v>46141</v>
      </c>
      <c r="F22" s="149" t="str">
        <f>IFERROR(__xludf.DUMMYFUNCTION("""COMPUTED_VALUE"""),"Good friendliness and service. But they don’t have laundry service. Good breakfast .")</f>
        <v>Good friendliness and service. But they don’t have laundry service. Good breakfast .</v>
      </c>
      <c r="G22" s="149"/>
      <c r="H22" s="149"/>
      <c r="I22"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22" s="149" t="str">
        <f>IFERROR(__xludf.DUMMYFUNCTION("""COMPUTED_VALUE"""),"")</f>
        <v/>
      </c>
      <c r="K22" s="149" t="str">
        <f>IFERROR(__xludf.DUMMYFUNCTION("""COMPUTED_VALUE"""),"")</f>
        <v/>
      </c>
      <c r="L22" s="149" t="str">
        <f>IFERROR(__xludf.DUMMYFUNCTION("""COMPUTED_VALUE"""),"ゲ‍ス‍ト")</f>
        <v>ゲ‍ス‍ト</v>
      </c>
      <c r="N22" s="85"/>
      <c r="O22" s="85"/>
      <c r="P22" s="85"/>
      <c r="Q22" s="85"/>
      <c r="R22" s="85"/>
      <c r="S22" s="85"/>
      <c r="T22" s="85"/>
      <c r="U22" s="85"/>
      <c r="V22" s="85"/>
      <c r="W22" s="85"/>
      <c r="X22" s="85"/>
    </row>
    <row r="23">
      <c r="B23" s="71" t="b">
        <f>IFERROR(__xludf.DUMMYFUNCTION("""COMPUTED_VALUE"""),FALSE)</f>
        <v>0</v>
      </c>
      <c r="C23" s="162" t="str">
        <f>IFERROR(__xludf.DUMMYFUNCTION("""COMPUTED_VALUE"""),"Trip.com")</f>
        <v>Trip.com</v>
      </c>
      <c r="D23" s="149">
        <f>IFERROR(__xludf.DUMMYFUNCTION("""COMPUTED_VALUE"""),10.0)</f>
        <v>10</v>
      </c>
      <c r="E23" s="163">
        <f>IFERROR(__xludf.DUMMYFUNCTION("""COMPUTED_VALUE"""),46141.0)</f>
        <v>46141</v>
      </c>
      <c r="F23"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23" s="149"/>
      <c r="H23" s="149"/>
      <c r="I23"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23" s="149" t="str">
        <f>IFERROR(__xludf.DUMMYFUNCTION("""COMPUTED_VALUE"""),"")</f>
        <v/>
      </c>
      <c r="K23" s="149" t="str">
        <f>IFERROR(__xludf.DUMMYFUNCTION("""COMPUTED_VALUE"""),"")</f>
        <v/>
      </c>
      <c r="L23" s="149" t="str">
        <f>IFERROR(__xludf.DUMMYFUNCTION("""COMPUTED_VALUE"""),"S‍a‍o‍b‍s‍f‍u‍l")</f>
        <v>S‍a‍o‍b‍s‍f‍u‍l</v>
      </c>
      <c r="N23" s="85"/>
      <c r="O23" s="85"/>
      <c r="P23" s="85"/>
      <c r="Q23" s="85"/>
      <c r="R23" s="85"/>
      <c r="S23" s="85"/>
      <c r="T23" s="85"/>
      <c r="U23" s="85"/>
      <c r="V23" s="85"/>
      <c r="W23" s="85"/>
      <c r="X23" s="85"/>
    </row>
    <row r="24">
      <c r="B24" s="71" t="b">
        <f>IFERROR(__xludf.DUMMYFUNCTION("""COMPUTED_VALUE"""),FALSE)</f>
        <v>0</v>
      </c>
      <c r="C24" s="162" t="str">
        <f>IFERROR(__xludf.DUMMYFUNCTION("""COMPUTED_VALUE"""),"Trip.com")</f>
        <v>Trip.com</v>
      </c>
      <c r="D24" s="149">
        <f>IFERROR(__xludf.DUMMYFUNCTION("""COMPUTED_VALUE"""),9.0)</f>
        <v>9</v>
      </c>
      <c r="E24" s="163">
        <f>IFERROR(__xludf.DUMMYFUNCTION("""COMPUTED_VALUE"""),46141.0)</f>
        <v>46141</v>
      </c>
      <c r="F24"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24" s="149"/>
      <c r="H24" s="149"/>
      <c r="I24"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24" s="149" t="str">
        <f>IFERROR(__xludf.DUMMYFUNCTION("""COMPUTED_VALUE"""),"")</f>
        <v/>
      </c>
      <c r="K24" s="149" t="str">
        <f>IFERROR(__xludf.DUMMYFUNCTION("""COMPUTED_VALUE"""),"")</f>
        <v/>
      </c>
      <c r="L24" s="149" t="str">
        <f>IFERROR(__xludf.DUMMYFUNCTION("""COMPUTED_VALUE"""),"ゲ‍ス‍ト")</f>
        <v>ゲ‍ス‍ト</v>
      </c>
      <c r="N24" s="85"/>
      <c r="O24" s="85"/>
      <c r="P24" s="85"/>
      <c r="Q24" s="85"/>
      <c r="R24" s="85"/>
      <c r="S24" s="85"/>
      <c r="T24" s="85"/>
      <c r="U24" s="85"/>
      <c r="V24" s="85"/>
      <c r="W24" s="85"/>
      <c r="X24" s="85"/>
    </row>
    <row r="25">
      <c r="B25" s="71" t="b">
        <f>IFERROR(__xludf.DUMMYFUNCTION("""COMPUTED_VALUE"""),FALSE)</f>
        <v>0</v>
      </c>
      <c r="C25" s="162" t="str">
        <f>IFERROR(__xludf.DUMMYFUNCTION("""COMPUTED_VALUE"""),"Booking.com")</f>
        <v>Booking.com</v>
      </c>
      <c r="D25" s="149">
        <f>IFERROR(__xludf.DUMMYFUNCTION("""COMPUTED_VALUE"""),9.0)</f>
        <v>9</v>
      </c>
      <c r="E25" s="163">
        <f>IFERROR(__xludf.DUMMYFUNCTION("""COMPUTED_VALUE"""),46141.0)</f>
        <v>46141</v>
      </c>
      <c r="F25" s="149"/>
      <c r="G25" s="149" t="str">
        <f>IFERROR(__xludf.DUMMYFUNCTION("""COMPUTED_VALUE"""),"全ての部屋が禁煙なので臭くない")</f>
        <v>全ての部屋が禁煙なので臭くない</v>
      </c>
      <c r="H25" s="149" t="str">
        <f>IFERROR(__xludf.DUMMYFUNCTION("""COMPUTED_VALUE"""),"ユニットバスが狭い")</f>
        <v>ユニットバスが狭い</v>
      </c>
      <c r="I25" s="149" t="str">
        <f>IFERROR(__xludf.DUMMYFUNCTION("""COMPUTED_VALUE"""),"")</f>
        <v/>
      </c>
      <c r="J25" s="149" t="str">
        <f>IFERROR(__xludf.DUMMYFUNCTION("""COMPUTED_VALUE"""),"全ての部屋が禁煙なので臭くない")</f>
        <v>全ての部屋が禁煙なので臭くない</v>
      </c>
      <c r="K25" s="149" t="str">
        <f>IFERROR(__xludf.DUMMYFUNCTION("""COMPUTED_VALUE"""),"ユニットバスが狭い")</f>
        <v>ユニットバスが狭い</v>
      </c>
      <c r="L25" s="149" t="str">
        <f>IFERROR(__xludf.DUMMYFUNCTION("""COMPUTED_VALUE"""),"Nakamura")</f>
        <v>Nakamura</v>
      </c>
      <c r="N25" s="85"/>
      <c r="O25" s="85"/>
      <c r="P25" s="85"/>
      <c r="Q25" s="85"/>
      <c r="R25" s="85"/>
      <c r="S25" s="85"/>
      <c r="T25" s="85"/>
      <c r="U25" s="85"/>
      <c r="V25" s="85"/>
      <c r="W25" s="85"/>
      <c r="X25" s="85"/>
    </row>
    <row r="26">
      <c r="B26" s="71" t="b">
        <f>IFERROR(__xludf.DUMMYFUNCTION("""COMPUTED_VALUE"""),FALSE)</f>
        <v>0</v>
      </c>
      <c r="C26" s="162" t="str">
        <f>IFERROR(__xludf.DUMMYFUNCTION("""COMPUTED_VALUE"""),"Booking.com")</f>
        <v>Booking.com</v>
      </c>
      <c r="D26" s="149">
        <f>IFERROR(__xludf.DUMMYFUNCTION("""COMPUTED_VALUE"""),10.0)</f>
        <v>10</v>
      </c>
      <c r="E26" s="163">
        <f>IFERROR(__xludf.DUMMYFUNCTION("""COMPUTED_VALUE"""),46140.0)</f>
        <v>46140</v>
      </c>
      <c r="F26" s="149"/>
      <c r="G26" s="149"/>
      <c r="H26" s="149"/>
      <c r="I26" s="149" t="str">
        <f>IFERROR(__xludf.DUMMYFUNCTION("""COMPUTED_VALUE"""),"")</f>
        <v/>
      </c>
      <c r="J26" s="149" t="str">
        <f>IFERROR(__xludf.DUMMYFUNCTION("""COMPUTED_VALUE"""),"")</f>
        <v/>
      </c>
      <c r="K26" s="149" t="str">
        <f>IFERROR(__xludf.DUMMYFUNCTION("""COMPUTED_VALUE"""),"")</f>
        <v/>
      </c>
      <c r="L26" s="149" t="str">
        <f>IFERROR(__xludf.DUMMYFUNCTION("""COMPUTED_VALUE"""),"Leonard")</f>
        <v>Leonard</v>
      </c>
      <c r="N26" s="85"/>
      <c r="O26" s="85"/>
      <c r="P26" s="85"/>
      <c r="Q26" s="85"/>
      <c r="R26" s="85"/>
      <c r="S26" s="85"/>
      <c r="T26" s="85"/>
      <c r="U26" s="85"/>
      <c r="V26" s="85"/>
      <c r="W26" s="85"/>
      <c r="X26" s="85"/>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IFERROR(__xludf.DUMMYFUNCTION("""COMPUTED_VALUE"""),46140.0)</f>
        <v>46140</v>
      </c>
      <c r="F27" s="149" t="str">
        <f>IFERROR(__xludf.DUMMYFUNCTION("""COMPUTED_VALUE"""),"挺好的！很方便！")</f>
        <v>挺好的！很方便！</v>
      </c>
      <c r="G27" s="149"/>
      <c r="H27" s="149"/>
      <c r="I27" s="149" t="str">
        <f>IFERROR(__xludf.DUMMYFUNCTION("""COMPUTED_VALUE"""),"素晴らしい！とても便利です！")</f>
        <v>素晴らしい！とても便利です！</v>
      </c>
      <c r="J27" s="149" t="str">
        <f>IFERROR(__xludf.DUMMYFUNCTION("""COMPUTED_VALUE"""),"")</f>
        <v/>
      </c>
      <c r="K27" s="149" t="str">
        <f>IFERROR(__xludf.DUMMYFUNCTION("""COMPUTED_VALUE"""),"")</f>
        <v/>
      </c>
      <c r="L27" s="149" t="str">
        <f>IFERROR(__xludf.DUMMYFUNCTION("""COMPUTED_VALUE"""),"b‍e‍a‍u‍t‍i‍f‍u‍l‍ ‍w‍o‍r‍l‍d")</f>
        <v>b‍e‍a‍u‍t‍i‍f‍u‍l‍ ‍w‍o‍r‍l‍d</v>
      </c>
      <c r="N27" s="85"/>
      <c r="O27" s="85"/>
      <c r="P27" s="85"/>
      <c r="Q27" s="85"/>
      <c r="R27" s="85"/>
      <c r="S27" s="85"/>
      <c r="T27" s="85"/>
      <c r="U27" s="85"/>
      <c r="V27" s="85"/>
      <c r="W27" s="85"/>
      <c r="X27" s="85"/>
    </row>
    <row r="28">
      <c r="B28" s="71" t="b">
        <f>IFERROR(__xludf.DUMMYFUNCTION("""COMPUTED_VALUE"""),FALSE)</f>
        <v>0</v>
      </c>
      <c r="C28" s="162" t="str">
        <f>IFERROR(__xludf.DUMMYFUNCTION("""COMPUTED_VALUE"""),"Trip.com")</f>
        <v>Trip.com</v>
      </c>
      <c r="D28" s="149">
        <f>IFERROR(__xludf.DUMMYFUNCTION("""COMPUTED_VALUE"""),10.0)</f>
        <v>10</v>
      </c>
      <c r="E28" s="163">
        <f>IFERROR(__xludf.DUMMYFUNCTION("""COMPUTED_VALUE"""),46140.0)</f>
        <v>46140</v>
      </c>
      <c r="F28" s="149" t="str">
        <f>IFERROR(__xludf.DUMMYFUNCTION("""COMPUTED_VALUE"""),"離車站很近 ,去其他地方方便又快捷 下次會再入住~")</f>
        <v>離車站很近 ,去其他地方方便又快捷 下次會再入住~</v>
      </c>
      <c r="G28" s="149"/>
      <c r="H28" s="149"/>
      <c r="I28"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28" s="149" t="str">
        <f>IFERROR(__xludf.DUMMYFUNCTION("""COMPUTED_VALUE"""),"")</f>
        <v/>
      </c>
      <c r="K28" s="149" t="str">
        <f>IFERROR(__xludf.DUMMYFUNCTION("""COMPUTED_VALUE"""),"")</f>
        <v/>
      </c>
      <c r="L28" s="149" t="str">
        <f>IFERROR(__xludf.DUMMYFUNCTION("""COMPUTED_VALUE"""),"ゲ‍ス‍ト")</f>
        <v>ゲ‍ス‍ト</v>
      </c>
      <c r="N28" s="85"/>
      <c r="O28" s="85"/>
      <c r="P28" s="85"/>
      <c r="Q28" s="85"/>
      <c r="R28" s="85"/>
      <c r="S28" s="85"/>
      <c r="T28" s="85"/>
      <c r="U28" s="85"/>
      <c r="V28" s="85"/>
      <c r="W28" s="85"/>
      <c r="X28" s="85"/>
    </row>
    <row r="29">
      <c r="B29" s="71" t="b">
        <f>IFERROR(__xludf.DUMMYFUNCTION("""COMPUTED_VALUE"""),FALSE)</f>
        <v>0</v>
      </c>
      <c r="C29" s="162" t="str">
        <f>IFERROR(__xludf.DUMMYFUNCTION("""COMPUTED_VALUE"""),"Booking.com")</f>
        <v>Booking.com</v>
      </c>
      <c r="D29" s="149">
        <f>IFERROR(__xludf.DUMMYFUNCTION("""COMPUTED_VALUE"""),7.0)</f>
        <v>7</v>
      </c>
      <c r="E29" s="163">
        <f>IFERROR(__xludf.DUMMYFUNCTION("""COMPUTED_VALUE"""),46139.0)</f>
        <v>46139</v>
      </c>
      <c r="F29" s="149"/>
      <c r="G29" s="149"/>
      <c r="H29" s="149"/>
      <c r="I29" s="149" t="str">
        <f>IFERROR(__xludf.DUMMYFUNCTION("""COMPUTED_VALUE"""),"")</f>
        <v/>
      </c>
      <c r="J29" s="149" t="str">
        <f>IFERROR(__xludf.DUMMYFUNCTION("""COMPUTED_VALUE"""),"")</f>
        <v/>
      </c>
      <c r="K29" s="149" t="str">
        <f>IFERROR(__xludf.DUMMYFUNCTION("""COMPUTED_VALUE"""),"")</f>
        <v/>
      </c>
      <c r="L29" s="149" t="str">
        <f>IFERROR(__xludf.DUMMYFUNCTION("""COMPUTED_VALUE"""),"Rafal")</f>
        <v>Rafal</v>
      </c>
      <c r="N29" s="85"/>
      <c r="O29" s="85"/>
      <c r="P29" s="85"/>
      <c r="Q29" s="85"/>
      <c r="R29" s="85"/>
      <c r="S29" s="85"/>
      <c r="T29" s="85"/>
      <c r="U29" s="85"/>
      <c r="V29" s="85"/>
      <c r="W29" s="85"/>
      <c r="X29" s="85"/>
    </row>
    <row r="30">
      <c r="B30" s="71" t="b">
        <f>IFERROR(__xludf.DUMMYFUNCTION("""COMPUTED_VALUE"""),FALSE)</f>
        <v>0</v>
      </c>
      <c r="C30" s="162" t="str">
        <f>IFERROR(__xludf.DUMMYFUNCTION("""COMPUTED_VALUE"""),"Trip.com")</f>
        <v>Trip.com</v>
      </c>
      <c r="D30" s="149">
        <f>IFERROR(__xludf.DUMMYFUNCTION("""COMPUTED_VALUE"""),10.0)</f>
        <v>10</v>
      </c>
      <c r="E30" s="163">
        <f>IFERROR(__xludf.DUMMYFUNCTION("""COMPUTED_VALUE"""),46139.0)</f>
        <v>46139</v>
      </c>
      <c r="F30"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30" s="149"/>
      <c r="H30" s="149"/>
      <c r="I30"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30" s="149" t="str">
        <f>IFERROR(__xludf.DUMMYFUNCTION("""COMPUTED_VALUE"""),"")</f>
        <v/>
      </c>
      <c r="K30" s="149" t="str">
        <f>IFERROR(__xludf.DUMMYFUNCTION("""COMPUTED_VALUE"""),"")</f>
        <v/>
      </c>
      <c r="L30" s="149" t="str">
        <f>IFERROR(__xludf.DUMMYFUNCTION("""COMPUTED_VALUE"""),"N‍e‍w‍ ‍C‍h‍a‍r")</f>
        <v>N‍e‍w‍ ‍C‍h‍a‍r</v>
      </c>
      <c r="N30" s="85"/>
      <c r="O30" s="85"/>
      <c r="P30" s="85"/>
      <c r="Q30" s="85"/>
      <c r="R30" s="85"/>
      <c r="S30" s="85"/>
      <c r="T30" s="85"/>
      <c r="U30" s="85"/>
      <c r="V30" s="85"/>
      <c r="W30" s="85"/>
      <c r="X30" s="85"/>
    </row>
    <row r="31">
      <c r="B31" s="71" t="b">
        <f>IFERROR(__xludf.DUMMYFUNCTION("""COMPUTED_VALUE"""),FALSE)</f>
        <v>0</v>
      </c>
      <c r="C31" s="162" t="str">
        <f>IFERROR(__xludf.DUMMYFUNCTION("""COMPUTED_VALUE"""),"Trip.com")</f>
        <v>Trip.com</v>
      </c>
      <c r="D31" s="149">
        <f>IFERROR(__xludf.DUMMYFUNCTION("""COMPUTED_VALUE"""),10.0)</f>
        <v>10</v>
      </c>
      <c r="E31" s="163">
        <f>IFERROR(__xludf.DUMMYFUNCTION("""COMPUTED_VALUE"""),46138.0)</f>
        <v>46138</v>
      </c>
      <c r="F31"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31" s="149"/>
      <c r="H31" s="149"/>
      <c r="I31"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31" s="149" t="str">
        <f>IFERROR(__xludf.DUMMYFUNCTION("""COMPUTED_VALUE"""),"")</f>
        <v/>
      </c>
      <c r="K31" s="149" t="str">
        <f>IFERROR(__xludf.DUMMYFUNCTION("""COMPUTED_VALUE"""),"")</f>
        <v/>
      </c>
      <c r="L31" s="149" t="str">
        <f>IFERROR(__xludf.DUMMYFUNCTION("""COMPUTED_VALUE"""),"P‍o‍p‍p‍y‍_‍K")</f>
        <v>P‍o‍p‍p‍y‍_‍K</v>
      </c>
      <c r="N31" s="85"/>
      <c r="O31" s="85"/>
      <c r="P31" s="85"/>
      <c r="Q31" s="85"/>
      <c r="R31" s="85"/>
      <c r="S31" s="85"/>
      <c r="T31" s="85"/>
      <c r="U31" s="85"/>
      <c r="V31" s="85"/>
      <c r="W31" s="85"/>
      <c r="X31" s="85"/>
    </row>
    <row r="32">
      <c r="B32" s="71" t="b">
        <f>IFERROR(__xludf.DUMMYFUNCTION("""COMPUTED_VALUE"""),FALSE)</f>
        <v>0</v>
      </c>
      <c r="C32" s="162" t="str">
        <f>IFERROR(__xludf.DUMMYFUNCTION("""COMPUTED_VALUE"""),"Trip.com")</f>
        <v>Trip.com</v>
      </c>
      <c r="D32" s="149">
        <f>IFERROR(__xludf.DUMMYFUNCTION("""COMPUTED_VALUE"""),10.0)</f>
        <v>10</v>
      </c>
      <c r="E32" s="163">
        <f>IFERROR(__xludf.DUMMYFUNCTION("""COMPUTED_VALUE"""),46138.0)</f>
        <v>46138</v>
      </c>
      <c r="F32"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32" s="149"/>
      <c r="H32" s="149"/>
      <c r="I32"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32" s="149" t="str">
        <f>IFERROR(__xludf.DUMMYFUNCTION("""COMPUTED_VALUE"""),"")</f>
        <v/>
      </c>
      <c r="K32" s="149" t="str">
        <f>IFERROR(__xludf.DUMMYFUNCTION("""COMPUTED_VALUE"""),"")</f>
        <v/>
      </c>
      <c r="L32" s="149"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62" t="str">
        <f>IFERROR(__xludf.DUMMYFUNCTION("""COMPUTED_VALUE"""),"Trip.com")</f>
        <v>Trip.com</v>
      </c>
      <c r="D33" s="149">
        <f>IFERROR(__xludf.DUMMYFUNCTION("""COMPUTED_VALUE"""),10.0)</f>
        <v>10</v>
      </c>
      <c r="E33" s="163">
        <f>IFERROR(__xludf.DUMMYFUNCTION("""COMPUTED_VALUE"""),46138.0)</f>
        <v>46138</v>
      </c>
      <c r="F33"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33" s="149"/>
      <c r="H33" s="149"/>
      <c r="I33"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33" s="149" t="str">
        <f>IFERROR(__xludf.DUMMYFUNCTION("""COMPUTED_VALUE"""),"")</f>
        <v/>
      </c>
      <c r="K33" s="149" t="str">
        <f>IFERROR(__xludf.DUMMYFUNCTION("""COMPUTED_VALUE"""),"")</f>
        <v/>
      </c>
      <c r="L33" s="149"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49">
        <f>IFERROR(__xludf.DUMMYFUNCTION("""COMPUTED_VALUE"""),5.0)</f>
        <v>5</v>
      </c>
      <c r="E34" s="163">
        <f>IFERROR(__xludf.DUMMYFUNCTION("""COMPUTED_VALUE"""),46138.0)</f>
        <v>46138</v>
      </c>
      <c r="F34"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34" s="149"/>
      <c r="H34" s="149"/>
      <c r="I34"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34" s="149" t="str">
        <f>IFERROR(__xludf.DUMMYFUNCTION("""COMPUTED_VALUE"""),"")</f>
        <v/>
      </c>
      <c r="K34" s="149" t="str">
        <f>IFERROR(__xludf.DUMMYFUNCTION("""COMPUTED_VALUE"""),"")</f>
        <v/>
      </c>
      <c r="L34" s="149" t="str">
        <f>IFERROR(__xludf.DUMMYFUNCTION("""COMPUTED_VALUE"""),"플리")</f>
        <v>플리</v>
      </c>
      <c r="N34" s="85"/>
      <c r="O34" s="85"/>
      <c r="P34" s="85"/>
      <c r="Q34" s="85"/>
      <c r="R34" s="85"/>
      <c r="S34" s="85"/>
      <c r="T34" s="85"/>
      <c r="U34" s="85"/>
      <c r="V34" s="85"/>
      <c r="W34" s="85"/>
      <c r="X34" s="85"/>
    </row>
    <row r="35">
      <c r="B35" s="71" t="b">
        <f>IFERROR(__xludf.DUMMYFUNCTION("""COMPUTED_VALUE"""),FALSE)</f>
        <v>0</v>
      </c>
      <c r="C35" s="85" t="str">
        <f>IFERROR(__xludf.DUMMYFUNCTION("""COMPUTED_VALUE"""),"Google")</f>
        <v>Google</v>
      </c>
      <c r="D35" s="149">
        <f>IFERROR(__xludf.DUMMYFUNCTION("""COMPUTED_VALUE"""),5.0)</f>
        <v>5</v>
      </c>
      <c r="E35" s="163">
        <f>IFERROR(__xludf.DUMMYFUNCTION("""COMPUTED_VALUE"""),46138.0)</f>
        <v>46138</v>
      </c>
      <c r="F35"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35" s="149"/>
      <c r="H35" s="149"/>
      <c r="I35"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35" s="149" t="str">
        <f>IFERROR(__xludf.DUMMYFUNCTION("""COMPUTED_VALUE"""),"")</f>
        <v/>
      </c>
      <c r="K35" s="149" t="str">
        <f>IFERROR(__xludf.DUMMYFUNCTION("""COMPUTED_VALUE"""),"")</f>
        <v/>
      </c>
      <c r="L35" s="149" t="str">
        <f>IFERROR(__xludf.DUMMYFUNCTION("""COMPUTED_VALUE"""),"플리")</f>
        <v>플리</v>
      </c>
      <c r="N35" s="85"/>
      <c r="O35" s="85"/>
      <c r="P35" s="85"/>
      <c r="Q35" s="85"/>
      <c r="R35" s="85"/>
      <c r="S35" s="85"/>
      <c r="T35" s="85"/>
      <c r="U35" s="85"/>
      <c r="V35" s="85"/>
      <c r="W35" s="85"/>
      <c r="X35" s="85"/>
    </row>
    <row r="36">
      <c r="B36" s="71" t="b">
        <f>IFERROR(__xludf.DUMMYFUNCTION("""COMPUTED_VALUE"""),FALSE)</f>
        <v>0</v>
      </c>
      <c r="C36" s="162" t="str">
        <f>IFERROR(__xludf.DUMMYFUNCTION("""COMPUTED_VALUE"""),"Trip.com")</f>
        <v>Trip.com</v>
      </c>
      <c r="D36" s="149">
        <f>IFERROR(__xludf.DUMMYFUNCTION("""COMPUTED_VALUE"""),10.0)</f>
        <v>10</v>
      </c>
      <c r="E36" s="163">
        <f>IFERROR(__xludf.DUMMYFUNCTION("""COMPUTED_VALUE"""),46137.0)</f>
        <v>46137</v>
      </c>
      <c r="F36" s="149" t="str">
        <f>IFERROR(__xludf.DUMMYFUNCTION("""COMPUTED_VALUE"""),"second time staying with this hotel. it is near the train station, easy to reach and the service is great.")</f>
        <v>second time staying with this hotel. it is near the train station, easy to reach and the service is great.</v>
      </c>
      <c r="G36" s="149"/>
      <c r="H36" s="149"/>
      <c r="I36"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36" s="149" t="str">
        <f>IFERROR(__xludf.DUMMYFUNCTION("""COMPUTED_VALUE"""),"")</f>
        <v/>
      </c>
      <c r="K36" s="149" t="str">
        <f>IFERROR(__xludf.DUMMYFUNCTION("""COMPUTED_VALUE"""),"")</f>
        <v/>
      </c>
      <c r="L36" s="149" t="str">
        <f>IFERROR(__xludf.DUMMYFUNCTION("""COMPUTED_VALUE"""),"ゲ‍ス‍ト")</f>
        <v>ゲ‍ス‍ト</v>
      </c>
      <c r="N36" s="85"/>
      <c r="O36" s="85"/>
      <c r="P36" s="85"/>
      <c r="Q36" s="85"/>
      <c r="R36" s="85"/>
      <c r="S36" s="85"/>
      <c r="T36" s="85"/>
      <c r="U36" s="85"/>
      <c r="V36" s="85"/>
      <c r="W36" s="85"/>
      <c r="X36" s="85"/>
    </row>
    <row r="37">
      <c r="B37" s="71" t="b">
        <f>IFERROR(__xludf.DUMMYFUNCTION("""COMPUTED_VALUE"""),FALSE)</f>
        <v>0</v>
      </c>
      <c r="C37" s="162" t="str">
        <f>IFERROR(__xludf.DUMMYFUNCTION("""COMPUTED_VALUE"""),"Booking.com")</f>
        <v>Booking.com</v>
      </c>
      <c r="D37" s="149">
        <f>IFERROR(__xludf.DUMMYFUNCTION("""COMPUTED_VALUE"""),8.0)</f>
        <v>8</v>
      </c>
      <c r="E37" s="163">
        <f>IFERROR(__xludf.DUMMYFUNCTION("""COMPUTED_VALUE"""),46136.0)</f>
        <v>46136</v>
      </c>
      <c r="F37" s="149"/>
      <c r="G37" s="149"/>
      <c r="H37" s="149"/>
      <c r="I37" s="149" t="str">
        <f>IFERROR(__xludf.DUMMYFUNCTION("""COMPUTED_VALUE"""),"")</f>
        <v/>
      </c>
      <c r="J37" s="149" t="str">
        <f>IFERROR(__xludf.DUMMYFUNCTION("""COMPUTED_VALUE"""),"")</f>
        <v/>
      </c>
      <c r="K37" s="149" t="str">
        <f>IFERROR(__xludf.DUMMYFUNCTION("""COMPUTED_VALUE"""),"")</f>
        <v/>
      </c>
      <c r="L37" s="149" t="str">
        <f>IFERROR(__xludf.DUMMYFUNCTION("""COMPUTED_VALUE"""),"Chih")</f>
        <v>Chih</v>
      </c>
      <c r="N37" s="85"/>
      <c r="O37" s="85"/>
      <c r="P37" s="85"/>
      <c r="Q37" s="85"/>
      <c r="R37" s="85"/>
      <c r="S37" s="85"/>
      <c r="T37" s="85"/>
      <c r="U37" s="85"/>
      <c r="V37" s="85"/>
      <c r="W37" s="85"/>
      <c r="X37" s="85"/>
    </row>
    <row r="38">
      <c r="B38" s="71" t="b">
        <f>IFERROR(__xludf.DUMMYFUNCTION("""COMPUTED_VALUE"""),FALSE)</f>
        <v>0</v>
      </c>
      <c r="C38" s="162" t="str">
        <f>IFERROR(__xludf.DUMMYFUNCTION("""COMPUTED_VALUE"""),"Booking.com")</f>
        <v>Booking.com</v>
      </c>
      <c r="D38" s="149">
        <f>IFERROR(__xludf.DUMMYFUNCTION("""COMPUTED_VALUE"""),9.0)</f>
        <v>9</v>
      </c>
      <c r="E38" s="163">
        <f>IFERROR(__xludf.DUMMYFUNCTION("""COMPUTED_VALUE"""),46136.0)</f>
        <v>46136</v>
      </c>
      <c r="F38" s="149"/>
      <c r="G38" s="149"/>
      <c r="H38" s="149"/>
      <c r="I38" s="149" t="str">
        <f>IFERROR(__xludf.DUMMYFUNCTION("""COMPUTED_VALUE"""),"")</f>
        <v/>
      </c>
      <c r="J38" s="149" t="str">
        <f>IFERROR(__xludf.DUMMYFUNCTION("""COMPUTED_VALUE"""),"")</f>
        <v/>
      </c>
      <c r="K38" s="149" t="str">
        <f>IFERROR(__xludf.DUMMYFUNCTION("""COMPUTED_VALUE"""),"")</f>
        <v/>
      </c>
      <c r="L38" s="149" t="str">
        <f>IFERROR(__xludf.DUMMYFUNCTION("""COMPUTED_VALUE"""),"Chooseang")</f>
        <v>Chooseang</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49">
        <f>IFERROR(__xludf.DUMMYFUNCTION("""COMPUTED_VALUE"""),5.0)</f>
        <v>5</v>
      </c>
      <c r="E39" s="163">
        <f>IFERROR(__xludf.DUMMYFUNCTION("""COMPUTED_VALUE"""),46136.0)</f>
        <v>46136</v>
      </c>
      <c r="F39"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39" s="149"/>
      <c r="H39" s="149"/>
      <c r="I39"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9" s="149" t="str">
        <f>IFERROR(__xludf.DUMMYFUNCTION("""COMPUTED_VALUE"""),"")</f>
        <v/>
      </c>
      <c r="K39" s="149" t="str">
        <f>IFERROR(__xludf.DUMMYFUNCTION("""COMPUTED_VALUE"""),"")</f>
        <v/>
      </c>
      <c r="L39" s="149" t="str">
        <f>IFERROR(__xludf.DUMMYFUNCTION("""COMPUTED_VALUE"""),"ramita")</f>
        <v>ramita</v>
      </c>
      <c r="N39" s="85"/>
      <c r="O39" s="85"/>
      <c r="P39" s="85"/>
      <c r="Q39" s="85"/>
      <c r="R39" s="85"/>
      <c r="S39" s="85"/>
      <c r="T39" s="85"/>
      <c r="U39" s="85"/>
      <c r="V39" s="85"/>
      <c r="W39" s="85"/>
      <c r="X39" s="85"/>
    </row>
    <row r="40">
      <c r="B40" s="71" t="b">
        <f>IFERROR(__xludf.DUMMYFUNCTION("""COMPUTED_VALUE"""),FALSE)</f>
        <v>0</v>
      </c>
      <c r="C40" s="85" t="str">
        <f>IFERROR(__xludf.DUMMYFUNCTION("""COMPUTED_VALUE"""),"Google")</f>
        <v>Google</v>
      </c>
      <c r="D40" s="149">
        <f>IFERROR(__xludf.DUMMYFUNCTION("""COMPUTED_VALUE"""),5.0)</f>
        <v>5</v>
      </c>
      <c r="E40" s="163">
        <f>IFERROR(__xludf.DUMMYFUNCTION("""COMPUTED_VALUE"""),46136.0)</f>
        <v>46136</v>
      </c>
      <c r="F40"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40" s="149"/>
      <c r="H40" s="149"/>
      <c r="I40"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40" s="149" t="str">
        <f>IFERROR(__xludf.DUMMYFUNCTION("""COMPUTED_VALUE"""),"")</f>
        <v/>
      </c>
      <c r="K40" s="149" t="str">
        <f>IFERROR(__xludf.DUMMYFUNCTION("""COMPUTED_VALUE"""),"")</f>
        <v/>
      </c>
      <c r="L40" s="149" t="str">
        <f>IFERROR(__xludf.DUMMYFUNCTION("""COMPUTED_VALUE"""),"ramita")</f>
        <v>ramita</v>
      </c>
      <c r="N40" s="85"/>
      <c r="O40" s="85"/>
      <c r="P40" s="85"/>
      <c r="Q40" s="85"/>
      <c r="R40" s="85"/>
      <c r="S40" s="85"/>
      <c r="T40" s="85"/>
      <c r="U40" s="85"/>
      <c r="V40" s="85"/>
      <c r="W40" s="85"/>
      <c r="X40" s="85"/>
    </row>
    <row r="41">
      <c r="B41" s="71" t="b">
        <f>IFERROR(__xludf.DUMMYFUNCTION("""COMPUTED_VALUE"""),FALSE)</f>
        <v>0</v>
      </c>
      <c r="C41" s="162" t="str">
        <f>IFERROR(__xludf.DUMMYFUNCTION("""COMPUTED_VALUE"""),"Booking.com")</f>
        <v>Booking.com</v>
      </c>
      <c r="D41" s="149">
        <f>IFERROR(__xludf.DUMMYFUNCTION("""COMPUTED_VALUE"""),7.0)</f>
        <v>7</v>
      </c>
      <c r="E41" s="163">
        <f>IFERROR(__xludf.DUMMYFUNCTION("""COMPUTED_VALUE"""),46135.0)</f>
        <v>46135</v>
      </c>
      <c r="F41" s="149"/>
      <c r="G41" s="149"/>
      <c r="H41" s="149"/>
      <c r="I41" s="149" t="str">
        <f>IFERROR(__xludf.DUMMYFUNCTION("""COMPUTED_VALUE"""),"")</f>
        <v/>
      </c>
      <c r="J41" s="149" t="str">
        <f>IFERROR(__xludf.DUMMYFUNCTION("""COMPUTED_VALUE"""),"")</f>
        <v/>
      </c>
      <c r="K41" s="149" t="str">
        <f>IFERROR(__xludf.DUMMYFUNCTION("""COMPUTED_VALUE"""),"")</f>
        <v/>
      </c>
      <c r="L41" s="149" t="str">
        <f>IFERROR(__xludf.DUMMYFUNCTION("""COMPUTED_VALUE"""),"Hui")</f>
        <v>Hui</v>
      </c>
      <c r="N41" s="85"/>
      <c r="O41" s="85"/>
      <c r="P41" s="85"/>
      <c r="Q41" s="85"/>
      <c r="R41" s="85"/>
      <c r="S41" s="85"/>
      <c r="T41" s="85"/>
      <c r="U41" s="85"/>
      <c r="V41" s="85"/>
      <c r="W41" s="85"/>
      <c r="X41" s="85"/>
    </row>
    <row r="42">
      <c r="B42" s="71" t="b">
        <f>IFERROR(__xludf.DUMMYFUNCTION("""COMPUTED_VALUE"""),FALSE)</f>
        <v>0</v>
      </c>
      <c r="C42" s="162" t="str">
        <f>IFERROR(__xludf.DUMMYFUNCTION("""COMPUTED_VALUE"""),"Booking.com")</f>
        <v>Booking.com</v>
      </c>
      <c r="D42" s="149">
        <f>IFERROR(__xludf.DUMMYFUNCTION("""COMPUTED_VALUE"""),9.0)</f>
        <v>9</v>
      </c>
      <c r="E42" s="163">
        <f>IFERROR(__xludf.DUMMYFUNCTION("""COMPUTED_VALUE"""),46135.0)</f>
        <v>46135</v>
      </c>
      <c r="F42" s="149"/>
      <c r="G42" s="149"/>
      <c r="H42" s="149"/>
      <c r="I42" s="149" t="str">
        <f>IFERROR(__xludf.DUMMYFUNCTION("""COMPUTED_VALUE"""),"")</f>
        <v/>
      </c>
      <c r="J42" s="149" t="str">
        <f>IFERROR(__xludf.DUMMYFUNCTION("""COMPUTED_VALUE"""),"")</f>
        <v/>
      </c>
      <c r="K42" s="149" t="str">
        <f>IFERROR(__xludf.DUMMYFUNCTION("""COMPUTED_VALUE"""),"")</f>
        <v/>
      </c>
      <c r="L42" s="149" t="str">
        <f>IFERROR(__xludf.DUMMYFUNCTION("""COMPUTED_VALUE"""),"Yasuyuki")</f>
        <v>Yasuyuki</v>
      </c>
      <c r="N42" s="85"/>
      <c r="O42" s="85"/>
      <c r="P42" s="85"/>
      <c r="Q42" s="85"/>
      <c r="R42" s="85"/>
      <c r="S42" s="85"/>
      <c r="T42" s="85"/>
      <c r="U42" s="85"/>
      <c r="V42" s="85"/>
      <c r="W42" s="85"/>
      <c r="X42" s="85"/>
    </row>
    <row r="43">
      <c r="B43" s="71" t="b">
        <f>IFERROR(__xludf.DUMMYFUNCTION("""COMPUTED_VALUE"""),FALSE)</f>
        <v>0</v>
      </c>
      <c r="C43" s="162" t="str">
        <f>IFERROR(__xludf.DUMMYFUNCTION("""COMPUTED_VALUE"""),"Trip.com")</f>
        <v>Trip.com</v>
      </c>
      <c r="D43" s="149">
        <f>IFERROR(__xludf.DUMMYFUNCTION("""COMPUTED_VALUE"""),10.0)</f>
        <v>10</v>
      </c>
      <c r="E43" s="163">
        <f>IFERROR(__xludf.DUMMYFUNCTION("""COMPUTED_VALUE"""),46135.0)</f>
        <v>46135</v>
      </c>
      <c r="F43"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43" s="149"/>
      <c r="H43" s="149"/>
      <c r="I43"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43" s="149" t="str">
        <f>IFERROR(__xludf.DUMMYFUNCTION("""COMPUTED_VALUE"""),"")</f>
        <v/>
      </c>
      <c r="K43" s="149" t="str">
        <f>IFERROR(__xludf.DUMMYFUNCTION("""COMPUTED_VALUE"""),"")</f>
        <v/>
      </c>
      <c r="L43" s="149" t="str">
        <f>IFERROR(__xludf.DUMMYFUNCTION("""COMPUTED_VALUE"""),"e‍v‍e‍l‍i‍n‍a‍a‍e‍v‍a")</f>
        <v>e‍v‍e‍l‍i‍n‍a‍a‍e‍v‍a</v>
      </c>
      <c r="N43" s="85"/>
      <c r="O43" s="85"/>
      <c r="P43" s="85"/>
      <c r="Q43" s="85"/>
      <c r="R43" s="85"/>
      <c r="S43" s="85"/>
      <c r="T43" s="85"/>
      <c r="U43" s="85"/>
      <c r="V43" s="85"/>
      <c r="W43" s="85"/>
      <c r="X43" s="85"/>
    </row>
    <row r="44">
      <c r="B44" s="71" t="b">
        <f>IFERROR(__xludf.DUMMYFUNCTION("""COMPUTED_VALUE"""),FALSE)</f>
        <v>0</v>
      </c>
      <c r="C44" s="162" t="str">
        <f>IFERROR(__xludf.DUMMYFUNCTION("""COMPUTED_VALUE"""),"Trip.com")</f>
        <v>Trip.com</v>
      </c>
      <c r="D44" s="149">
        <f>IFERROR(__xludf.DUMMYFUNCTION("""COMPUTED_VALUE"""),10.0)</f>
        <v>10</v>
      </c>
      <c r="E44" s="163">
        <f>IFERROR(__xludf.DUMMYFUNCTION("""COMPUTED_VALUE"""),46134.0)</f>
        <v>46134</v>
      </c>
      <c r="F44" s="149" t="str">
        <f>IFERROR(__xludf.DUMMYFUNCTION("""COMPUTED_VALUE"""),"Very good trip")</f>
        <v>Very good trip</v>
      </c>
      <c r="G44" s="149"/>
      <c r="H44" s="149"/>
      <c r="I44" s="149" t="str">
        <f>IFERROR(__xludf.DUMMYFUNCTION("""COMPUTED_VALUE"""),"とても良い旅でした")</f>
        <v>とても良い旅でした</v>
      </c>
      <c r="J44" s="149" t="str">
        <f>IFERROR(__xludf.DUMMYFUNCTION("""COMPUTED_VALUE"""),"")</f>
        <v/>
      </c>
      <c r="K44" s="149" t="str">
        <f>IFERROR(__xludf.DUMMYFUNCTION("""COMPUTED_VALUE"""),"")</f>
        <v/>
      </c>
      <c r="L44" s="149"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62" t="str">
        <f>IFERROR(__xludf.DUMMYFUNCTION("""COMPUTED_VALUE"""),"Trip.com")</f>
        <v>Trip.com</v>
      </c>
      <c r="D45" s="149">
        <f>IFERROR(__xludf.DUMMYFUNCTION("""COMPUTED_VALUE"""),9.0)</f>
        <v>9</v>
      </c>
      <c r="E45" s="163">
        <f>IFERROR(__xludf.DUMMYFUNCTION("""COMPUTED_VALUE"""),46134.0)</f>
        <v>46134</v>
      </c>
      <c r="F45"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45" s="149"/>
      <c r="H45" s="149"/>
      <c r="I45"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45" s="149" t="str">
        <f>IFERROR(__xludf.DUMMYFUNCTION("""COMPUTED_VALUE"""),"")</f>
        <v/>
      </c>
      <c r="K45" s="149" t="str">
        <f>IFERROR(__xludf.DUMMYFUNCTION("""COMPUTED_VALUE"""),"")</f>
        <v/>
      </c>
      <c r="L45" s="149" t="str">
        <f>IFERROR(__xludf.DUMMYFUNCTION("""COMPUTED_VALUE"""),"匿‍名‍ユ‍ー‍ザ‍ー")</f>
        <v>匿‍名‍ユ‍ー‍ザ‍ー</v>
      </c>
      <c r="N45" s="85"/>
      <c r="O45" s="85"/>
      <c r="P45" s="85"/>
      <c r="Q45" s="85"/>
      <c r="R45" s="85"/>
      <c r="S45" s="85"/>
      <c r="T45" s="85"/>
      <c r="U45" s="85"/>
      <c r="V45" s="85"/>
      <c r="W45" s="85"/>
      <c r="X45" s="85"/>
    </row>
    <row r="46">
      <c r="B46" s="71" t="b">
        <f>IFERROR(__xludf.DUMMYFUNCTION("""COMPUTED_VALUE"""),FALSE)</f>
        <v>0</v>
      </c>
      <c r="C46" s="162" t="str">
        <f>IFERROR(__xludf.DUMMYFUNCTION("""COMPUTED_VALUE"""),"Booking.com")</f>
        <v>Booking.com</v>
      </c>
      <c r="D46" s="149">
        <f>IFERROR(__xludf.DUMMYFUNCTION("""COMPUTED_VALUE"""),10.0)</f>
        <v>10</v>
      </c>
      <c r="E46" s="163">
        <f>IFERROR(__xludf.DUMMYFUNCTION("""COMPUTED_VALUE"""),46134.0)</f>
        <v>46134</v>
      </c>
      <c r="F46" s="149"/>
      <c r="G46" s="149" t="str">
        <f>IFERROR(__xludf.DUMMYFUNCTION("""COMPUTED_VALUE"""),"The staff here go above and beyond. They help with almost everything.")</f>
        <v>The staff here go above and beyond. They help with almost everything.</v>
      </c>
      <c r="H46" s="149" t="str">
        <f>IFERROR(__xludf.DUMMYFUNCTION("""COMPUTED_VALUE"""),"The rooms are outdated")</f>
        <v>The rooms are outdated</v>
      </c>
      <c r="I46" s="149" t="str">
        <f>IFERROR(__xludf.DUMMYFUNCTION("""COMPUTED_VALUE"""),"")</f>
        <v/>
      </c>
      <c r="J46" s="149" t="str">
        <f>IFERROR(__xludf.DUMMYFUNCTION("""COMPUTED_VALUE"""),"ここのスタッフは本当に親切で、ほとんど何でも手伝ってくれます。")</f>
        <v>ここのスタッフは本当に親切で、ほとんど何でも手伝ってくれます。</v>
      </c>
      <c r="K46" s="149" t="str">
        <f>IFERROR(__xludf.DUMMYFUNCTION("""COMPUTED_VALUE"""),"部屋は時代遅れです")</f>
        <v>部屋は時代遅れです</v>
      </c>
      <c r="L46" s="149" t="str">
        <f>IFERROR(__xludf.DUMMYFUNCTION("""COMPUTED_VALUE"""),"Juan")</f>
        <v>Juan</v>
      </c>
      <c r="N46" s="85"/>
      <c r="O46" s="85"/>
      <c r="P46" s="85"/>
      <c r="Q46" s="85"/>
      <c r="R46" s="85"/>
      <c r="S46" s="85"/>
      <c r="T46" s="85"/>
      <c r="U46" s="85"/>
      <c r="V46" s="85"/>
      <c r="W46" s="85"/>
      <c r="X46" s="85"/>
    </row>
    <row r="47">
      <c r="B47" s="71" t="b">
        <f>IFERROR(__xludf.DUMMYFUNCTION("""COMPUTED_VALUE"""),FALSE)</f>
        <v>0</v>
      </c>
      <c r="C47" s="162" t="str">
        <f>IFERROR(__xludf.DUMMYFUNCTION("""COMPUTED_VALUE"""),"Booking.com")</f>
        <v>Booking.com</v>
      </c>
      <c r="D47" s="149">
        <f>IFERROR(__xludf.DUMMYFUNCTION("""COMPUTED_VALUE"""),8.0)</f>
        <v>8</v>
      </c>
      <c r="E47" s="163">
        <f>IFERROR(__xludf.DUMMYFUNCTION("""COMPUTED_VALUE"""),46133.0)</f>
        <v>46133</v>
      </c>
      <c r="F47" s="149"/>
      <c r="G47" s="149"/>
      <c r="H47" s="149"/>
      <c r="I47" s="149" t="str">
        <f>IFERROR(__xludf.DUMMYFUNCTION("""COMPUTED_VALUE"""),"")</f>
        <v/>
      </c>
      <c r="J47" s="149" t="str">
        <f>IFERROR(__xludf.DUMMYFUNCTION("""COMPUTED_VALUE"""),"")</f>
        <v/>
      </c>
      <c r="K47" s="149" t="str">
        <f>IFERROR(__xludf.DUMMYFUNCTION("""COMPUTED_VALUE"""),"")</f>
        <v/>
      </c>
      <c r="L47" s="149" t="str">
        <f>IFERROR(__xludf.DUMMYFUNCTION("""COMPUTED_VALUE"""),"Martin")</f>
        <v>Martin</v>
      </c>
      <c r="N47" s="85"/>
      <c r="O47" s="85"/>
      <c r="P47" s="85"/>
      <c r="Q47" s="85"/>
      <c r="R47" s="85"/>
      <c r="S47" s="85"/>
      <c r="T47" s="85"/>
      <c r="U47" s="85"/>
      <c r="V47" s="85"/>
      <c r="W47" s="85"/>
      <c r="X47" s="85"/>
    </row>
    <row r="48">
      <c r="B48" s="71" t="b">
        <f>IFERROR(__xludf.DUMMYFUNCTION("""COMPUTED_VALUE"""),FALSE)</f>
        <v>0</v>
      </c>
      <c r="C48" s="162" t="str">
        <f>IFERROR(__xludf.DUMMYFUNCTION("""COMPUTED_VALUE"""),"Booking.com")</f>
        <v>Booking.com</v>
      </c>
      <c r="D48" s="149">
        <f>IFERROR(__xludf.DUMMYFUNCTION("""COMPUTED_VALUE"""),9.0)</f>
        <v>9</v>
      </c>
      <c r="E48" s="163">
        <f>IFERROR(__xludf.DUMMYFUNCTION("""COMPUTED_VALUE"""),46133.0)</f>
        <v>46133</v>
      </c>
      <c r="F48" s="149"/>
      <c r="G48" s="149" t="str">
        <f>IFERROR(__xludf.DUMMYFUNCTION("""COMPUTED_VALUE"""),"交通，位置離車站很近非常方便")</f>
        <v>交通，位置離車站很近非常方便</v>
      </c>
      <c r="H48" s="149" t="str">
        <f>IFERROR(__xludf.DUMMYFUNCTION("""COMPUTED_VALUE"""),"1.電梯只有一台會到一樓，有時候要等一下 2.沒有洗衣機 3.房間蠻小的")</f>
        <v>1.電梯只有一台會到一樓，有時候要等一下 2.沒有洗衣機 3.房間蠻小的</v>
      </c>
      <c r="I48" s="149" t="str">
        <f>IFERROR(__xludf.DUMMYFUNCTION("""COMPUTED_VALUE"""),"")</f>
        <v/>
      </c>
      <c r="J48" s="149" t="str">
        <f>IFERROR(__xludf.DUMMYFUNCTION("""COMPUTED_VALUE"""),"交通の便が非常に良く、駅からもとても近い。")</f>
        <v>交通の便が非常に良く、駅からもとても近い。</v>
      </c>
      <c r="K48" s="149"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48" s="149" t="str">
        <f>IFERROR(__xludf.DUMMYFUNCTION("""COMPUTED_VALUE"""),"Tzan")</f>
        <v>Tzan</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49">
        <f>IFERROR(__xludf.DUMMYFUNCTION("""COMPUTED_VALUE"""),5.0)</f>
        <v>5</v>
      </c>
      <c r="E49" s="163">
        <f>IFERROR(__xludf.DUMMYFUNCTION("""COMPUTED_VALUE"""),46133.0)</f>
        <v>46133</v>
      </c>
      <c r="F49" s="149" t="str">
        <f>IFERROR(__xludf.DUMMYFUNCTION("""COMPUTED_VALUE"""),"駅からすごく近いし、階下にはファミリーマートもあるから、とっても便利！🥹")</f>
        <v>駅からすごく近いし、階下にはファミリーマートもあるから、とっても便利！🥹</v>
      </c>
      <c r="G49" s="149"/>
      <c r="H49" s="149"/>
      <c r="I49" s="149" t="str">
        <f>IFERROR(__xludf.DUMMYFUNCTION("""COMPUTED_VALUE"""),"駅からすごく近いし、階下にはファミリーマートもあるから、とっても便利！🥹")</f>
        <v>駅からすごく近いし、階下にはファミリーマートもあるから、とっても便利！🥹</v>
      </c>
      <c r="J49" s="149" t="str">
        <f>IFERROR(__xludf.DUMMYFUNCTION("""COMPUTED_VALUE"""),"")</f>
        <v/>
      </c>
      <c r="K49" s="149" t="str">
        <f>IFERROR(__xludf.DUMMYFUNCTION("""COMPUTED_VALUE"""),"")</f>
        <v/>
      </c>
      <c r="L49" s="149" t="str">
        <f>IFERROR(__xludf.DUMMYFUNCTION("""COMPUTED_VALUE"""),"陳琦霖")</f>
        <v>陳琦霖</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49">
        <f>IFERROR(__xludf.DUMMYFUNCTION("""COMPUTED_VALUE"""),5.0)</f>
        <v>5</v>
      </c>
      <c r="E50" s="163">
        <f>IFERROR(__xludf.DUMMYFUNCTION("""COMPUTED_VALUE"""),46133.0)</f>
        <v>46133</v>
      </c>
      <c r="F50"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0" s="149"/>
      <c r="H50" s="149"/>
      <c r="I50"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0" s="149" t="str">
        <f>IFERROR(__xludf.DUMMYFUNCTION("""COMPUTED_VALUE"""),"")</f>
        <v/>
      </c>
      <c r="K50" s="149" t="str">
        <f>IFERROR(__xludf.DUMMYFUNCTION("""COMPUTED_VALUE"""),"")</f>
        <v/>
      </c>
      <c r="L50" s="149" t="str">
        <f>IFERROR(__xludf.DUMMYFUNCTION("""COMPUTED_VALUE"""),"Kk Ghc")</f>
        <v>Kk Ghc</v>
      </c>
      <c r="N50" s="85"/>
      <c r="O50" s="85"/>
      <c r="P50" s="85"/>
      <c r="Q50" s="85"/>
      <c r="R50" s="85"/>
      <c r="S50" s="85"/>
      <c r="T50" s="85"/>
      <c r="U50" s="85"/>
      <c r="V50" s="85"/>
      <c r="W50" s="85"/>
      <c r="X50" s="85"/>
    </row>
    <row r="51">
      <c r="B51" s="71" t="b">
        <f>IFERROR(__xludf.DUMMYFUNCTION("""COMPUTED_VALUE"""),FALSE)</f>
        <v>0</v>
      </c>
      <c r="C51" s="162" t="str">
        <f>IFERROR(__xludf.DUMMYFUNCTION("""COMPUTED_VALUE"""),"Trip.com")</f>
        <v>Trip.com</v>
      </c>
      <c r="D51" s="149">
        <f>IFERROR(__xludf.DUMMYFUNCTION("""COMPUTED_VALUE"""),10.0)</f>
        <v>10</v>
      </c>
      <c r="E51" s="163">
        <f>IFERROR(__xludf.DUMMYFUNCTION("""COMPUTED_VALUE"""),46133.0)</f>
        <v>46133</v>
      </c>
      <c r="F51"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51" s="149"/>
      <c r="H51" s="149"/>
      <c r="I51"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51" s="149" t="str">
        <f>IFERROR(__xludf.DUMMYFUNCTION("""COMPUTED_VALUE"""),"")</f>
        <v/>
      </c>
      <c r="K51" s="149" t="str">
        <f>IFERROR(__xludf.DUMMYFUNCTION("""COMPUTED_VALUE"""),"")</f>
        <v/>
      </c>
      <c r="L51" s="149" t="str">
        <f>IFERROR(__xludf.DUMMYFUNCTION("""COMPUTED_VALUE"""),"ゲ‍ス‍ト")</f>
        <v>ゲ‍ス‍ト</v>
      </c>
      <c r="N51" s="85"/>
      <c r="O51" s="85"/>
      <c r="P51" s="85"/>
      <c r="Q51" s="85"/>
      <c r="R51" s="85"/>
      <c r="S51" s="85"/>
      <c r="T51" s="85"/>
      <c r="U51" s="85"/>
      <c r="V51" s="85"/>
      <c r="W51" s="85"/>
      <c r="X51" s="85"/>
    </row>
    <row r="52">
      <c r="B52" s="71" t="b">
        <f>IFERROR(__xludf.DUMMYFUNCTION("""COMPUTED_VALUE"""),FALSE)</f>
        <v>0</v>
      </c>
      <c r="C52" s="85" t="str">
        <f>IFERROR(__xludf.DUMMYFUNCTION("""COMPUTED_VALUE"""),"Google")</f>
        <v>Google</v>
      </c>
      <c r="D52" s="149">
        <f>IFERROR(__xludf.DUMMYFUNCTION("""COMPUTED_VALUE"""),5.0)</f>
        <v>5</v>
      </c>
      <c r="E52" s="163">
        <f>IFERROR(__xludf.DUMMYFUNCTION("""COMPUTED_VALUE"""),46133.0)</f>
        <v>46133</v>
      </c>
      <c r="F52" s="149" t="str">
        <f>IFERROR(__xludf.DUMMYFUNCTION("""COMPUTED_VALUE"""),"離車站超近，樓下就有全家超方便🥹")</f>
        <v>離車站超近，樓下就有全家超方便🥹</v>
      </c>
      <c r="G52" s="149"/>
      <c r="H52" s="149"/>
      <c r="I52" s="149" t="str">
        <f>IFERROR(__xludf.DUMMYFUNCTION("""COMPUTED_VALUE"""),"駅からすごく近いし、階下にはファミリーマートもあるから、とっても便利！🥹")</f>
        <v>駅からすごく近いし、階下にはファミリーマートもあるから、とっても便利！🥹</v>
      </c>
      <c r="J52" s="149" t="str">
        <f>IFERROR(__xludf.DUMMYFUNCTION("""COMPUTED_VALUE"""),"")</f>
        <v/>
      </c>
      <c r="K52" s="149" t="str">
        <f>IFERROR(__xludf.DUMMYFUNCTION("""COMPUTED_VALUE"""),"")</f>
        <v/>
      </c>
      <c r="L52" s="149" t="str">
        <f>IFERROR(__xludf.DUMMYFUNCTION("""COMPUTED_VALUE"""),"陳琦霖")</f>
        <v>陳琦霖</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49">
        <f>IFERROR(__xludf.DUMMYFUNCTION("""COMPUTED_VALUE"""),5.0)</f>
        <v>5</v>
      </c>
      <c r="E53" s="163">
        <f>IFERROR(__xludf.DUMMYFUNCTION("""COMPUTED_VALUE"""),46133.0)</f>
        <v>46133</v>
      </c>
      <c r="F53"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3" s="149"/>
      <c r="H53" s="149"/>
      <c r="I53"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3" s="149" t="str">
        <f>IFERROR(__xludf.DUMMYFUNCTION("""COMPUTED_VALUE"""),"")</f>
        <v/>
      </c>
      <c r="K53" s="149" t="str">
        <f>IFERROR(__xludf.DUMMYFUNCTION("""COMPUTED_VALUE"""),"")</f>
        <v/>
      </c>
      <c r="L53" s="149" t="str">
        <f>IFERROR(__xludf.DUMMYFUNCTION("""COMPUTED_VALUE"""),"Kk Ghc")</f>
        <v>Kk Ghc</v>
      </c>
      <c r="N53" s="85"/>
      <c r="O53" s="85"/>
      <c r="P53" s="85"/>
      <c r="Q53" s="85"/>
      <c r="R53" s="85"/>
      <c r="S53" s="85"/>
      <c r="T53" s="85"/>
      <c r="U53" s="85"/>
      <c r="V53" s="85"/>
      <c r="W53" s="85"/>
      <c r="X53" s="85"/>
    </row>
    <row r="54">
      <c r="B54" s="71" t="b">
        <f>IFERROR(__xludf.DUMMYFUNCTION("""COMPUTED_VALUE"""),FALSE)</f>
        <v>0</v>
      </c>
      <c r="C54" s="162" t="str">
        <f>IFERROR(__xludf.DUMMYFUNCTION("""COMPUTED_VALUE"""),"Booking.com")</f>
        <v>Booking.com</v>
      </c>
      <c r="D54" s="149">
        <f>IFERROR(__xludf.DUMMYFUNCTION("""COMPUTED_VALUE"""),10.0)</f>
        <v>10</v>
      </c>
      <c r="E54" s="163">
        <f>IFERROR(__xludf.DUMMYFUNCTION("""COMPUTED_VALUE"""),46132.0)</f>
        <v>46132</v>
      </c>
      <c r="F54" s="149"/>
      <c r="G54" s="149" t="str">
        <f>IFERROR(__xludf.DUMMYFUNCTION("""COMPUTED_VALUE"""),"The location")</f>
        <v>The location</v>
      </c>
      <c r="H54" s="149" t="str">
        <f>IFERROR(__xludf.DUMMYFUNCTION("""COMPUTED_VALUE"""),"N/A")</f>
        <v>N/A</v>
      </c>
      <c r="I54" s="149" t="str">
        <f>IFERROR(__xludf.DUMMYFUNCTION("""COMPUTED_VALUE"""),"")</f>
        <v/>
      </c>
      <c r="J54" s="149" t="str">
        <f>IFERROR(__xludf.DUMMYFUNCTION("""COMPUTED_VALUE"""),"場所")</f>
        <v>場所</v>
      </c>
      <c r="K54" s="149" t="str">
        <f>IFERROR(__xludf.DUMMYFUNCTION("""COMPUTED_VALUE"""),"該当なし")</f>
        <v>該当なし</v>
      </c>
      <c r="L54" s="149" t="str">
        <f>IFERROR(__xludf.DUMMYFUNCTION("""COMPUTED_VALUE"""),"Angel")</f>
        <v>Angel</v>
      </c>
      <c r="N54" s="85"/>
      <c r="O54" s="85"/>
      <c r="P54" s="85"/>
      <c r="Q54" s="85"/>
      <c r="R54" s="85"/>
      <c r="S54" s="85"/>
      <c r="T54" s="85"/>
      <c r="U54" s="85"/>
      <c r="V54" s="85"/>
      <c r="W54" s="85"/>
      <c r="X54" s="85"/>
    </row>
    <row r="55">
      <c r="B55" s="71" t="b">
        <f>IFERROR(__xludf.DUMMYFUNCTION("""COMPUTED_VALUE"""),FALSE)</f>
        <v>0</v>
      </c>
      <c r="C55" s="162" t="str">
        <f>IFERROR(__xludf.DUMMYFUNCTION("""COMPUTED_VALUE"""),"Booking.com")</f>
        <v>Booking.com</v>
      </c>
      <c r="D55" s="149">
        <f>IFERROR(__xludf.DUMMYFUNCTION("""COMPUTED_VALUE"""),9.0)</f>
        <v>9</v>
      </c>
      <c r="E55" s="163">
        <f>IFERROR(__xludf.DUMMYFUNCTION("""COMPUTED_VALUE"""),46132.0)</f>
        <v>46132</v>
      </c>
      <c r="F55" s="149"/>
      <c r="G55" s="149" t="str">
        <f>IFERROR(__xludf.DUMMYFUNCTION("""COMPUTED_VALUE"""),"I enjoyed very much the location of the hotel. It was extremely well connected to the city center.")</f>
        <v>I enjoyed very much the location of the hotel. It was extremely well connected to the city center.</v>
      </c>
      <c r="H55" s="149" t="str">
        <f>IFERROR(__xludf.DUMMYFUNCTION("""COMPUTED_VALUE"""),"I wished there were more vegetables at the breakfast.")</f>
        <v>I wished there were more vegetables at the breakfast.</v>
      </c>
      <c r="I55" s="149" t="str">
        <f>IFERROR(__xludf.DUMMYFUNCTION("""COMPUTED_VALUE"""),"")</f>
        <v/>
      </c>
      <c r="J55"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55" s="149" t="str">
        <f>IFERROR(__xludf.DUMMYFUNCTION("""COMPUTED_VALUE"""),"朝食にもっと野菜があればよかったのに。")</f>
        <v>朝食にもっと野菜があればよかったのに。</v>
      </c>
      <c r="L55" s="149" t="str">
        <f>IFERROR(__xludf.DUMMYFUNCTION("""COMPUTED_VALUE"""),"Laura")</f>
        <v>Laura</v>
      </c>
      <c r="N55" s="85"/>
      <c r="O55" s="85"/>
      <c r="P55" s="85"/>
      <c r="Q55" s="85"/>
      <c r="R55" s="85"/>
      <c r="S55" s="85"/>
      <c r="T55" s="85"/>
      <c r="U55" s="85"/>
      <c r="V55" s="85"/>
      <c r="W55" s="85"/>
      <c r="X55" s="85"/>
    </row>
    <row r="56">
      <c r="B56" s="71" t="b">
        <f>IFERROR(__xludf.DUMMYFUNCTION("""COMPUTED_VALUE"""),FALSE)</f>
        <v>0</v>
      </c>
      <c r="C56" s="85" t="str">
        <f>IFERROR(__xludf.DUMMYFUNCTION("""COMPUTED_VALUE"""),"楽天トラベル")</f>
        <v>楽天トラベル</v>
      </c>
      <c r="D56" s="149">
        <f>IFERROR(__xludf.DUMMYFUNCTION("""COMPUTED_VALUE"""),5.0)</f>
        <v>5</v>
      </c>
      <c r="E56" s="163">
        <f>IFERROR(__xludf.DUMMYFUNCTION("""COMPUTED_VALUE"""),46132.0)</f>
        <v>46132</v>
      </c>
      <c r="F56"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56" s="149"/>
      <c r="H56" s="149"/>
      <c r="I56"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56" s="149" t="str">
        <f>IFERROR(__xludf.DUMMYFUNCTION("""COMPUTED_VALUE"""),"")</f>
        <v/>
      </c>
      <c r="K56" s="149" t="str">
        <f>IFERROR(__xludf.DUMMYFUNCTION("""COMPUTED_VALUE"""),"")</f>
        <v/>
      </c>
      <c r="L56" s="149" t="str">
        <f>IFERROR(__xludf.DUMMYFUNCTION("""COMPUTED_VALUE"""),"kwj000")</f>
        <v>kwj000</v>
      </c>
      <c r="N56" s="85"/>
      <c r="O56" s="85"/>
      <c r="P56" s="85"/>
      <c r="Q56" s="85"/>
      <c r="R56" s="85"/>
      <c r="S56" s="85"/>
      <c r="T56" s="85"/>
      <c r="U56" s="85"/>
      <c r="V56" s="85"/>
      <c r="W56" s="85"/>
      <c r="X56" s="85"/>
    </row>
    <row r="57">
      <c r="B57" s="71" t="b">
        <f>IFERROR(__xludf.DUMMYFUNCTION("""COMPUTED_VALUE"""),FALSE)</f>
        <v>0</v>
      </c>
      <c r="C57" s="162" t="str">
        <f>IFERROR(__xludf.DUMMYFUNCTION("""COMPUTED_VALUE"""),"Trip.com")</f>
        <v>Trip.com</v>
      </c>
      <c r="D57" s="149">
        <f>IFERROR(__xludf.DUMMYFUNCTION("""COMPUTED_VALUE"""),9.0)</f>
        <v>9</v>
      </c>
      <c r="E57" s="163">
        <f>IFERROR(__xludf.DUMMYFUNCTION("""COMPUTED_VALUE"""),46132.0)</f>
        <v>46132</v>
      </c>
      <c r="F57"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57" s="149"/>
      <c r="H57" s="149"/>
      <c r="I57"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57" s="149" t="str">
        <f>IFERROR(__xludf.DUMMYFUNCTION("""COMPUTED_VALUE"""),"")</f>
        <v/>
      </c>
      <c r="K57" s="149" t="str">
        <f>IFERROR(__xludf.DUMMYFUNCTION("""COMPUTED_VALUE"""),"")</f>
        <v/>
      </c>
      <c r="L57" s="149" t="str">
        <f>IFERROR(__xludf.DUMMYFUNCTION("""COMPUTED_VALUE"""),"ゲ‍ス‍ト")</f>
        <v>ゲ‍ス‍ト</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49">
        <f>IFERROR(__xludf.DUMMYFUNCTION("""COMPUTED_VALUE"""),5.0)</f>
        <v>5</v>
      </c>
      <c r="E58" s="163">
        <f>IFERROR(__xludf.DUMMYFUNCTION("""COMPUTED_VALUE"""),46132.0)</f>
        <v>46132</v>
      </c>
      <c r="F58"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58" s="149"/>
      <c r="H58" s="149"/>
      <c r="I58"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58" s="149" t="str">
        <f>IFERROR(__xludf.DUMMYFUNCTION("""COMPUTED_VALUE"""),"")</f>
        <v/>
      </c>
      <c r="K58" s="149" t="str">
        <f>IFERROR(__xludf.DUMMYFUNCTION("""COMPUTED_VALUE"""),"")</f>
        <v/>
      </c>
      <c r="L58" s="149" t="str">
        <f>IFERROR(__xludf.DUMMYFUNCTION("""COMPUTED_VALUE"""),"JJ Aksara")</f>
        <v>JJ Aksara</v>
      </c>
      <c r="N58" s="85"/>
      <c r="O58" s="85"/>
      <c r="P58" s="85"/>
      <c r="Q58" s="85"/>
      <c r="R58" s="85"/>
      <c r="S58" s="85"/>
      <c r="T58" s="85"/>
      <c r="U58" s="85"/>
      <c r="V58" s="85"/>
      <c r="W58" s="85"/>
      <c r="X58" s="85"/>
    </row>
    <row r="59">
      <c r="B59" s="85" t="b">
        <f>IFERROR(__xludf.DUMMYFUNCTION("""COMPUTED_VALUE"""),FALSE)</f>
        <v>0</v>
      </c>
      <c r="C59" s="85" t="str">
        <f>IFERROR(__xludf.DUMMYFUNCTION("""COMPUTED_VALUE"""),"Google")</f>
        <v>Google</v>
      </c>
      <c r="D59" s="149">
        <f>IFERROR(__xludf.DUMMYFUNCTION("""COMPUTED_VALUE"""),5.0)</f>
        <v>5</v>
      </c>
      <c r="E59" s="163">
        <f>IFERROR(__xludf.DUMMYFUNCTION("""COMPUTED_VALUE"""),46132.0)</f>
        <v>46132</v>
      </c>
      <c r="F59"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59" s="149"/>
      <c r="H59" s="149"/>
      <c r="I59"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59" s="149" t="str">
        <f>IFERROR(__xludf.DUMMYFUNCTION("""COMPUTED_VALUE"""),"")</f>
        <v/>
      </c>
      <c r="K59" s="149" t="str">
        <f>IFERROR(__xludf.DUMMYFUNCTION("""COMPUTED_VALUE"""),"")</f>
        <v/>
      </c>
      <c r="L59" s="149" t="str">
        <f>IFERROR(__xludf.DUMMYFUNCTION("""COMPUTED_VALUE"""),"JJ Aksara")</f>
        <v>JJ Aksara</v>
      </c>
      <c r="N59" s="85"/>
      <c r="O59" s="85"/>
      <c r="P59" s="85"/>
      <c r="Q59" s="85"/>
      <c r="R59" s="85"/>
      <c r="S59" s="85"/>
      <c r="T59" s="85"/>
      <c r="U59" s="85"/>
      <c r="V59" s="85"/>
      <c r="W59" s="85"/>
      <c r="X59" s="85"/>
    </row>
    <row r="60">
      <c r="B60" s="85" t="b">
        <f>IFERROR(__xludf.DUMMYFUNCTION("""COMPUTED_VALUE"""),FALSE)</f>
        <v>0</v>
      </c>
      <c r="C60" s="162" t="str">
        <f>IFERROR(__xludf.DUMMYFUNCTION("""COMPUTED_VALUE"""),"Booking.com")</f>
        <v>Booking.com</v>
      </c>
      <c r="D60" s="149">
        <f>IFERROR(__xludf.DUMMYFUNCTION("""COMPUTED_VALUE"""),9.0)</f>
        <v>9</v>
      </c>
      <c r="E60" s="163">
        <f>IFERROR(__xludf.DUMMYFUNCTION("""COMPUTED_VALUE"""),46131.0)</f>
        <v>46131</v>
      </c>
      <c r="F60" s="149"/>
      <c r="G60" s="149" t="str">
        <f>IFERROR(__xludf.DUMMYFUNCTION("""COMPUTED_VALUE"""),"เดินทางสะดวก ปลอดภัยของกิน หาง่าย มาก")</f>
        <v>เดินทางสะดวก ปลอดภัยของกิน หาง่าย มาก</v>
      </c>
      <c r="H60" s="149" t="str">
        <f>IFERROR(__xludf.DUMMYFUNCTION("""COMPUTED_VALUE"""),"ห้องน้ำเล็กมาก")</f>
        <v>ห้องน้ำเล็กมาก</v>
      </c>
      <c r="I60" s="149" t="str">
        <f>IFERROR(__xludf.DUMMYFUNCTION("""COMPUTED_VALUE"""),"")</f>
        <v/>
      </c>
      <c r="J60" s="149" t="str">
        <f>IFERROR(__xludf.DUMMYFUNCTION("""COMPUTED_VALUE"""),"便利な立地で、安全で、食べ物も豊富です。")</f>
        <v>便利な立地で、安全で、食べ物も豊富です。</v>
      </c>
      <c r="K60" s="149" t="str">
        <f>IFERROR(__xludf.DUMMYFUNCTION("""COMPUTED_VALUE"""),"バスルームはとても狭い。")</f>
        <v>バスルームはとても狭い。</v>
      </c>
      <c r="L60" s="149" t="str">
        <f>IFERROR(__xludf.DUMMYFUNCTION("""COMPUTED_VALUE"""),"Pavinee")</f>
        <v>Pavinee</v>
      </c>
      <c r="N60" s="85"/>
      <c r="O60" s="85"/>
      <c r="P60" s="85"/>
      <c r="Q60" s="85"/>
      <c r="R60" s="85"/>
      <c r="S60" s="85"/>
      <c r="T60" s="85"/>
      <c r="U60" s="85"/>
      <c r="V60" s="85"/>
      <c r="W60" s="85"/>
      <c r="X60" s="85"/>
    </row>
    <row r="61">
      <c r="B61" s="85" t="b">
        <f>IFERROR(__xludf.DUMMYFUNCTION("""COMPUTED_VALUE"""),FALSE)</f>
        <v>0</v>
      </c>
      <c r="C61" s="162" t="str">
        <f>IFERROR(__xludf.DUMMYFUNCTION("""COMPUTED_VALUE"""),"Trip.com")</f>
        <v>Trip.com</v>
      </c>
      <c r="D61" s="149">
        <f>IFERROR(__xludf.DUMMYFUNCTION("""COMPUTED_VALUE"""),8.0)</f>
        <v>8</v>
      </c>
      <c r="E61" s="163">
        <f>IFERROR(__xludf.DUMMYFUNCTION("""COMPUTED_VALUE"""),46131.0)</f>
        <v>46131</v>
      </c>
      <c r="F61"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61" s="149"/>
      <c r="H61" s="149"/>
      <c r="I61"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61" s="149" t="str">
        <f>IFERROR(__xludf.DUMMYFUNCTION("""COMPUTED_VALUE"""),"")</f>
        <v/>
      </c>
      <c r="K61" s="149" t="str">
        <f>IFERROR(__xludf.DUMMYFUNCTION("""COMPUTED_VALUE"""),"")</f>
        <v/>
      </c>
      <c r="L61" s="149" t="str">
        <f>IFERROR(__xludf.DUMMYFUNCTION("""COMPUTED_VALUE"""),"A‍t‍h‍i‍c‍h‍a‍ ‍A")</f>
        <v>A‍t‍h‍i‍c‍h‍a‍ ‍A</v>
      </c>
      <c r="N61" s="85"/>
      <c r="O61" s="85"/>
      <c r="P61" s="85"/>
      <c r="Q61" s="85"/>
      <c r="R61" s="85"/>
      <c r="S61" s="85"/>
      <c r="T61" s="85"/>
      <c r="U61" s="85"/>
      <c r="V61" s="85"/>
      <c r="W61" s="85"/>
      <c r="X61" s="85"/>
    </row>
    <row r="62">
      <c r="B62" s="85" t="b">
        <f>IFERROR(__xludf.DUMMYFUNCTION("""COMPUTED_VALUE"""),FALSE)</f>
        <v>0</v>
      </c>
      <c r="C62" s="162" t="str">
        <f>IFERROR(__xludf.DUMMYFUNCTION("""COMPUTED_VALUE"""),"Trip.com")</f>
        <v>Trip.com</v>
      </c>
      <c r="D62" s="149">
        <f>IFERROR(__xludf.DUMMYFUNCTION("""COMPUTED_VALUE"""),10.0)</f>
        <v>10</v>
      </c>
      <c r="E62" s="163">
        <f>IFERROR(__xludf.DUMMYFUNCTION("""COMPUTED_VALUE"""),46131.0)</f>
        <v>46131</v>
      </c>
      <c r="F62"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62" s="149"/>
      <c r="H62" s="149"/>
      <c r="I62"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62" s="149" t="str">
        <f>IFERROR(__xludf.DUMMYFUNCTION("""COMPUTED_VALUE"""),"")</f>
        <v/>
      </c>
      <c r="K62" s="149" t="str">
        <f>IFERROR(__xludf.DUMMYFUNCTION("""COMPUTED_VALUE"""),"")</f>
        <v/>
      </c>
      <c r="L62" s="149" t="str">
        <f>IFERROR(__xludf.DUMMYFUNCTION("""COMPUTED_VALUE"""),"ゲ‍ス‍ト")</f>
        <v>ゲ‍ス‍ト</v>
      </c>
      <c r="N62" s="85"/>
      <c r="O62" s="85"/>
      <c r="P62" s="85"/>
      <c r="Q62" s="85"/>
      <c r="R62" s="85"/>
      <c r="S62" s="85"/>
      <c r="T62" s="85"/>
      <c r="U62" s="85"/>
      <c r="V62" s="85"/>
      <c r="W62" s="85"/>
      <c r="X62" s="85"/>
    </row>
    <row r="63">
      <c r="B63" s="85" t="b">
        <f>IFERROR(__xludf.DUMMYFUNCTION("""COMPUTED_VALUE"""),FALSE)</f>
        <v>0</v>
      </c>
      <c r="C63" s="162" t="str">
        <f>IFERROR(__xludf.DUMMYFUNCTION("""COMPUTED_VALUE"""),"Trip.com")</f>
        <v>Trip.com</v>
      </c>
      <c r="D63" s="149">
        <f>IFERROR(__xludf.DUMMYFUNCTION("""COMPUTED_VALUE"""),10.0)</f>
        <v>10</v>
      </c>
      <c r="E63" s="163">
        <f>IFERROR(__xludf.DUMMYFUNCTION("""COMPUTED_VALUE"""),46131.0)</f>
        <v>46131</v>
      </c>
      <c r="F63" s="149" t="str">
        <f>IFERROR(__xludf.DUMMYFUNCTION("""COMPUTED_VALUE"""),"想不到那麼近池袋地鐵站10分方便我們駁車私家車過去停到門口不用搬大久的行李，")</f>
        <v>想不到那麼近池袋地鐵站10分方便我們駁車私家車過去停到門口不用搬大久的行李，</v>
      </c>
      <c r="G63" s="149"/>
      <c r="H63" s="149"/>
      <c r="I63"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63" s="149" t="str">
        <f>IFERROR(__xludf.DUMMYFUNCTION("""COMPUTED_VALUE"""),"")</f>
        <v/>
      </c>
      <c r="K63" s="149" t="str">
        <f>IFERROR(__xludf.DUMMYFUNCTION("""COMPUTED_VALUE"""),"")</f>
        <v/>
      </c>
      <c r="L63" s="149" t="str">
        <f>IFERROR(__xludf.DUMMYFUNCTION("""COMPUTED_VALUE"""),"J‍J‍H‍O")</f>
        <v>J‍J‍H‍O</v>
      </c>
      <c r="N63" s="85"/>
      <c r="O63" s="85"/>
      <c r="P63" s="85"/>
      <c r="Q63" s="85"/>
      <c r="R63" s="85"/>
      <c r="S63" s="85"/>
      <c r="T63" s="85"/>
      <c r="U63" s="85"/>
      <c r="V63" s="85"/>
      <c r="W63" s="85"/>
      <c r="X63" s="85"/>
    </row>
    <row r="64">
      <c r="B64" s="85" t="b">
        <f>IFERROR(__xludf.DUMMYFUNCTION("""COMPUTED_VALUE"""),FALSE)</f>
        <v>0</v>
      </c>
      <c r="C64" s="162" t="str">
        <f>IFERROR(__xludf.DUMMYFUNCTION("""COMPUTED_VALUE"""),"Trip.com")</f>
        <v>Trip.com</v>
      </c>
      <c r="D64" s="149">
        <f>IFERROR(__xludf.DUMMYFUNCTION("""COMPUTED_VALUE"""),10.0)</f>
        <v>10</v>
      </c>
      <c r="E64" s="163">
        <f>IFERROR(__xludf.DUMMYFUNCTION("""COMPUTED_VALUE"""),46131.0)</f>
        <v>46131</v>
      </c>
      <c r="F64"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64" s="149"/>
      <c r="H64" s="149"/>
      <c r="I64"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64" s="149" t="str">
        <f>IFERROR(__xludf.DUMMYFUNCTION("""COMPUTED_VALUE"""),"")</f>
        <v/>
      </c>
      <c r="K64" s="149" t="str">
        <f>IFERROR(__xludf.DUMMYFUNCTION("""COMPUTED_VALUE"""),"")</f>
        <v/>
      </c>
      <c r="L64" s="149" t="str">
        <f>IFERROR(__xludf.DUMMYFUNCTION("""COMPUTED_VALUE"""),"c‍o‍c‍a‍s‍m‍o‍m")</f>
        <v>c‍o‍c‍a‍s‍m‍o‍m</v>
      </c>
      <c r="N64" s="85"/>
      <c r="O64" s="85"/>
      <c r="P64" s="85"/>
      <c r="Q64" s="85"/>
      <c r="R64" s="85"/>
      <c r="S64" s="85"/>
      <c r="T64" s="85"/>
      <c r="U64" s="85"/>
      <c r="V64" s="85"/>
      <c r="W64" s="85"/>
      <c r="X64" s="85"/>
    </row>
    <row r="65">
      <c r="B65" s="85" t="b">
        <f>IFERROR(__xludf.DUMMYFUNCTION("""COMPUTED_VALUE"""),FALSE)</f>
        <v>0</v>
      </c>
      <c r="C65" s="162" t="str">
        <f>IFERROR(__xludf.DUMMYFUNCTION("""COMPUTED_VALUE"""),"Trip.com")</f>
        <v>Trip.com</v>
      </c>
      <c r="D65" s="149">
        <f>IFERROR(__xludf.DUMMYFUNCTION("""COMPUTED_VALUE"""),6.0)</f>
        <v>6</v>
      </c>
      <c r="E65" s="163">
        <f>IFERROR(__xludf.DUMMYFUNCTION("""COMPUTED_VALUE"""),46131.0)</f>
        <v>46131</v>
      </c>
      <c r="F65"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65" s="149"/>
      <c r="H65" s="149"/>
      <c r="I65"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65" s="149" t="str">
        <f>IFERROR(__xludf.DUMMYFUNCTION("""COMPUTED_VALUE"""),"")</f>
        <v/>
      </c>
      <c r="K65" s="149" t="str">
        <f>IFERROR(__xludf.DUMMYFUNCTION("""COMPUTED_VALUE"""),"")</f>
        <v/>
      </c>
      <c r="L65" s="149" t="str">
        <f>IFERROR(__xludf.DUMMYFUNCTION("""COMPUTED_VALUE"""),"ゲ‍ス‍ト")</f>
        <v>ゲ‍ス‍ト</v>
      </c>
      <c r="N65" s="85"/>
      <c r="O65" s="85"/>
      <c r="P65" s="85"/>
      <c r="Q65" s="85"/>
      <c r="R65" s="85"/>
      <c r="S65" s="85"/>
      <c r="T65" s="85"/>
      <c r="U65" s="85"/>
      <c r="V65" s="85"/>
      <c r="W65" s="85"/>
      <c r="X65" s="85"/>
    </row>
    <row r="66">
      <c r="B66" s="85" t="b">
        <f>IFERROR(__xludf.DUMMYFUNCTION("""COMPUTED_VALUE"""),FALSE)</f>
        <v>0</v>
      </c>
      <c r="C66" s="162" t="str">
        <f>IFERROR(__xludf.DUMMYFUNCTION("""COMPUTED_VALUE"""),"Trip.com")</f>
        <v>Trip.com</v>
      </c>
      <c r="D66" s="149">
        <f>IFERROR(__xludf.DUMMYFUNCTION("""COMPUTED_VALUE"""),9.0)</f>
        <v>9</v>
      </c>
      <c r="E66" s="163">
        <f>IFERROR(__xludf.DUMMYFUNCTION("""COMPUTED_VALUE"""),46131.0)</f>
        <v>46131</v>
      </c>
      <c r="F66" s="149" t="str">
        <f>IFERROR(__xludf.DUMMYFUNCTION("""COMPUTED_VALUE"""),"很近池袋站，樓下食肆便利店一應俱全")</f>
        <v>很近池袋站，樓下食肆便利店一應俱全</v>
      </c>
      <c r="G66" s="149"/>
      <c r="H66" s="149"/>
      <c r="I66"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66" s="149" t="str">
        <f>IFERROR(__xludf.DUMMYFUNCTION("""COMPUTED_VALUE"""),"")</f>
        <v/>
      </c>
      <c r="K66" s="149" t="str">
        <f>IFERROR(__xludf.DUMMYFUNCTION("""COMPUTED_VALUE"""),"")</f>
        <v/>
      </c>
      <c r="L66" s="149" t="str">
        <f>IFERROR(__xludf.DUMMYFUNCTION("""COMPUTED_VALUE"""),"c‍c‍c‍h‍i‍a‍k‍i")</f>
        <v>c‍c‍c‍h‍i‍a‍k‍i</v>
      </c>
      <c r="N66" s="85"/>
      <c r="O66" s="85"/>
      <c r="P66" s="85"/>
      <c r="Q66" s="85"/>
      <c r="R66" s="85"/>
      <c r="S66" s="85"/>
      <c r="T66" s="85"/>
      <c r="U66" s="85"/>
      <c r="V66" s="85"/>
      <c r="W66" s="85"/>
      <c r="X66" s="85"/>
    </row>
    <row r="67">
      <c r="B67" s="85" t="b">
        <f>IFERROR(__xludf.DUMMYFUNCTION("""COMPUTED_VALUE"""),FALSE)</f>
        <v>0</v>
      </c>
      <c r="C67" s="162" t="str">
        <f>IFERROR(__xludf.DUMMYFUNCTION("""COMPUTED_VALUE"""),"Trip.com")</f>
        <v>Trip.com</v>
      </c>
      <c r="D67" s="149">
        <f>IFERROR(__xludf.DUMMYFUNCTION("""COMPUTED_VALUE"""),10.0)</f>
        <v>10</v>
      </c>
      <c r="E67" s="163">
        <f>IFERROR(__xludf.DUMMYFUNCTION("""COMPUTED_VALUE"""),46128.0)</f>
        <v>46128</v>
      </c>
      <c r="F67"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7" s="149"/>
      <c r="H67" s="149"/>
      <c r="I67"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67" s="149" t="str">
        <f>IFERROR(__xludf.DUMMYFUNCTION("""COMPUTED_VALUE"""),"")</f>
        <v/>
      </c>
      <c r="K67" s="149" t="str">
        <f>IFERROR(__xludf.DUMMYFUNCTION("""COMPUTED_VALUE"""),"")</f>
        <v/>
      </c>
      <c r="L67" s="149" t="str">
        <f>IFERROR(__xludf.DUMMYFUNCTION("""COMPUTED_VALUE"""),"K‍i‍t‍t‍_‍S")</f>
        <v>K‍i‍t‍t‍_‍S</v>
      </c>
      <c r="N67" s="85"/>
      <c r="O67" s="85"/>
      <c r="P67" s="85"/>
      <c r="Q67" s="85"/>
      <c r="R67" s="85"/>
      <c r="S67" s="85"/>
      <c r="T67" s="85"/>
      <c r="U67" s="85"/>
      <c r="V67" s="85"/>
      <c r="W67" s="85"/>
      <c r="X67" s="85"/>
    </row>
    <row r="68">
      <c r="B68" s="85" t="b">
        <f>IFERROR(__xludf.DUMMYFUNCTION("""COMPUTED_VALUE"""),FALSE)</f>
        <v>0</v>
      </c>
      <c r="C68" s="162" t="str">
        <f>IFERROR(__xludf.DUMMYFUNCTION("""COMPUTED_VALUE"""),"Trip.com")</f>
        <v>Trip.com</v>
      </c>
      <c r="D68" s="149">
        <f>IFERROR(__xludf.DUMMYFUNCTION("""COMPUTED_VALUE"""),10.0)</f>
        <v>10</v>
      </c>
      <c r="E68" s="163">
        <f>IFERROR(__xludf.DUMMYFUNCTION("""COMPUTED_VALUE"""),46128.0)</f>
        <v>46128</v>
      </c>
      <c r="F68"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68" s="149"/>
      <c r="H68" s="149"/>
      <c r="I68"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68" s="149" t="str">
        <f>IFERROR(__xludf.DUMMYFUNCTION("""COMPUTED_VALUE"""),"")</f>
        <v/>
      </c>
      <c r="K68" s="149" t="str">
        <f>IFERROR(__xludf.DUMMYFUNCTION("""COMPUTED_VALUE"""),"")</f>
        <v/>
      </c>
      <c r="L68" s="149" t="str">
        <f>IFERROR(__xludf.DUMMYFUNCTION("""COMPUTED_VALUE"""),"J‍u‍n‍i‍e‍.‍j‍j")</f>
        <v>J‍u‍n‍i‍e‍.‍j‍j</v>
      </c>
      <c r="N68" s="85"/>
      <c r="O68" s="85"/>
      <c r="P68" s="85"/>
      <c r="Q68" s="85"/>
      <c r="R68" s="85"/>
      <c r="S68" s="85"/>
      <c r="T68" s="85"/>
      <c r="U68" s="85"/>
      <c r="V68" s="85"/>
      <c r="W68" s="85"/>
      <c r="X68" s="85"/>
    </row>
    <row r="69">
      <c r="B69" s="85" t="b">
        <f>IFERROR(__xludf.DUMMYFUNCTION("""COMPUTED_VALUE"""),FALSE)</f>
        <v>0</v>
      </c>
      <c r="C69" s="162" t="str">
        <f>IFERROR(__xludf.DUMMYFUNCTION("""COMPUTED_VALUE"""),"Booking.com")</f>
        <v>Booking.com</v>
      </c>
      <c r="D69" s="149">
        <f>IFERROR(__xludf.DUMMYFUNCTION("""COMPUTED_VALUE"""),8.0)</f>
        <v>8</v>
      </c>
      <c r="E69" s="163">
        <f>IFERROR(__xludf.DUMMYFUNCTION("""COMPUTED_VALUE"""),46127.0)</f>
        <v>46127</v>
      </c>
      <c r="F69" s="149"/>
      <c r="G69"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69" s="149" t="str">
        <f>IFERROR(__xludf.DUMMYFUNCTION("""COMPUTED_VALUE"""),"Das es keine Waschmaschine hat")</f>
        <v>Das es keine Waschmaschine hat</v>
      </c>
      <c r="I69" s="149" t="str">
        <f>IFERROR(__xludf.DUMMYFUNCTION("""COMPUTED_VALUE"""),"")</f>
        <v/>
      </c>
      <c r="J69"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69" s="149" t="str">
        <f>IFERROR(__xludf.DUMMYFUNCTION("""COMPUTED_VALUE"""),"洗濯機がない")</f>
        <v>洗濯機がない</v>
      </c>
      <c r="L69" s="149" t="str">
        <f>IFERROR(__xludf.DUMMYFUNCTION("""COMPUTED_VALUE"""),"Patricia")</f>
        <v>Patricia</v>
      </c>
      <c r="N69" s="85"/>
      <c r="O69" s="85"/>
      <c r="P69" s="85"/>
      <c r="Q69" s="85"/>
      <c r="R69" s="85"/>
      <c r="S69" s="85"/>
      <c r="T69" s="85"/>
      <c r="U69" s="85"/>
      <c r="V69" s="85"/>
      <c r="W69" s="85"/>
      <c r="X69" s="85"/>
    </row>
    <row r="70">
      <c r="B70" s="85" t="b">
        <f>IFERROR(__xludf.DUMMYFUNCTION("""COMPUTED_VALUE"""),FALSE)</f>
        <v>0</v>
      </c>
      <c r="C70" s="162" t="str">
        <f>IFERROR(__xludf.DUMMYFUNCTION("""COMPUTED_VALUE"""),"Trip.com")</f>
        <v>Trip.com</v>
      </c>
      <c r="D70" s="149">
        <f>IFERROR(__xludf.DUMMYFUNCTION("""COMPUTED_VALUE"""),10.0)</f>
        <v>10</v>
      </c>
      <c r="E70" s="163">
        <f>IFERROR(__xludf.DUMMYFUNCTION("""COMPUTED_VALUE"""),46123.0)</f>
        <v>46123</v>
      </c>
      <c r="F70"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70" s="149"/>
      <c r="H70" s="149"/>
      <c r="I70"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70" s="149" t="str">
        <f>IFERROR(__xludf.DUMMYFUNCTION("""COMPUTED_VALUE"""),"")</f>
        <v/>
      </c>
      <c r="K70" s="149" t="str">
        <f>IFERROR(__xludf.DUMMYFUNCTION("""COMPUTED_VALUE"""),"")</f>
        <v/>
      </c>
      <c r="L70" s="149" t="str">
        <f>IFERROR(__xludf.DUMMYFUNCTION("""COMPUTED_VALUE"""),"T‍e‍l‍e‍b‍e‍e")</f>
        <v>T‍e‍l‍e‍b‍e‍e</v>
      </c>
      <c r="N70" s="85"/>
      <c r="O70" s="85"/>
      <c r="P70" s="85"/>
      <c r="Q70" s="85"/>
      <c r="R70" s="85"/>
      <c r="S70" s="85"/>
      <c r="T70" s="85"/>
      <c r="U70" s="85"/>
      <c r="V70" s="85"/>
      <c r="W70" s="85"/>
      <c r="X70" s="85"/>
    </row>
    <row r="71">
      <c r="B71" s="85" t="b">
        <f>IFERROR(__xludf.DUMMYFUNCTION("""COMPUTED_VALUE"""),FALSE)</f>
        <v>0</v>
      </c>
      <c r="C71" s="162" t="str">
        <f>IFERROR(__xludf.DUMMYFUNCTION("""COMPUTED_VALUE"""),"Trip.com")</f>
        <v>Trip.com</v>
      </c>
      <c r="D71" s="149">
        <f>IFERROR(__xludf.DUMMYFUNCTION("""COMPUTED_VALUE"""),9.0)</f>
        <v>9</v>
      </c>
      <c r="E71" s="163">
        <f>IFERROR(__xludf.DUMMYFUNCTION("""COMPUTED_VALUE"""),46123.0)</f>
        <v>46123</v>
      </c>
      <c r="F71" s="149" t="str">
        <f>IFERROR(__xludf.DUMMYFUNCTION("""COMPUTED_VALUE"""),"Hôtel très bien placé, au coeur d'Ikebukuro, avec un Family Mart et Ichiran au pied de l'hôtel")</f>
        <v>Hôtel très bien placé, au coeur d'Ikebukuro, avec un Family Mart et Ichiran au pied de l'hôtel</v>
      </c>
      <c r="G71" s="149"/>
      <c r="H71" s="149"/>
      <c r="I71"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71" s="149" t="str">
        <f>IFERROR(__xludf.DUMMYFUNCTION("""COMPUTED_VALUE"""),"")</f>
        <v/>
      </c>
      <c r="K71" s="149" t="str">
        <f>IFERROR(__xludf.DUMMYFUNCTION("""COMPUTED_VALUE"""),"")</f>
        <v/>
      </c>
      <c r="L71" s="149"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2" t="str">
        <f>IFERROR(__xludf.DUMMYFUNCTION("""COMPUTED_VALUE"""),"Trip.com")</f>
        <v>Trip.com</v>
      </c>
      <c r="D72" s="149">
        <f>IFERROR(__xludf.DUMMYFUNCTION("""COMPUTED_VALUE"""),9.0)</f>
        <v>9</v>
      </c>
      <c r="E72" s="163">
        <f>IFERROR(__xludf.DUMMYFUNCTION("""COMPUTED_VALUE"""),46123.0)</f>
        <v>46123</v>
      </c>
      <c r="F72" s="149" t="str">
        <f>IFERROR(__xludf.DUMMYFUNCTION("""COMPUTED_VALUE"""),"Overall good  superb location dated room smells a bit, not bothering me much, someone would be bothered")</f>
        <v>Overall good  superb location dated room smells a bit, not bothering me much, someone would be bothered</v>
      </c>
      <c r="G72" s="149"/>
      <c r="H72" s="149"/>
      <c r="I72"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72" s="149" t="str">
        <f>IFERROR(__xludf.DUMMYFUNCTION("""COMPUTED_VALUE"""),"")</f>
        <v/>
      </c>
      <c r="K72" s="149" t="str">
        <f>IFERROR(__xludf.DUMMYFUNCTION("""COMPUTED_VALUE"""),"")</f>
        <v/>
      </c>
      <c r="L72" s="149" t="str">
        <f>IFERROR(__xludf.DUMMYFUNCTION("""COMPUTED_VALUE"""),"ก‍ฤ‍ต‍ ‍ว‍ร‍ร‍ณ‍พ‍ฤ‍ก‍ษ‍์")</f>
        <v>ก‍ฤ‍ต‍ ‍ว‍ร‍ร‍ณ‍พ‍ฤ‍ก‍ษ‍์</v>
      </c>
      <c r="N72" s="85"/>
      <c r="O72" s="85"/>
      <c r="P72" s="85"/>
      <c r="Q72" s="85"/>
      <c r="R72" s="85"/>
      <c r="S72" s="85"/>
      <c r="T72" s="85"/>
      <c r="U72" s="85"/>
      <c r="V72" s="85"/>
      <c r="W72" s="85"/>
      <c r="X72" s="85"/>
    </row>
    <row r="73">
      <c r="B73" s="85" t="b">
        <f>IFERROR(__xludf.DUMMYFUNCTION("""COMPUTED_VALUE"""),FALSE)</f>
        <v>0</v>
      </c>
      <c r="C73" s="85" t="str">
        <f>IFERROR(__xludf.DUMMYFUNCTION("""COMPUTED_VALUE"""),"Google")</f>
        <v>Google</v>
      </c>
      <c r="D73" s="149">
        <f>IFERROR(__xludf.DUMMYFUNCTION("""COMPUTED_VALUE"""),5.0)</f>
        <v>5</v>
      </c>
      <c r="E73" s="163">
        <f>IFERROR(__xludf.DUMMYFUNCTION("""COMPUTED_VALUE"""),46123.0)</f>
        <v>46123</v>
      </c>
      <c r="F73"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73" s="149"/>
      <c r="H73" s="149"/>
      <c r="I73"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73" s="149" t="str">
        <f>IFERROR(__xludf.DUMMYFUNCTION("""COMPUTED_VALUE"""),"")</f>
        <v/>
      </c>
      <c r="K73" s="149" t="str">
        <f>IFERROR(__xludf.DUMMYFUNCTION("""COMPUTED_VALUE"""),"")</f>
        <v/>
      </c>
      <c r="L73" s="149" t="str">
        <f>IFERROR(__xludf.DUMMYFUNCTION("""COMPUTED_VALUE"""),"小瓔珞")</f>
        <v>小瓔珞</v>
      </c>
      <c r="N73" s="85"/>
      <c r="O73" s="85"/>
      <c r="P73" s="85"/>
      <c r="Q73" s="85"/>
      <c r="R73" s="85"/>
      <c r="S73" s="85"/>
      <c r="T73" s="85"/>
      <c r="U73" s="85"/>
      <c r="V73" s="85"/>
      <c r="W73" s="85"/>
      <c r="X73" s="85"/>
    </row>
    <row r="74">
      <c r="B74" s="85" t="b">
        <f>IFERROR(__xludf.DUMMYFUNCTION("""COMPUTED_VALUE"""),FALSE)</f>
        <v>0</v>
      </c>
      <c r="C74" s="162" t="str">
        <f>IFERROR(__xludf.DUMMYFUNCTION("""COMPUTED_VALUE"""),"Trip.com")</f>
        <v>Trip.com</v>
      </c>
      <c r="D74" s="149">
        <f>IFERROR(__xludf.DUMMYFUNCTION("""COMPUTED_VALUE"""),9.0)</f>
        <v>9</v>
      </c>
      <c r="E74" s="163">
        <f>IFERROR(__xludf.DUMMYFUNCTION("""COMPUTED_VALUE"""),46122.0)</f>
        <v>46122</v>
      </c>
      <c r="F74"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74" s="149"/>
      <c r="H74" s="149"/>
      <c r="I74"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J74" s="149" t="str">
        <f>IFERROR(__xludf.DUMMYFUNCTION("""COMPUTED_VALUE"""),"")</f>
        <v/>
      </c>
      <c r="K74" s="149" t="str">
        <f>IFERROR(__xludf.DUMMYFUNCTION("""COMPUTED_VALUE"""),"")</f>
        <v/>
      </c>
      <c r="L74" s="149" t="str">
        <f>IFERROR(__xludf.DUMMYFUNCTION("""COMPUTED_VALUE"""),"ゲ‍ス‍ト")</f>
        <v>ゲ‍ス‍ト</v>
      </c>
      <c r="N74" s="85"/>
      <c r="O74" s="85"/>
      <c r="P74" s="85"/>
      <c r="Q74" s="85"/>
      <c r="R74" s="85"/>
      <c r="S74" s="85"/>
      <c r="T74" s="85"/>
      <c r="U74" s="85"/>
      <c r="V74" s="85"/>
      <c r="W74" s="85"/>
      <c r="X74" s="85"/>
    </row>
    <row r="75">
      <c r="B75" s="85" t="b">
        <f>IFERROR(__xludf.DUMMYFUNCTION("""COMPUTED_VALUE"""),FALSE)</f>
        <v>0</v>
      </c>
      <c r="C75" s="162" t="str">
        <f>IFERROR(__xludf.DUMMYFUNCTION("""COMPUTED_VALUE"""),"Booking.com")</f>
        <v>Booking.com</v>
      </c>
      <c r="D75" s="149">
        <f>IFERROR(__xludf.DUMMYFUNCTION("""COMPUTED_VALUE"""),9.0)</f>
        <v>9</v>
      </c>
      <c r="E75" s="163">
        <f>IFERROR(__xludf.DUMMYFUNCTION("""COMPUTED_VALUE"""),46122.0)</f>
        <v>46122</v>
      </c>
      <c r="F75" s="149"/>
      <c r="G75" s="149"/>
      <c r="H75" s="149"/>
      <c r="I75" s="149" t="str">
        <f>IFERROR(__xludf.DUMMYFUNCTION("""COMPUTED_VALUE"""),"")</f>
        <v/>
      </c>
      <c r="J75" s="149" t="str">
        <f>IFERROR(__xludf.DUMMYFUNCTION("""COMPUTED_VALUE"""),"")</f>
        <v/>
      </c>
      <c r="K75" s="149" t="str">
        <f>IFERROR(__xludf.DUMMYFUNCTION("""COMPUTED_VALUE"""),"")</f>
        <v/>
      </c>
      <c r="L75" s="149" t="str">
        <f>IFERROR(__xludf.DUMMYFUNCTION("""COMPUTED_VALUE"""),"沛璇")</f>
        <v>沛璇</v>
      </c>
      <c r="N75" s="85"/>
      <c r="O75" s="85"/>
      <c r="P75" s="85"/>
      <c r="Q75" s="85"/>
      <c r="R75" s="85"/>
      <c r="S75" s="85"/>
      <c r="T75" s="85"/>
      <c r="U75" s="85"/>
      <c r="V75" s="85"/>
      <c r="W75" s="85"/>
      <c r="X75" s="85"/>
    </row>
    <row r="76">
      <c r="B76" s="85" t="b">
        <f>IFERROR(__xludf.DUMMYFUNCTION("""COMPUTED_VALUE"""),FALSE)</f>
        <v>0</v>
      </c>
      <c r="C76" s="162" t="str">
        <f>IFERROR(__xludf.DUMMYFUNCTION("""COMPUTED_VALUE"""),"Booking.com")</f>
        <v>Booking.com</v>
      </c>
      <c r="D76" s="149">
        <f>IFERROR(__xludf.DUMMYFUNCTION("""COMPUTED_VALUE"""),9.0)</f>
        <v>9</v>
      </c>
      <c r="E76" s="163">
        <f>IFERROR(__xludf.DUMMYFUNCTION("""COMPUTED_VALUE"""),46121.0)</f>
        <v>46121</v>
      </c>
      <c r="F76" s="149"/>
      <c r="G76"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76" s="149"/>
      <c r="I76" s="149" t="str">
        <f>IFERROR(__xludf.DUMMYFUNCTION("""COMPUTED_VALUE"""),"")</f>
        <v/>
      </c>
      <c r="J76"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76" s="149" t="str">
        <f>IFERROR(__xludf.DUMMYFUNCTION("""COMPUTED_VALUE"""),"")</f>
        <v/>
      </c>
      <c r="L76" s="149" t="str">
        <f>IFERROR(__xludf.DUMMYFUNCTION("""COMPUTED_VALUE"""),"Kwanchanok")</f>
        <v>Kwanchanok</v>
      </c>
      <c r="N76" s="85"/>
      <c r="O76" s="85"/>
      <c r="P76" s="85"/>
      <c r="Q76" s="85"/>
      <c r="R76" s="85"/>
      <c r="S76" s="85"/>
      <c r="T76" s="85"/>
      <c r="U76" s="85"/>
      <c r="V76" s="85"/>
      <c r="W76" s="85"/>
      <c r="X76" s="85"/>
    </row>
    <row r="77">
      <c r="B77" s="85" t="b">
        <f>IFERROR(__xludf.DUMMYFUNCTION("""COMPUTED_VALUE"""),FALSE)</f>
        <v>0</v>
      </c>
      <c r="C77" s="85" t="str">
        <f>IFERROR(__xludf.DUMMYFUNCTION("""COMPUTED_VALUE"""),"Google")</f>
        <v>Google</v>
      </c>
      <c r="D77" s="149">
        <f>IFERROR(__xludf.DUMMYFUNCTION("""COMPUTED_VALUE"""),4.0)</f>
        <v>4</v>
      </c>
      <c r="E77" s="163">
        <f>IFERROR(__xludf.DUMMYFUNCTION("""COMPUTED_VALUE"""),46121.0)</f>
        <v>46121</v>
      </c>
      <c r="F77" s="149"/>
      <c r="G77" s="149"/>
      <c r="H77" s="149"/>
      <c r="I77" s="149" t="str">
        <f>IFERROR(__xludf.DUMMYFUNCTION("""COMPUTED_VALUE"""),"")</f>
        <v/>
      </c>
      <c r="J77" s="149" t="str">
        <f>IFERROR(__xludf.DUMMYFUNCTION("""COMPUTED_VALUE"""),"")</f>
        <v/>
      </c>
      <c r="K77" s="149" t="str">
        <f>IFERROR(__xludf.DUMMYFUNCTION("""COMPUTED_VALUE"""),"")</f>
        <v/>
      </c>
      <c r="L77" s="149" t="str">
        <f>IFERROR(__xludf.DUMMYFUNCTION("""COMPUTED_VALUE"""),"Angie Liao")</f>
        <v>Angie Liao</v>
      </c>
      <c r="N77" s="85"/>
      <c r="O77" s="85"/>
      <c r="P77" s="85"/>
      <c r="Q77" s="85"/>
      <c r="R77" s="85"/>
      <c r="S77" s="85"/>
      <c r="T77" s="85"/>
      <c r="U77" s="85"/>
      <c r="V77" s="85"/>
      <c r="W77" s="85"/>
      <c r="X77" s="85"/>
    </row>
    <row r="78">
      <c r="B78" s="85" t="b">
        <f>IFERROR(__xludf.DUMMYFUNCTION("""COMPUTED_VALUE"""),FALSE)</f>
        <v>0</v>
      </c>
      <c r="C78" s="85" t="str">
        <f>IFERROR(__xludf.DUMMYFUNCTION("""COMPUTED_VALUE"""),"楽天トラベル")</f>
        <v>楽天トラベル</v>
      </c>
      <c r="D78" s="149">
        <f>IFERROR(__xludf.DUMMYFUNCTION("""COMPUTED_VALUE"""),3.0)</f>
        <v>3</v>
      </c>
      <c r="E78" s="163">
        <f>IFERROR(__xludf.DUMMYFUNCTION("""COMPUTED_VALUE"""),46121.0)</f>
        <v>46121</v>
      </c>
      <c r="F78"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78" s="149"/>
      <c r="H78" s="149"/>
      <c r="I78"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78" s="149" t="str">
        <f>IFERROR(__xludf.DUMMYFUNCTION("""COMPUTED_VALUE"""),"")</f>
        <v/>
      </c>
      <c r="K78" s="149" t="str">
        <f>IFERROR(__xludf.DUMMYFUNCTION("""COMPUTED_VALUE"""),"")</f>
        <v/>
      </c>
      <c r="L78" s="149" t="str">
        <f>IFERROR(__xludf.DUMMYFUNCTION("""COMPUTED_VALUE"""),"不明")</f>
        <v>不明</v>
      </c>
      <c r="N78" s="85"/>
      <c r="O78" s="85"/>
      <c r="P78" s="85"/>
      <c r="Q78" s="85"/>
      <c r="R78" s="85"/>
      <c r="S78" s="85"/>
      <c r="T78" s="85"/>
      <c r="U78" s="85"/>
      <c r="V78" s="85"/>
      <c r="W78" s="85"/>
      <c r="X78" s="85"/>
    </row>
    <row r="79">
      <c r="B79" s="85" t="b">
        <f>IFERROR(__xludf.DUMMYFUNCTION("""COMPUTED_VALUE"""),FALSE)</f>
        <v>0</v>
      </c>
      <c r="C79" s="162" t="str">
        <f>IFERROR(__xludf.DUMMYFUNCTION("""COMPUTED_VALUE"""),"Trip.com")</f>
        <v>Trip.com</v>
      </c>
      <c r="D79" s="149">
        <f>IFERROR(__xludf.DUMMYFUNCTION("""COMPUTED_VALUE"""),10.0)</f>
        <v>10</v>
      </c>
      <c r="E79" s="163">
        <f>IFERROR(__xludf.DUMMYFUNCTION("""COMPUTED_VALUE"""),46119.0)</f>
        <v>46119</v>
      </c>
      <c r="F79"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79" s="149"/>
      <c r="H79" s="149"/>
      <c r="I79" s="149"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79" s="149" t="str">
        <f>IFERROR(__xludf.DUMMYFUNCTION("""COMPUTED_VALUE"""),"")</f>
        <v/>
      </c>
      <c r="K79" s="149" t="str">
        <f>IFERROR(__xludf.DUMMYFUNCTION("""COMPUTED_VALUE"""),"")</f>
        <v/>
      </c>
      <c r="L79" s="149" t="str">
        <f>IFERROR(__xludf.DUMMYFUNCTION("""COMPUTED_VALUE"""),"匿‍名‍ユ‍ー‍ザ‍ー")</f>
        <v>匿‍名‍ユ‍ー‍ザ‍ー</v>
      </c>
      <c r="N79" s="85"/>
      <c r="O79" s="85"/>
      <c r="P79" s="85"/>
      <c r="Q79" s="85"/>
      <c r="R79" s="85"/>
      <c r="S79" s="85"/>
      <c r="T79" s="85"/>
      <c r="U79" s="85"/>
      <c r="V79" s="85"/>
      <c r="W79" s="85"/>
      <c r="X79" s="85"/>
    </row>
    <row r="80">
      <c r="B80" s="85" t="b">
        <f>IFERROR(__xludf.DUMMYFUNCTION("""COMPUTED_VALUE"""),FALSE)</f>
        <v>0</v>
      </c>
      <c r="C80" s="85" t="str">
        <f>IFERROR(__xludf.DUMMYFUNCTION("""COMPUTED_VALUE"""),"Google")</f>
        <v>Google</v>
      </c>
      <c r="D80" s="149">
        <f>IFERROR(__xludf.DUMMYFUNCTION("""COMPUTED_VALUE"""),3.0)</f>
        <v>3</v>
      </c>
      <c r="E80" s="163">
        <f>IFERROR(__xludf.DUMMYFUNCTION("""COMPUTED_VALUE"""),46119.0)</f>
        <v>46119</v>
      </c>
      <c r="F80"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80" s="149"/>
      <c r="H80" s="149"/>
      <c r="I80"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80" s="149" t="str">
        <f>IFERROR(__xludf.DUMMYFUNCTION("""COMPUTED_VALUE"""),"")</f>
        <v/>
      </c>
      <c r="K80" s="149" t="str">
        <f>IFERROR(__xludf.DUMMYFUNCTION("""COMPUTED_VALUE"""),"")</f>
        <v/>
      </c>
      <c r="L80" s="149" t="str">
        <f>IFERROR(__xludf.DUMMYFUNCTION("""COMPUTED_VALUE"""),"Eileen Liu")</f>
        <v>Eileen Liu</v>
      </c>
    </row>
    <row r="81">
      <c r="B81" s="85" t="b">
        <f>IFERROR(__xludf.DUMMYFUNCTION("""COMPUTED_VALUE"""),FALSE)</f>
        <v>0</v>
      </c>
      <c r="C81" s="85" t="str">
        <f>IFERROR(__xludf.DUMMYFUNCTION("""COMPUTED_VALUE"""),"Google")</f>
        <v>Google</v>
      </c>
      <c r="D81" s="149">
        <f>IFERROR(__xludf.DUMMYFUNCTION("""COMPUTED_VALUE"""),3.0)</f>
        <v>3</v>
      </c>
      <c r="E81" s="163">
        <f>IFERROR(__xludf.DUMMYFUNCTION("""COMPUTED_VALUE"""),46119.0)</f>
        <v>46119</v>
      </c>
      <c r="F81"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81" s="149"/>
      <c r="H81" s="149"/>
      <c r="I81"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81" s="149" t="str">
        <f>IFERROR(__xludf.DUMMYFUNCTION("""COMPUTED_VALUE"""),"")</f>
        <v/>
      </c>
      <c r="K81" s="149" t="str">
        <f>IFERROR(__xludf.DUMMYFUNCTION("""COMPUTED_VALUE"""),"")</f>
        <v/>
      </c>
      <c r="L81" s="149" t="str">
        <f>IFERROR(__xludf.DUMMYFUNCTION("""COMPUTED_VALUE"""),"Eileen Liu")</f>
        <v>Eileen Liu</v>
      </c>
    </row>
    <row r="82">
      <c r="B82" s="85" t="b">
        <f>IFERROR(__xludf.DUMMYFUNCTION("""COMPUTED_VALUE"""),FALSE)</f>
        <v>0</v>
      </c>
      <c r="C82" s="162" t="str">
        <f>IFERROR(__xludf.DUMMYFUNCTION("""COMPUTED_VALUE"""),"Trip.com")</f>
        <v>Trip.com</v>
      </c>
      <c r="D82" s="149">
        <f>IFERROR(__xludf.DUMMYFUNCTION("""COMPUTED_VALUE"""),10.0)</f>
        <v>10</v>
      </c>
      <c r="E82" s="163">
        <f>IFERROR(__xludf.DUMMYFUNCTION("""COMPUTED_VALUE"""),46117.0)</f>
        <v>46117</v>
      </c>
      <c r="F82" s="149" t="str">
        <f>IFERROR(__xludf.DUMMYFUNCTION("""COMPUTED_VALUE"""),"Very nice Location")</f>
        <v>Very nice Location</v>
      </c>
      <c r="G82" s="149"/>
      <c r="H82" s="149"/>
      <c r="I82" s="149" t="str">
        <f>IFERROR(__xludf.DUMMYFUNCTION("""COMPUTED_VALUE"""),"とても良い場所")</f>
        <v>とても良い場所</v>
      </c>
      <c r="J82" s="149" t="str">
        <f>IFERROR(__xludf.DUMMYFUNCTION("""COMPUTED_VALUE"""),"")</f>
        <v/>
      </c>
      <c r="K82" s="149" t="str">
        <f>IFERROR(__xludf.DUMMYFUNCTION("""COMPUTED_VALUE"""),"")</f>
        <v/>
      </c>
      <c r="L82" s="149" t="str">
        <f>IFERROR(__xludf.DUMMYFUNCTION("""COMPUTED_VALUE"""),"ゲ‍ス‍ト")</f>
        <v>ゲ‍ス‍ト</v>
      </c>
    </row>
    <row r="83">
      <c r="B83" s="85" t="b">
        <f>IFERROR(__xludf.DUMMYFUNCTION("""COMPUTED_VALUE"""),FALSE)</f>
        <v>0</v>
      </c>
      <c r="C83" s="162" t="str">
        <f>IFERROR(__xludf.DUMMYFUNCTION("""COMPUTED_VALUE"""),"Trip.com")</f>
        <v>Trip.com</v>
      </c>
      <c r="D83" s="149">
        <f>IFERROR(__xludf.DUMMYFUNCTION("""COMPUTED_VALUE"""),7.0)</f>
        <v>7</v>
      </c>
      <c r="E83" s="163">
        <f>IFERROR(__xludf.DUMMYFUNCTION("""COMPUTED_VALUE"""),46117.0)</f>
        <v>46117</v>
      </c>
      <c r="F83"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83" s="149"/>
      <c r="H83" s="149"/>
      <c r="I83"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83" s="149" t="str">
        <f>IFERROR(__xludf.DUMMYFUNCTION("""COMPUTED_VALUE"""),"")</f>
        <v/>
      </c>
      <c r="K83" s="149" t="str">
        <f>IFERROR(__xludf.DUMMYFUNCTION("""COMPUTED_VALUE"""),"")</f>
        <v/>
      </c>
      <c r="L83" s="149" t="str">
        <f>IFERROR(__xludf.DUMMYFUNCTION("""COMPUTED_VALUE"""),"4‍8‍5‍4‍+‍4‍8‍5‍4")</f>
        <v>4‍8‍5‍4‍+‍4‍8‍5‍4</v>
      </c>
    </row>
    <row r="84">
      <c r="B84" s="85" t="b">
        <f>IFERROR(__xludf.DUMMYFUNCTION("""COMPUTED_VALUE"""),FALSE)</f>
        <v>0</v>
      </c>
      <c r="C84" s="162" t="str">
        <f>IFERROR(__xludf.DUMMYFUNCTION("""COMPUTED_VALUE"""),"Trip.com")</f>
        <v>Trip.com</v>
      </c>
      <c r="D84" s="149">
        <f>IFERROR(__xludf.DUMMYFUNCTION("""COMPUTED_VALUE"""),10.0)</f>
        <v>10</v>
      </c>
      <c r="E84" s="163">
        <f>IFERROR(__xludf.DUMMYFUNCTION("""COMPUTED_VALUE"""),46117.0)</f>
        <v>46117</v>
      </c>
      <c r="F84"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4" s="149"/>
      <c r="H84" s="149"/>
      <c r="I84"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4" s="149" t="str">
        <f>IFERROR(__xludf.DUMMYFUNCTION("""COMPUTED_VALUE"""),"")</f>
        <v/>
      </c>
      <c r="K84" s="149" t="str">
        <f>IFERROR(__xludf.DUMMYFUNCTION("""COMPUTED_VALUE"""),"")</f>
        <v/>
      </c>
      <c r="L84" s="149" t="str">
        <f>IFERROR(__xludf.DUMMYFUNCTION("""COMPUTED_VALUE"""),"y‍u‍k‍i‍i‍3‍1‍0‍4")</f>
        <v>y‍u‍k‍i‍i‍3‍1‍0‍4</v>
      </c>
    </row>
    <row r="85">
      <c r="B85" s="85" t="b">
        <f>IFERROR(__xludf.DUMMYFUNCTION("""COMPUTED_VALUE"""),FALSE)</f>
        <v>0</v>
      </c>
      <c r="C85" s="85" t="str">
        <f>IFERROR(__xludf.DUMMYFUNCTION("""COMPUTED_VALUE"""),"Google")</f>
        <v>Google</v>
      </c>
      <c r="D85" s="149">
        <f>IFERROR(__xludf.DUMMYFUNCTION("""COMPUTED_VALUE"""),3.0)</f>
        <v>3</v>
      </c>
      <c r="E85" s="163">
        <f>IFERROR(__xludf.DUMMYFUNCTION("""COMPUTED_VALUE"""),46117.0)</f>
        <v>46117</v>
      </c>
      <c r="F85"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85" s="149"/>
      <c r="H85" s="149"/>
      <c r="I85"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85" s="149" t="str">
        <f>IFERROR(__xludf.DUMMYFUNCTION("""COMPUTED_VALUE"""),"")</f>
        <v/>
      </c>
      <c r="K85" s="149" t="str">
        <f>IFERROR(__xludf.DUMMYFUNCTION("""COMPUTED_VALUE"""),"")</f>
        <v/>
      </c>
      <c r="L85" s="149" t="str">
        <f>IFERROR(__xludf.DUMMYFUNCTION("""COMPUTED_VALUE"""),"Eileen Liu")</f>
        <v>Eileen Liu</v>
      </c>
    </row>
    <row r="86">
      <c r="B86" s="85" t="b">
        <f>IFERROR(__xludf.DUMMYFUNCTION("""COMPUTED_VALUE"""),FALSE)</f>
        <v>0</v>
      </c>
      <c r="C86" s="85" t="str">
        <f>IFERROR(__xludf.DUMMYFUNCTION("""COMPUTED_VALUE"""),"楽天トラベル")</f>
        <v>楽天トラベル</v>
      </c>
      <c r="D86" s="149">
        <f>IFERROR(__xludf.DUMMYFUNCTION("""COMPUTED_VALUE"""),5.0)</f>
        <v>5</v>
      </c>
      <c r="E86" s="163">
        <f>IFERROR(__xludf.DUMMYFUNCTION("""COMPUTED_VALUE"""),46117.0)</f>
        <v>46117</v>
      </c>
      <c r="F86"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86" s="149"/>
      <c r="H86" s="149"/>
      <c r="I86"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86" s="149" t="str">
        <f>IFERROR(__xludf.DUMMYFUNCTION("""COMPUTED_VALUE"""),"")</f>
        <v/>
      </c>
      <c r="K86" s="149" t="str">
        <f>IFERROR(__xludf.DUMMYFUNCTION("""COMPUTED_VALUE"""),"")</f>
        <v/>
      </c>
      <c r="L86" s="149" t="str">
        <f>IFERROR(__xludf.DUMMYFUNCTION("""COMPUTED_VALUE"""),"koko0311")</f>
        <v>koko0311</v>
      </c>
    </row>
    <row r="87">
      <c r="B87" s="85" t="b">
        <f>IFERROR(__xludf.DUMMYFUNCTION("""COMPUTED_VALUE"""),FALSE)</f>
        <v>0</v>
      </c>
      <c r="C87" s="85" t="str">
        <f>IFERROR(__xludf.DUMMYFUNCTION("""COMPUTED_VALUE"""),"Google")</f>
        <v>Google</v>
      </c>
      <c r="D87" s="149">
        <f>IFERROR(__xludf.DUMMYFUNCTION("""COMPUTED_VALUE"""),3.0)</f>
        <v>3</v>
      </c>
      <c r="E87" s="163">
        <f>IFERROR(__xludf.DUMMYFUNCTION("""COMPUTED_VALUE"""),46117.0)</f>
        <v>46117</v>
      </c>
      <c r="F87"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87" s="149"/>
      <c r="H87" s="149"/>
      <c r="I87"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87" s="149" t="str">
        <f>IFERROR(__xludf.DUMMYFUNCTION("""COMPUTED_VALUE"""),"")</f>
        <v/>
      </c>
      <c r="K87" s="149" t="str">
        <f>IFERROR(__xludf.DUMMYFUNCTION("""COMPUTED_VALUE"""),"")</f>
        <v/>
      </c>
      <c r="L87" s="149" t="str">
        <f>IFERROR(__xludf.DUMMYFUNCTION("""COMPUTED_VALUE"""),"Eileen Liu")</f>
        <v>Eileen Liu</v>
      </c>
    </row>
    <row r="88">
      <c r="B88" s="85" t="b">
        <f>IFERROR(__xludf.DUMMYFUNCTION("""COMPUTED_VALUE"""),FALSE)</f>
        <v>0</v>
      </c>
      <c r="C88" s="162" t="str">
        <f>IFERROR(__xludf.DUMMYFUNCTION("""COMPUTED_VALUE"""),"Trip.com")</f>
        <v>Trip.com</v>
      </c>
      <c r="D88" s="149">
        <f>IFERROR(__xludf.DUMMYFUNCTION("""COMPUTED_VALUE"""),9.0)</f>
        <v>9</v>
      </c>
      <c r="E88" s="163">
        <f>IFERROR(__xludf.DUMMYFUNCTION("""COMPUTED_VALUE"""),46116.0)</f>
        <v>46116</v>
      </c>
      <c r="F88"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88" s="149"/>
      <c r="H88" s="149"/>
      <c r="I88"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88" s="149" t="str">
        <f>IFERROR(__xludf.DUMMYFUNCTION("""COMPUTED_VALUE"""),"")</f>
        <v/>
      </c>
      <c r="K88" s="149" t="str">
        <f>IFERROR(__xludf.DUMMYFUNCTION("""COMPUTED_VALUE"""),"")</f>
        <v/>
      </c>
      <c r="L88" s="149" t="str">
        <f>IFERROR(__xludf.DUMMYFUNCTION("""COMPUTED_VALUE"""),"C‍h‍l‍o‍e‍i‍p‍1‍2‍1‍5")</f>
        <v>C‍h‍l‍o‍e‍i‍p‍1‍2‍1‍5</v>
      </c>
    </row>
    <row r="89">
      <c r="D89" s="149"/>
      <c r="E89" s="149"/>
      <c r="F89" s="149"/>
      <c r="G89" s="149"/>
      <c r="H89" s="149"/>
      <c r="I89" s="149"/>
      <c r="J89" s="149"/>
      <c r="K89" s="149"/>
      <c r="L89" s="149"/>
    </row>
    <row r="90">
      <c r="D90" s="149"/>
      <c r="E90" s="149"/>
      <c r="F90" s="149"/>
      <c r="G90" s="149"/>
      <c r="H90" s="149"/>
      <c r="I90" s="149"/>
      <c r="J90" s="149"/>
      <c r="K90" s="149"/>
      <c r="L90" s="149"/>
    </row>
    <row r="91">
      <c r="D91" s="149"/>
      <c r="E91" s="149"/>
      <c r="F91" s="149"/>
      <c r="G91" s="149"/>
      <c r="H91" s="149"/>
      <c r="I91" s="149"/>
      <c r="J91" s="149"/>
      <c r="K91" s="149"/>
      <c r="L91" s="149"/>
    </row>
    <row r="92">
      <c r="D92" s="149"/>
      <c r="E92" s="149"/>
      <c r="F92" s="149"/>
      <c r="G92" s="149"/>
      <c r="H92" s="149"/>
      <c r="I92" s="149"/>
      <c r="J92" s="149"/>
      <c r="K92" s="149"/>
      <c r="L92" s="149"/>
    </row>
    <row r="93">
      <c r="D93" s="149"/>
      <c r="E93" s="149"/>
      <c r="F93" s="149"/>
      <c r="G93" s="149"/>
      <c r="H93" s="149"/>
      <c r="I93" s="149"/>
      <c r="J93" s="149"/>
      <c r="K93" s="149"/>
      <c r="L93" s="149"/>
    </row>
    <row r="94">
      <c r="D94" s="149"/>
      <c r="E94" s="149"/>
      <c r="F94" s="149"/>
      <c r="G94" s="149"/>
      <c r="H94" s="149"/>
      <c r="I94" s="149"/>
      <c r="J94" s="149"/>
      <c r="K94" s="149"/>
      <c r="L94" s="149"/>
    </row>
    <row r="95">
      <c r="D95" s="149"/>
      <c r="E95" s="149"/>
      <c r="F95" s="149"/>
      <c r="G95" s="149"/>
      <c r="H95" s="149"/>
      <c r="I95" s="149"/>
      <c r="J95" s="149"/>
      <c r="K95" s="149"/>
      <c r="L95" s="149"/>
    </row>
    <row r="96">
      <c r="D96" s="149"/>
      <c r="E96" s="149"/>
      <c r="F96" s="149"/>
      <c r="G96" s="149"/>
      <c r="H96" s="149"/>
      <c r="I96" s="149"/>
      <c r="J96" s="149"/>
      <c r="K96" s="149"/>
      <c r="L96" s="149"/>
    </row>
    <row r="97">
      <c r="D97" s="149"/>
      <c r="E97" s="149"/>
      <c r="F97" s="149"/>
      <c r="G97" s="149"/>
      <c r="H97" s="149"/>
      <c r="I97" s="149"/>
      <c r="J97" s="149"/>
      <c r="K97" s="149"/>
      <c r="L97" s="149"/>
    </row>
    <row r="98">
      <c r="D98" s="149"/>
      <c r="E98" s="149"/>
      <c r="F98" s="149"/>
      <c r="G98" s="149"/>
      <c r="H98" s="149"/>
      <c r="I98" s="149"/>
      <c r="J98" s="149"/>
      <c r="K98" s="149"/>
      <c r="L98" s="149"/>
    </row>
    <row r="99">
      <c r="D99" s="149"/>
      <c r="E99" s="149"/>
      <c r="F99" s="149"/>
      <c r="G99" s="149"/>
      <c r="H99" s="149"/>
      <c r="I99" s="149"/>
      <c r="J99" s="149"/>
      <c r="K99" s="149"/>
      <c r="L99" s="149"/>
    </row>
    <row r="100">
      <c r="D100" s="149"/>
      <c r="E100" s="149"/>
      <c r="F100" s="149"/>
      <c r="G100" s="149"/>
      <c r="H100" s="149"/>
      <c r="I100" s="149"/>
      <c r="J100" s="149"/>
      <c r="K100" s="149"/>
      <c r="L100" s="149"/>
      <c r="N100" s="85" t="b">
        <f>IFERROR(__xludf.DUMMYFUNCTION("IMPORTRANGE(C3,Q2&amp;R2&amp;T3)"),FALSE)</f>
        <v>0</v>
      </c>
      <c r="O100" s="162" t="str">
        <f>IFERROR(__xludf.DUMMYFUNCTION("""COMPUTED_VALUE"""),"Trip.com")</f>
        <v>Trip.com</v>
      </c>
      <c r="P100" s="85">
        <f>IFERROR(__xludf.DUMMYFUNCTION("""COMPUTED_VALUE"""),9.0)</f>
        <v>9</v>
      </c>
      <c r="Q100" s="165">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D101" s="149"/>
      <c r="E101" s="149"/>
      <c r="F101" s="149"/>
      <c r="G101" s="149"/>
      <c r="H101" s="149"/>
      <c r="I101" s="149"/>
      <c r="J101" s="149"/>
      <c r="K101" s="149"/>
      <c r="L101" s="149"/>
      <c r="N101" s="85" t="b">
        <f>IFERROR(__xludf.DUMMYFUNCTION("""COMPUTED_VALUE"""),FALSE)</f>
        <v>0</v>
      </c>
      <c r="O101" s="85" t="str">
        <f>IFERROR(__xludf.DUMMYFUNCTION("""COMPUTED_VALUE"""),"Google")</f>
        <v>Google</v>
      </c>
      <c r="P101" s="85">
        <f>IFERROR(__xludf.DUMMYFUNCTION("""COMPUTED_VALUE"""),1.0)</f>
        <v>1</v>
      </c>
      <c r="Q101" s="165">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2" t="str">
        <f>IFERROR(__xludf.DUMMYFUNCTION("""COMPUTED_VALUE"""),"Trip.com")</f>
        <v>Trip.com</v>
      </c>
      <c r="P102" s="85">
        <f>IFERROR(__xludf.DUMMYFUNCTION("""COMPUTED_VALUE"""),10.0)</f>
        <v>10</v>
      </c>
      <c r="Q102" s="165">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2" t="str">
        <f>IFERROR(__xludf.DUMMYFUNCTION("""COMPUTED_VALUE"""),"Booking.com")</f>
        <v>Booking.com</v>
      </c>
      <c r="P103" s="85">
        <f>IFERROR(__xludf.DUMMYFUNCTION("""COMPUTED_VALUE"""),7.0)</f>
        <v>7</v>
      </c>
      <c r="Q103" s="165">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2" t="str">
        <f>IFERROR(__xludf.DUMMYFUNCTION("""COMPUTED_VALUE"""),"Booking.com")</f>
        <v>Booking.com</v>
      </c>
      <c r="P104" s="85">
        <f>IFERROR(__xludf.DUMMYFUNCTION("""COMPUTED_VALUE"""),9.0)</f>
        <v>9</v>
      </c>
      <c r="Q104" s="165">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5">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5">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2" t="str">
        <f>IFERROR(__xludf.DUMMYFUNCTION("""COMPUTED_VALUE"""),"Trip.com")</f>
        <v>Trip.com</v>
      </c>
      <c r="P107" s="85">
        <f>IFERROR(__xludf.DUMMYFUNCTION("""COMPUTED_VALUE"""),6.0)</f>
        <v>6</v>
      </c>
      <c r="Q107" s="165">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2" t="str">
        <f>IFERROR(__xludf.DUMMYFUNCTION("""COMPUTED_VALUE"""),"Trip.com")</f>
        <v>Trip.com</v>
      </c>
      <c r="P108" s="85">
        <f>IFERROR(__xludf.DUMMYFUNCTION("""COMPUTED_VALUE"""),10.0)</f>
        <v>10</v>
      </c>
      <c r="Q108" s="165">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2" t="str">
        <f>IFERROR(__xludf.DUMMYFUNCTION("""COMPUTED_VALUE"""),"Trip.com")</f>
        <v>Trip.com</v>
      </c>
      <c r="P109" s="85">
        <f>IFERROR(__xludf.DUMMYFUNCTION("""COMPUTED_VALUE"""),9.0)</f>
        <v>9</v>
      </c>
      <c r="Q109" s="165">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2" t="str">
        <f>IFERROR(__xludf.DUMMYFUNCTION("""COMPUTED_VALUE"""),"Booking.com")</f>
        <v>Booking.com</v>
      </c>
      <c r="P110" s="85">
        <f>IFERROR(__xludf.DUMMYFUNCTION("""COMPUTED_VALUE"""),9.0)</f>
        <v>9</v>
      </c>
      <c r="Q110" s="165">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2" t="str">
        <f>IFERROR(__xludf.DUMMYFUNCTION("""COMPUTED_VALUE"""),"Booking.com")</f>
        <v>Booking.com</v>
      </c>
      <c r="P111" s="85">
        <f>IFERROR(__xludf.DUMMYFUNCTION("""COMPUTED_VALUE"""),10.0)</f>
        <v>10</v>
      </c>
      <c r="Q111" s="165">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2" t="str">
        <f>IFERROR(__xludf.DUMMYFUNCTION("""COMPUTED_VALUE"""),"Trip.com")</f>
        <v>Trip.com</v>
      </c>
      <c r="P112" s="85">
        <f>IFERROR(__xludf.DUMMYFUNCTION("""COMPUTED_VALUE"""),10.0)</f>
        <v>10</v>
      </c>
      <c r="Q112" s="165">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2" t="str">
        <f>IFERROR(__xludf.DUMMYFUNCTION("""COMPUTED_VALUE"""),"Trip.com")</f>
        <v>Trip.com</v>
      </c>
      <c r="P113" s="85">
        <f>IFERROR(__xludf.DUMMYFUNCTION("""COMPUTED_VALUE"""),10.0)</f>
        <v>10</v>
      </c>
      <c r="Q113" s="165">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2" t="str">
        <f>IFERROR(__xludf.DUMMYFUNCTION("""COMPUTED_VALUE"""),"Booking.com")</f>
        <v>Booking.com</v>
      </c>
      <c r="P114" s="85">
        <f>IFERROR(__xludf.DUMMYFUNCTION("""COMPUTED_VALUE"""),7.0)</f>
        <v>7</v>
      </c>
      <c r="Q114" s="165">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2" t="str">
        <f>IFERROR(__xludf.DUMMYFUNCTION("""COMPUTED_VALUE"""),"Trip.com")</f>
        <v>Trip.com</v>
      </c>
      <c r="P115" s="85">
        <f>IFERROR(__xludf.DUMMYFUNCTION("""COMPUTED_VALUE"""),10.0)</f>
        <v>10</v>
      </c>
      <c r="Q115" s="165">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2" t="str">
        <f>IFERROR(__xludf.DUMMYFUNCTION("""COMPUTED_VALUE"""),"Trip.com")</f>
        <v>Trip.com</v>
      </c>
      <c r="P116" s="85">
        <f>IFERROR(__xludf.DUMMYFUNCTION("""COMPUTED_VALUE"""),10.0)</f>
        <v>10</v>
      </c>
      <c r="Q116" s="165">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2" t="str">
        <f>IFERROR(__xludf.DUMMYFUNCTION("""COMPUTED_VALUE"""),"Trip.com")</f>
        <v>Trip.com</v>
      </c>
      <c r="P117" s="85">
        <f>IFERROR(__xludf.DUMMYFUNCTION("""COMPUTED_VALUE"""),10.0)</f>
        <v>10</v>
      </c>
      <c r="Q117" s="165">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2" t="str">
        <f>IFERROR(__xludf.DUMMYFUNCTION("""COMPUTED_VALUE"""),"Trip.com")</f>
        <v>Trip.com</v>
      </c>
      <c r="P118" s="85">
        <f>IFERROR(__xludf.DUMMYFUNCTION("""COMPUTED_VALUE"""),10.0)</f>
        <v>10</v>
      </c>
      <c r="Q118" s="165">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5">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5">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2" t="str">
        <f>IFERROR(__xludf.DUMMYFUNCTION("""COMPUTED_VALUE"""),"Trip.com")</f>
        <v>Trip.com</v>
      </c>
      <c r="P121" s="85">
        <f>IFERROR(__xludf.DUMMYFUNCTION("""COMPUTED_VALUE"""),10.0)</f>
        <v>10</v>
      </c>
      <c r="Q121" s="165">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2" t="str">
        <f>IFERROR(__xludf.DUMMYFUNCTION("""COMPUTED_VALUE"""),"Booking.com")</f>
        <v>Booking.com</v>
      </c>
      <c r="P122" s="85">
        <f>IFERROR(__xludf.DUMMYFUNCTION("""COMPUTED_VALUE"""),8.0)</f>
        <v>8</v>
      </c>
      <c r="Q122" s="165">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2" t="str">
        <f>IFERROR(__xludf.DUMMYFUNCTION("""COMPUTED_VALUE"""),"Booking.com")</f>
        <v>Booking.com</v>
      </c>
      <c r="P123" s="85">
        <f>IFERROR(__xludf.DUMMYFUNCTION("""COMPUTED_VALUE"""),9.0)</f>
        <v>9</v>
      </c>
      <c r="Q123" s="165">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5">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5">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2" t="str">
        <f>IFERROR(__xludf.DUMMYFUNCTION("""COMPUTED_VALUE"""),"Booking.com")</f>
        <v>Booking.com</v>
      </c>
      <c r="P126" s="85">
        <f>IFERROR(__xludf.DUMMYFUNCTION("""COMPUTED_VALUE"""),7.0)</f>
        <v>7</v>
      </c>
      <c r="Q126" s="165">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2" t="str">
        <f>IFERROR(__xludf.DUMMYFUNCTION("""COMPUTED_VALUE"""),"Booking.com")</f>
        <v>Booking.com</v>
      </c>
      <c r="P127" s="85">
        <f>IFERROR(__xludf.DUMMYFUNCTION("""COMPUTED_VALUE"""),9.0)</f>
        <v>9</v>
      </c>
      <c r="Q127" s="165">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2" t="str">
        <f>IFERROR(__xludf.DUMMYFUNCTION("""COMPUTED_VALUE"""),"Trip.com")</f>
        <v>Trip.com</v>
      </c>
      <c r="P128" s="85">
        <f>IFERROR(__xludf.DUMMYFUNCTION("""COMPUTED_VALUE"""),10.0)</f>
        <v>10</v>
      </c>
      <c r="Q128" s="165">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2" t="str">
        <f>IFERROR(__xludf.DUMMYFUNCTION("""COMPUTED_VALUE"""),"Trip.com")</f>
        <v>Trip.com</v>
      </c>
      <c r="P129" s="85">
        <f>IFERROR(__xludf.DUMMYFUNCTION("""COMPUTED_VALUE"""),10.0)</f>
        <v>10</v>
      </c>
      <c r="Q129" s="165">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2" t="str">
        <f>IFERROR(__xludf.DUMMYFUNCTION("""COMPUTED_VALUE"""),"Trip.com")</f>
        <v>Trip.com</v>
      </c>
      <c r="P130" s="85">
        <f>IFERROR(__xludf.DUMMYFUNCTION("""COMPUTED_VALUE"""),9.0)</f>
        <v>9</v>
      </c>
      <c r="Q130" s="165">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2" t="str">
        <f>IFERROR(__xludf.DUMMYFUNCTION("""COMPUTED_VALUE"""),"Booking.com")</f>
        <v>Booking.com</v>
      </c>
      <c r="P131" s="85">
        <f>IFERROR(__xludf.DUMMYFUNCTION("""COMPUTED_VALUE"""),10.0)</f>
        <v>10</v>
      </c>
      <c r="Q131" s="165">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2" t="str">
        <f>IFERROR(__xludf.DUMMYFUNCTION("""COMPUTED_VALUE"""),"Booking.com")</f>
        <v>Booking.com</v>
      </c>
      <c r="P132" s="85">
        <f>IFERROR(__xludf.DUMMYFUNCTION("""COMPUTED_VALUE"""),8.0)</f>
        <v>8</v>
      </c>
      <c r="Q132" s="165">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2" t="str">
        <f>IFERROR(__xludf.DUMMYFUNCTION("""COMPUTED_VALUE"""),"Booking.com")</f>
        <v>Booking.com</v>
      </c>
      <c r="P133" s="85">
        <f>IFERROR(__xludf.DUMMYFUNCTION("""COMPUTED_VALUE"""),9.0)</f>
        <v>9</v>
      </c>
      <c r="Q133" s="165">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IFERROR(__xludf.DUMMYFUNCTION("""COMPUTED_VALUE"""),"交通の便が非常に良く、駅からもとても近い。")</f>
        <v>交通の便が非常に良く、駅からもとても近い。</v>
      </c>
      <c r="W133" s="85"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5">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5">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2" t="str">
        <f>IFERROR(__xludf.DUMMYFUNCTION("""COMPUTED_VALUE"""),"Trip.com")</f>
        <v>Trip.com</v>
      </c>
      <c r="P136" s="85">
        <f>IFERROR(__xludf.DUMMYFUNCTION("""COMPUTED_VALUE"""),10.0)</f>
        <v>10</v>
      </c>
      <c r="Q136" s="165">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5">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5">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2" t="str">
        <f>IFERROR(__xludf.DUMMYFUNCTION("""COMPUTED_VALUE"""),"Booking.com")</f>
        <v>Booking.com</v>
      </c>
      <c r="P139" s="85">
        <f>IFERROR(__xludf.DUMMYFUNCTION("""COMPUTED_VALUE"""),10.0)</f>
        <v>10</v>
      </c>
      <c r="Q139" s="165">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2" t="str">
        <f>IFERROR(__xludf.DUMMYFUNCTION("""COMPUTED_VALUE"""),"Booking.com")</f>
        <v>Booking.com</v>
      </c>
      <c r="P140" s="85">
        <f>IFERROR(__xludf.DUMMYFUNCTION("""COMPUTED_VALUE"""),9.0)</f>
        <v>9</v>
      </c>
      <c r="Q140" s="165">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5">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2" t="str">
        <f>IFERROR(__xludf.DUMMYFUNCTION("""COMPUTED_VALUE"""),"Trip.com")</f>
        <v>Trip.com</v>
      </c>
      <c r="P142" s="85">
        <f>IFERROR(__xludf.DUMMYFUNCTION("""COMPUTED_VALUE"""),9.0)</f>
        <v>9</v>
      </c>
      <c r="Q142" s="165">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5">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5">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IFERROR(__xludf.DUMMYFUNCTION("""COMPUTED_VALUE"""),9.0)</f>
        <v>9</v>
      </c>
      <c r="Q145" s="165">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IFERROR(__xludf.DUMMYFUNCTION("""COMPUTED_VALUE"""),8.0)</f>
        <v>8</v>
      </c>
      <c r="Q146" s="165">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2" t="str">
        <f>IFERROR(__xludf.DUMMYFUNCTION("""COMPUTED_VALUE"""),"Trip.com")</f>
        <v>Trip.com</v>
      </c>
      <c r="P148" s="85">
        <f>IFERROR(__xludf.DUMMYFUNCTION("""COMPUTED_VALUE"""),10.0)</f>
        <v>10</v>
      </c>
      <c r="Q148" s="165">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2" t="str">
        <f>IFERROR(__xludf.DUMMYFUNCTION("""COMPUTED_VALUE"""),"Trip.com")</f>
        <v>Trip.com</v>
      </c>
      <c r="P150" s="85">
        <f>IFERROR(__xludf.DUMMYFUNCTION("""COMPUTED_VALUE"""),6.0)</f>
        <v>6</v>
      </c>
      <c r="Q150" s="165">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2" t="str">
        <f>IFERROR(__xludf.DUMMYFUNCTION("""COMPUTED_VALUE"""),"Trip.com")</f>
        <v>Trip.com</v>
      </c>
      <c r="P151" s="85">
        <f>IFERROR(__xludf.DUMMYFUNCTION("""COMPUTED_VALUE"""),9.0)</f>
        <v>9</v>
      </c>
      <c r="Q151" s="165">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2" t="str">
        <f>IFERROR(__xludf.DUMMYFUNCTION("""COMPUTED_VALUE"""),"Trip.com")</f>
        <v>Trip.com</v>
      </c>
      <c r="P152" s="85">
        <f>IFERROR(__xludf.DUMMYFUNCTION("""COMPUTED_VALUE"""),10.0)</f>
        <v>10</v>
      </c>
      <c r="Q152" s="165">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2" t="str">
        <f>IFERROR(__xludf.DUMMYFUNCTION("""COMPUTED_VALUE"""),"Booking.com")</f>
        <v>Booking.com</v>
      </c>
      <c r="P154" s="85">
        <f>IFERROR(__xludf.DUMMYFUNCTION("""COMPUTED_VALUE"""),8.0)</f>
        <v>8</v>
      </c>
      <c r="Q154" s="165">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2" t="str">
        <f>IFERROR(__xludf.DUMMYFUNCTION("""COMPUTED_VALUE"""),"Trip.com")</f>
        <v>Trip.com</v>
      </c>
      <c r="P156" s="85">
        <f>IFERROR(__xludf.DUMMYFUNCTION("""COMPUTED_VALUE"""),9.0)</f>
        <v>9</v>
      </c>
      <c r="Q156" s="165">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IFERROR(__xludf.DUMMYFUNCTION("""COMPUTED_VALUE"""),9.0)</f>
        <v>9</v>
      </c>
      <c r="Q157" s="165">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5">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2" t="str">
        <f>IFERROR(__xludf.DUMMYFUNCTION("""COMPUTED_VALUE"""),"Trip.com")</f>
        <v>Trip.com</v>
      </c>
      <c r="P159" s="85">
        <f>IFERROR(__xludf.DUMMYFUNCTION("""COMPUTED_VALUE"""),9.0)</f>
        <v>9</v>
      </c>
      <c r="Q159" s="165">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2" t="str">
        <f>IFERROR(__xludf.DUMMYFUNCTION("""COMPUTED_VALUE"""),"Booking.com")</f>
        <v>Booking.com</v>
      </c>
      <c r="P160" s="85">
        <f>IFERROR(__xludf.DUMMYFUNCTION("""COMPUTED_VALUE"""),9.0)</f>
        <v>9</v>
      </c>
      <c r="Q160" s="165">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2" t="str">
        <f>IFERROR(__xludf.DUMMYFUNCTION("""COMPUTED_VALUE"""),"Booking.com")</f>
        <v>Booking.com</v>
      </c>
      <c r="P161" s="85">
        <f>IFERROR(__xludf.DUMMYFUNCTION("""COMPUTED_VALUE"""),9.0)</f>
        <v>9</v>
      </c>
      <c r="Q161" s="165">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5">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5">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2" t="str">
        <f>IFERROR(__xludf.DUMMYFUNCTION("""COMPUTED_VALUE"""),"Trip.com")</f>
        <v>Trip.com</v>
      </c>
      <c r="P164" s="85">
        <f>IFERROR(__xludf.DUMMYFUNCTION("""COMPUTED_VALUE"""),10.0)</f>
        <v>10</v>
      </c>
      <c r="Q164" s="165">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5">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5">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IFERROR(__xludf.DUMMYFUNCTION("""COMPUTED_VALUE"""),7.0)</f>
        <v>7</v>
      </c>
      <c r="Q168" s="165">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IFERROR(__xludf.DUMMYFUNCTION("""COMPUTED_VALUE"""),10.0)</f>
        <v>10</v>
      </c>
      <c r="Q169" s="165">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5">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5">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5">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IFERROR(__xludf.DUMMYFUNCTION("""COMPUTED_VALUE"""),9.0)</f>
        <v>9</v>
      </c>
      <c r="Q173" s="165">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C17"/>
    <hyperlink r:id="rId20" ref="C18"/>
    <hyperlink r:id="rId21" ref="C19"/>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6"/>
    <hyperlink r:id="rId35" ref="C37"/>
    <hyperlink r:id="rId36" ref="C38"/>
    <hyperlink r:id="rId37" ref="C41"/>
    <hyperlink r:id="rId38" ref="C42"/>
    <hyperlink r:id="rId39" ref="C43"/>
    <hyperlink r:id="rId40" ref="C44"/>
    <hyperlink r:id="rId41" ref="C45"/>
    <hyperlink r:id="rId42" ref="C46"/>
    <hyperlink r:id="rId43" ref="C47"/>
    <hyperlink r:id="rId44" ref="C48"/>
    <hyperlink r:id="rId45" ref="C51"/>
    <hyperlink r:id="rId46" ref="C54"/>
    <hyperlink r:id="rId47" ref="C55"/>
    <hyperlink r:id="rId48" ref="C57"/>
    <hyperlink r:id="rId49" ref="C60"/>
    <hyperlink r:id="rId50" ref="C61"/>
    <hyperlink r:id="rId51" ref="C62"/>
    <hyperlink r:id="rId52" ref="C63"/>
    <hyperlink r:id="rId53" ref="C64"/>
    <hyperlink r:id="rId54" ref="C65"/>
    <hyperlink r:id="rId55" ref="C66"/>
    <hyperlink r:id="rId56" ref="C67"/>
    <hyperlink r:id="rId57" ref="C68"/>
    <hyperlink r:id="rId58" ref="C69"/>
    <hyperlink r:id="rId59" ref="C70"/>
    <hyperlink r:id="rId60" ref="C71"/>
    <hyperlink r:id="rId61" ref="C72"/>
    <hyperlink r:id="rId62" ref="C74"/>
    <hyperlink r:id="rId63" ref="C75"/>
    <hyperlink r:id="rId64" ref="C76"/>
    <hyperlink r:id="rId65" ref="C79"/>
    <hyperlink r:id="rId66" ref="C82"/>
    <hyperlink r:id="rId67" ref="C83"/>
    <hyperlink r:id="rId68" ref="C84"/>
    <hyperlink r:id="rId69" ref="C88"/>
    <hyperlink r:id="rId70" ref="O100"/>
    <hyperlink r:id="rId71" ref="O102"/>
    <hyperlink r:id="rId72" ref="O103"/>
    <hyperlink r:id="rId73" ref="O104"/>
    <hyperlink r:id="rId74" ref="O107"/>
    <hyperlink r:id="rId75" ref="O108"/>
    <hyperlink r:id="rId76" ref="O109"/>
    <hyperlink r:id="rId77" ref="O110"/>
    <hyperlink r:id="rId78" ref="O111"/>
    <hyperlink r:id="rId79" ref="O112"/>
    <hyperlink r:id="rId80" ref="O113"/>
    <hyperlink r:id="rId81" ref="O114"/>
    <hyperlink r:id="rId82" ref="O115"/>
    <hyperlink r:id="rId83" ref="O116"/>
    <hyperlink r:id="rId84" ref="O117"/>
    <hyperlink r:id="rId85" ref="O118"/>
    <hyperlink r:id="rId86" ref="O121"/>
    <hyperlink r:id="rId87" ref="O122"/>
    <hyperlink r:id="rId88" ref="O123"/>
    <hyperlink r:id="rId89" ref="O126"/>
    <hyperlink r:id="rId90" ref="O127"/>
    <hyperlink r:id="rId91" ref="O128"/>
    <hyperlink r:id="rId92" ref="O129"/>
    <hyperlink r:id="rId93" ref="O130"/>
    <hyperlink r:id="rId94" ref="O131"/>
    <hyperlink r:id="rId95" ref="O132"/>
    <hyperlink r:id="rId96" ref="O133"/>
    <hyperlink r:id="rId97" ref="O136"/>
    <hyperlink r:id="rId98" ref="O139"/>
    <hyperlink r:id="rId99" ref="O140"/>
    <hyperlink r:id="rId100" ref="O142"/>
    <hyperlink r:id="rId101" ref="O145"/>
    <hyperlink r:id="rId102" ref="O146"/>
    <hyperlink r:id="rId103" ref="O147"/>
    <hyperlink r:id="rId104" ref="O148"/>
    <hyperlink r:id="rId105" ref="O149"/>
    <hyperlink r:id="rId106" ref="O150"/>
    <hyperlink r:id="rId107" ref="O151"/>
    <hyperlink r:id="rId108" ref="O152"/>
    <hyperlink r:id="rId109" ref="O153"/>
    <hyperlink r:id="rId110" ref="O154"/>
    <hyperlink r:id="rId111" ref="O155"/>
    <hyperlink r:id="rId112" ref="O156"/>
    <hyperlink r:id="rId113" ref="O157"/>
    <hyperlink r:id="rId114" ref="O159"/>
    <hyperlink r:id="rId115" ref="O160"/>
    <hyperlink r:id="rId116" ref="O161"/>
    <hyperlink r:id="rId117" ref="O164"/>
    <hyperlink r:id="rId118" ref="O167"/>
    <hyperlink r:id="rId119" ref="O168"/>
    <hyperlink r:id="rId120" ref="O169"/>
    <hyperlink r:id="rId121" ref="O173"/>
  </hyperlinks>
  <drawing r:id="rId1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0.002493765586</v>
      </c>
      <c r="E6" s="198"/>
      <c r="F6" s="199" t="str">
        <f>if(D6&lt;0.15%,"合格","不合格")</f>
        <v>不合格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1</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1</v>
      </c>
      <c r="K13" s="219">
        <f t="shared" si="21"/>
        <v>0</v>
      </c>
      <c r="L13" s="219">
        <f t="shared" si="21"/>
        <v>0</v>
      </c>
      <c r="M13" s="219">
        <f t="shared" si="21"/>
        <v>0</v>
      </c>
      <c r="N13" s="220">
        <f t="shared" si="21"/>
        <v>0</v>
      </c>
      <c r="O13" s="213"/>
      <c r="P13" s="220">
        <f t="shared" si="6"/>
        <v>0</v>
      </c>
      <c r="Q13" s="213"/>
      <c r="R13" s="220">
        <f t="shared" si="7"/>
        <v>0</v>
      </c>
      <c r="S13" s="213"/>
      <c r="T13" s="221">
        <f t="shared" si="8"/>
        <v>1</v>
      </c>
      <c r="U13" s="213"/>
      <c r="V13" s="221">
        <f t="shared" si="9"/>
        <v>401</v>
      </c>
      <c r="W13" s="213"/>
      <c r="X13" s="223">
        <f t="shared" si="10"/>
        <v>0.002493765586</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4</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5" t="s">
        <v>275</v>
      </c>
      <c r="AG33" s="303"/>
      <c r="AH33" s="303"/>
      <c r="AI33" s="303"/>
      <c r="AJ33" s="303"/>
      <c r="AK33" s="306"/>
      <c r="AL33" s="203"/>
      <c r="AM33" s="297" t="str">
        <f t="array" ref="AM33">IFERROR(INDEX('💻シート作成'!$D$6:$D1143, MATCH(AN33, '💻シート作成'!$E$6:$E1143, 0)), "")</f>
        <v>1月</v>
      </c>
      <c r="AN33" s="309"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276</v>
      </c>
      <c r="F34" s="301" t="s">
        <v>103</v>
      </c>
      <c r="G34" s="301">
        <v>516.0</v>
      </c>
      <c r="H34" s="301" t="s">
        <v>252</v>
      </c>
      <c r="I34" s="291" t="s">
        <v>48</v>
      </c>
      <c r="J34" s="291"/>
      <c r="K34" s="301" t="s">
        <v>162</v>
      </c>
      <c r="L34" s="301" t="s">
        <v>45</v>
      </c>
      <c r="M34" s="301" t="s">
        <v>246</v>
      </c>
      <c r="N34" s="302" t="s">
        <v>277</v>
      </c>
      <c r="O34" s="303"/>
      <c r="P34" s="303"/>
      <c r="Q34" s="303"/>
      <c r="R34" s="303"/>
      <c r="S34" s="304"/>
      <c r="T34" s="302" t="s">
        <v>278</v>
      </c>
      <c r="U34" s="303"/>
      <c r="V34" s="303"/>
      <c r="W34" s="303"/>
      <c r="X34" s="303"/>
      <c r="Y34" s="304"/>
      <c r="Z34" s="302" t="s">
        <v>279</v>
      </c>
      <c r="AA34" s="303"/>
      <c r="AB34" s="303"/>
      <c r="AC34" s="303"/>
      <c r="AD34" s="303"/>
      <c r="AE34" s="304"/>
      <c r="AF34" s="305" t="s">
        <v>280</v>
      </c>
      <c r="AG34" s="303"/>
      <c r="AH34" s="303"/>
      <c r="AI34" s="303"/>
      <c r="AJ34" s="303"/>
      <c r="AK34" s="306"/>
      <c r="AL34" s="203"/>
      <c r="AM34" s="297" t="str">
        <f t="array" ref="AM34">IFERROR(INDEX('💻シート作成'!$D$6:$D1143, MATCH(AN34, '💻シート作成'!$E$6:$E1143, 0)), "")</f>
        <v>1月</v>
      </c>
      <c r="AN34" s="309"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281</v>
      </c>
      <c r="F35" s="301" t="s">
        <v>103</v>
      </c>
      <c r="G35" s="301"/>
      <c r="H35" s="301" t="s">
        <v>43</v>
      </c>
      <c r="I35" s="291"/>
      <c r="J35" s="291" t="s">
        <v>123</v>
      </c>
      <c r="K35" s="301"/>
      <c r="L35" s="301"/>
      <c r="M35" s="301" t="s">
        <v>268</v>
      </c>
      <c r="N35" s="302" t="s">
        <v>282</v>
      </c>
      <c r="O35" s="303"/>
      <c r="P35" s="303"/>
      <c r="Q35" s="303"/>
      <c r="R35" s="303"/>
      <c r="S35" s="304"/>
      <c r="T35" s="302" t="s">
        <v>283</v>
      </c>
      <c r="U35" s="303"/>
      <c r="V35" s="303"/>
      <c r="W35" s="303"/>
      <c r="X35" s="303"/>
      <c r="Y35" s="304"/>
      <c r="Z35" s="302" t="s">
        <v>284</v>
      </c>
      <c r="AA35" s="303"/>
      <c r="AB35" s="303"/>
      <c r="AC35" s="303"/>
      <c r="AD35" s="303"/>
      <c r="AE35" s="304"/>
      <c r="AF35" s="305" t="s">
        <v>285</v>
      </c>
      <c r="AG35" s="303"/>
      <c r="AH35" s="303"/>
      <c r="AI35" s="303"/>
      <c r="AJ35" s="303"/>
      <c r="AK35" s="306"/>
      <c r="AL35" s="203"/>
      <c r="AM35" s="297" t="str">
        <f t="array" ref="AM35">IFERROR(INDEX('💻シート作成'!$D$6:$D1143, MATCH(AN35, '💻シート作成'!$E$6:$E1143, 0)), "")</f>
        <v>1月</v>
      </c>
      <c r="AN35" s="309"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286</v>
      </c>
      <c r="O36" s="303"/>
      <c r="P36" s="303"/>
      <c r="Q36" s="303"/>
      <c r="R36" s="303"/>
      <c r="S36" s="304"/>
      <c r="T36" s="302" t="s">
        <v>287</v>
      </c>
      <c r="U36" s="303"/>
      <c r="V36" s="303"/>
      <c r="W36" s="303"/>
      <c r="X36" s="303"/>
      <c r="Y36" s="304"/>
      <c r="Z36" s="302" t="s">
        <v>288</v>
      </c>
      <c r="AA36" s="303"/>
      <c r="AB36" s="303"/>
      <c r="AC36" s="303"/>
      <c r="AD36" s="303"/>
      <c r="AE36" s="304"/>
      <c r="AF36" s="305" t="s">
        <v>271</v>
      </c>
      <c r="AG36" s="303"/>
      <c r="AH36" s="303"/>
      <c r="AI36" s="303"/>
      <c r="AJ36" s="303"/>
      <c r="AK36" s="306"/>
      <c r="AL36" s="203"/>
      <c r="AM36" s="297" t="str">
        <f t="array" ref="AM36">IFERROR(INDEX('💻シート作成'!$D$6:$D1143, MATCH(AN36, '💻シート作成'!$E$6:$E1143, 0)), "")</f>
        <v>1月</v>
      </c>
      <c r="AN36" s="309"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t="s">
        <v>11</v>
      </c>
      <c r="D37" s="300" t="s">
        <v>289</v>
      </c>
      <c r="E37" s="300" t="s">
        <v>257</v>
      </c>
      <c r="F37" s="301" t="s">
        <v>103</v>
      </c>
      <c r="G37" s="301">
        <v>402.0</v>
      </c>
      <c r="H37" s="301" t="s">
        <v>252</v>
      </c>
      <c r="I37" s="291" t="s">
        <v>48</v>
      </c>
      <c r="J37" s="291"/>
      <c r="K37" s="301" t="s">
        <v>103</v>
      </c>
      <c r="L37" s="301" t="s">
        <v>38</v>
      </c>
      <c r="M37" s="301" t="s">
        <v>246</v>
      </c>
      <c r="N37" s="302" t="s">
        <v>290</v>
      </c>
      <c r="O37" s="303"/>
      <c r="P37" s="303"/>
      <c r="Q37" s="303"/>
      <c r="R37" s="303"/>
      <c r="S37" s="304"/>
      <c r="T37" s="302" t="s">
        <v>291</v>
      </c>
      <c r="U37" s="303"/>
      <c r="V37" s="303"/>
      <c r="W37" s="303"/>
      <c r="X37" s="303"/>
      <c r="Y37" s="304"/>
      <c r="Z37" s="308"/>
      <c r="AA37" s="303"/>
      <c r="AB37" s="303"/>
      <c r="AC37" s="303"/>
      <c r="AD37" s="303"/>
      <c r="AE37" s="304"/>
      <c r="AF37" s="310"/>
      <c r="AG37" s="303"/>
      <c r="AH37" s="303"/>
      <c r="AI37" s="303"/>
      <c r="AJ37" s="303"/>
      <c r="AK37" s="306"/>
      <c r="AL37" s="203"/>
      <c r="AM37" s="297" t="str">
        <f t="array" ref="AM37">IFERROR(INDEX('💻シート作成'!$D$6:$D1143, MATCH(AN37, '💻シート作成'!$E$6:$E1143, 0)), "")</f>
        <v>1月</v>
      </c>
      <c r="AN37" s="309"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10"/>
      <c r="AG38" s="303"/>
      <c r="AH38" s="303"/>
      <c r="AI38" s="303"/>
      <c r="AJ38" s="303"/>
      <c r="AK38" s="306"/>
      <c r="AL38" s="203"/>
      <c r="AM38" s="297" t="str">
        <f t="array" ref="AM38">IFERROR(INDEX('💻シート作成'!$D$6:$D1143, MATCH(AN38, '💻シート作成'!$E$6:$E1143, 0)), "")</f>
        <v>1月</v>
      </c>
      <c r="AN38" s="309"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10"/>
      <c r="AG39" s="303"/>
      <c r="AH39" s="303"/>
      <c r="AI39" s="303"/>
      <c r="AJ39" s="303"/>
      <c r="AK39" s="306"/>
      <c r="AL39" s="203"/>
      <c r="AM39" s="297" t="str">
        <f t="array" ref="AM39">IFERROR(INDEX('💻シート作成'!$D$6:$D1143, MATCH(AN39, '💻シート作成'!$E$6:$E1143, 0)), "")</f>
        <v>12月</v>
      </c>
      <c r="AN39" s="309"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10"/>
      <c r="AG40" s="303"/>
      <c r="AH40" s="303"/>
      <c r="AI40" s="303"/>
      <c r="AJ40" s="303"/>
      <c r="AK40" s="306"/>
      <c r="AL40" s="203"/>
      <c r="AM40" s="297" t="str">
        <f t="array" ref="AM40">IFERROR(INDEX('💻シート作成'!$D$6:$D1143, MATCH(AN40, '💻シート作成'!$E$6:$E1143, 0)), "")</f>
        <v>12月</v>
      </c>
      <c r="AN40" s="309"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10"/>
      <c r="AG41" s="303"/>
      <c r="AH41" s="303"/>
      <c r="AI41" s="303"/>
      <c r="AJ41" s="303"/>
      <c r="AK41" s="306"/>
      <c r="AL41" s="203"/>
      <c r="AM41" s="297" t="str">
        <f t="array" ref="AM41">IFERROR(INDEX('💻シート作成'!$D$6:$D1143, MATCH(AN41, '💻シート作成'!$E$6:$E1143, 0)), "")</f>
        <v>12月</v>
      </c>
      <c r="AN41" s="309"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10"/>
      <c r="AG42" s="303"/>
      <c r="AH42" s="303"/>
      <c r="AI42" s="303"/>
      <c r="AJ42" s="303"/>
      <c r="AK42" s="306"/>
      <c r="AL42" s="203"/>
      <c r="AM42" s="297" t="str">
        <f t="array" ref="AM42">IFERROR(INDEX('💻シート作成'!$D$6:$D1143, MATCH(AN42, '💻シート作成'!$E$6:$E1143, 0)), "")</f>
        <v>12月</v>
      </c>
      <c r="AN42" s="309"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10"/>
      <c r="AG43" s="303"/>
      <c r="AH43" s="303"/>
      <c r="AI43" s="303"/>
      <c r="AJ43" s="303"/>
      <c r="AK43" s="306"/>
      <c r="AL43" s="203"/>
      <c r="AM43" s="297" t="str">
        <f t="array" ref="AM43">IFERROR(INDEX('💻シート作成'!$D$6:$D1143, MATCH(AN43, '💻シート作成'!$E$6:$E1143, 0)), "")</f>
        <v>12月</v>
      </c>
      <c r="AN43" s="309"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10"/>
      <c r="AG44" s="303"/>
      <c r="AH44" s="303"/>
      <c r="AI44" s="303"/>
      <c r="AJ44" s="303"/>
      <c r="AK44" s="306"/>
      <c r="AL44" s="203"/>
      <c r="AM44" s="297" t="str">
        <f t="array" ref="AM44">IFERROR(INDEX('💻シート作成'!$D$6:$D1143, MATCH(AN44, '💻シート作成'!$E$6:$E1143, 0)), "")</f>
        <v>11月</v>
      </c>
      <c r="AN44" s="309"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10"/>
      <c r="AG45" s="303"/>
      <c r="AH45" s="303"/>
      <c r="AI45" s="303"/>
      <c r="AJ45" s="303"/>
      <c r="AK45" s="306"/>
      <c r="AL45" s="203"/>
      <c r="AM45" s="297" t="str">
        <f t="array" ref="AM45">IFERROR(INDEX('💻シート作成'!$D$6:$D1143, MATCH(AN45, '💻シート作成'!$E$6:$E1143, 0)), "")</f>
        <v>11月</v>
      </c>
      <c r="AN45" s="309"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10"/>
      <c r="AG46" s="303"/>
      <c r="AH46" s="303"/>
      <c r="AI46" s="303"/>
      <c r="AJ46" s="303"/>
      <c r="AK46" s="306"/>
      <c r="AL46" s="203"/>
      <c r="AM46" s="297" t="str">
        <f t="array" ref="AM46">IFERROR(INDEX('💻シート作成'!$D$6:$D1143, MATCH(AN46, '💻シート作成'!$E$6:$E1143, 0)), "")</f>
        <v>11月</v>
      </c>
      <c r="AN46" s="309"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10"/>
      <c r="AG47" s="303"/>
      <c r="AH47" s="303"/>
      <c r="AI47" s="303"/>
      <c r="AJ47" s="303"/>
      <c r="AK47" s="306"/>
      <c r="AL47" s="203"/>
      <c r="AM47" s="297" t="str">
        <f t="array" ref="AM47">IFERROR(INDEX('💻シート作成'!$D$6:$D1143, MATCH(AN47, '💻シート作成'!$E$6:$E1143, 0)), "")</f>
        <v>11月</v>
      </c>
      <c r="AN47" s="309"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10"/>
      <c r="AG48" s="303"/>
      <c r="AH48" s="303"/>
      <c r="AI48" s="303"/>
      <c r="AJ48" s="303"/>
      <c r="AK48" s="306"/>
      <c r="AL48" s="203"/>
      <c r="AM48" s="297" t="str">
        <f t="array" ref="AM48">IFERROR(INDEX('💻シート作成'!$D$6:$D1143, MATCH(AN48, '💻シート作成'!$E$6:$E1143, 0)), "")</f>
        <v>11月</v>
      </c>
      <c r="AN48" s="309"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10"/>
      <c r="AG49" s="303"/>
      <c r="AH49" s="303"/>
      <c r="AI49" s="303"/>
      <c r="AJ49" s="303"/>
      <c r="AK49" s="306"/>
      <c r="AL49" s="203"/>
      <c r="AM49" s="297" t="str">
        <f t="array" ref="AM49">IFERROR(INDEX('💻シート作成'!$D$6:$D1143, MATCH(AN49, '💻シート作成'!$E$6:$E1143, 0)), "")</f>
        <v>10月</v>
      </c>
      <c r="AN49" s="309"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10"/>
      <c r="AG50" s="303"/>
      <c r="AH50" s="303"/>
      <c r="AI50" s="303"/>
      <c r="AJ50" s="303"/>
      <c r="AK50" s="306"/>
      <c r="AL50" s="203"/>
      <c r="AM50" s="297" t="str">
        <f t="array" ref="AM50">IFERROR(INDEX('💻シート作成'!$D$6:$D1143, MATCH(AN50, '💻シート作成'!$E$6:$E1143, 0)), "")</f>
        <v>10月</v>
      </c>
      <c r="AN50" s="309"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10"/>
      <c r="AG51" s="303"/>
      <c r="AH51" s="303"/>
      <c r="AI51" s="303"/>
      <c r="AJ51" s="303"/>
      <c r="AK51" s="306"/>
      <c r="AL51" s="203"/>
      <c r="AM51" s="297" t="str">
        <f t="array" ref="AM51">IFERROR(INDEX('💻シート作成'!$D$6:$D1143, MATCH(AN51, '💻シート作成'!$E$6:$E1143, 0)), "")</f>
        <v>10月</v>
      </c>
      <c r="AN51" s="309"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10"/>
      <c r="AG52" s="303"/>
      <c r="AH52" s="303"/>
      <c r="AI52" s="303"/>
      <c r="AJ52" s="303"/>
      <c r="AK52" s="306"/>
      <c r="AL52" s="203"/>
      <c r="AM52" s="297" t="str">
        <f t="array" ref="AM52">IFERROR(INDEX('💻シート作成'!$D$6:$D1143, MATCH(AN52, '💻シート作成'!$E$6:$E1143, 0)), "")</f>
        <v>10月</v>
      </c>
      <c r="AN52" s="309"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10"/>
      <c r="AG53" s="303"/>
      <c r="AH53" s="303"/>
      <c r="AI53" s="303"/>
      <c r="AJ53" s="303"/>
      <c r="AK53" s="306"/>
      <c r="AL53" s="203"/>
      <c r="AM53" s="297" t="str">
        <f t="array" ref="AM53">IFERROR(INDEX('💻シート作成'!$D$6:$D1143, MATCH(AN53, '💻シート作成'!$E$6:$E1143, 0)), "")</f>
        <v>9月</v>
      </c>
      <c r="AN53" s="309"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10"/>
      <c r="AG54" s="303"/>
      <c r="AH54" s="303"/>
      <c r="AI54" s="303"/>
      <c r="AJ54" s="303"/>
      <c r="AK54" s="306"/>
      <c r="AL54" s="203"/>
      <c r="AM54" s="297" t="str">
        <f t="array" ref="AM54">IFERROR(INDEX('💻シート作成'!$D$6:$D1143, MATCH(AN54, '💻シート作成'!$E$6:$E1143, 0)), "")</f>
        <v>9月</v>
      </c>
      <c r="AN54" s="309"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10"/>
      <c r="AG55" s="303"/>
      <c r="AH55" s="303"/>
      <c r="AI55" s="303"/>
      <c r="AJ55" s="303"/>
      <c r="AK55" s="306"/>
      <c r="AL55" s="203"/>
      <c r="AM55" s="297" t="str">
        <f t="array" ref="AM55">IFERROR(INDEX('💻シート作成'!$D$6:$D1143, MATCH(AN55, '💻シート作成'!$E$6:$E1143, 0)), "")</f>
        <v>9月</v>
      </c>
      <c r="AN55" s="309"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10"/>
      <c r="AG56" s="303"/>
      <c r="AH56" s="303"/>
      <c r="AI56" s="303"/>
      <c r="AJ56" s="303"/>
      <c r="AK56" s="306"/>
      <c r="AL56" s="203"/>
      <c r="AM56" s="297" t="str">
        <f t="array" ref="AM56">IFERROR(INDEX('💻シート作成'!$D$6:$D1143, MATCH(AN56, '💻シート作成'!$E$6:$E1143, 0)), "")</f>
        <v>9月</v>
      </c>
      <c r="AN56" s="309"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10"/>
      <c r="AG57" s="303"/>
      <c r="AH57" s="303"/>
      <c r="AI57" s="303"/>
      <c r="AJ57" s="303"/>
      <c r="AK57" s="306"/>
      <c r="AL57" s="203"/>
      <c r="AM57" s="297" t="str">
        <f t="array" ref="AM57">IFERROR(INDEX('💻シート作成'!$D$6:$D1143, MATCH(AN57, '💻シート作成'!$E$6:$E1143, 0)), "")</f>
        <v>9月</v>
      </c>
      <c r="AN57" s="309"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10"/>
      <c r="AG58" s="303"/>
      <c r="AH58" s="303"/>
      <c r="AI58" s="303"/>
      <c r="AJ58" s="303"/>
      <c r="AK58" s="306"/>
      <c r="AL58" s="203"/>
      <c r="AM58" s="297" t="str">
        <f t="array" ref="AM58">IFERROR(INDEX('💻シート作成'!$D$6:$D1143, MATCH(AN58, '💻シート作成'!$E$6:$E1143, 0)), "")</f>
        <v>8月</v>
      </c>
      <c r="AN58" s="309"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10"/>
      <c r="AG59" s="303"/>
      <c r="AH59" s="303"/>
      <c r="AI59" s="303"/>
      <c r="AJ59" s="303"/>
      <c r="AK59" s="306"/>
      <c r="AL59" s="203"/>
      <c r="AM59" s="297" t="str">
        <f t="array" ref="AM59">IFERROR(INDEX('💻シート作成'!$D$6:$D1143, MATCH(AN59, '💻シート作成'!$E$6:$E1143, 0)), "")</f>
        <v>8月</v>
      </c>
      <c r="AN59" s="309"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10"/>
      <c r="AG60" s="303"/>
      <c r="AH60" s="303"/>
      <c r="AI60" s="303"/>
      <c r="AJ60" s="303"/>
      <c r="AK60" s="306"/>
      <c r="AL60" s="203"/>
      <c r="AM60" s="297" t="str">
        <f t="array" ref="AM60">IFERROR(INDEX('💻シート作成'!$D$6:$D1143, MATCH(AN60, '💻シート作成'!$E$6:$E1143, 0)), "")</f>
        <v>8月</v>
      </c>
      <c r="AN60" s="309"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10"/>
      <c r="AG61" s="303"/>
      <c r="AH61" s="303"/>
      <c r="AI61" s="303"/>
      <c r="AJ61" s="303"/>
      <c r="AK61" s="306"/>
      <c r="AL61" s="203"/>
      <c r="AM61" s="297" t="str">
        <f t="array" ref="AM61">IFERROR(INDEX('💻シート作成'!$D$6:$D1143, MATCH(AN61, '💻シート作成'!$E$6:$E1143, 0)), "")</f>
        <v>8月</v>
      </c>
      <c r="AN61" s="309"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10"/>
      <c r="AG62" s="303"/>
      <c r="AH62" s="303"/>
      <c r="AI62" s="303"/>
      <c r="AJ62" s="303"/>
      <c r="AK62" s="306"/>
      <c r="AL62" s="203"/>
      <c r="AM62" s="297" t="str">
        <f t="array" ref="AM62">IFERROR(INDEX('💻シート作成'!$D$6:$D1143, MATCH(AN62, '💻シート作成'!$E$6:$E1143, 0)), "")</f>
        <v>8月</v>
      </c>
      <c r="AN62" s="309"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10"/>
      <c r="AG63" s="303"/>
      <c r="AH63" s="303"/>
      <c r="AI63" s="303"/>
      <c r="AJ63" s="303"/>
      <c r="AK63" s="306"/>
      <c r="AL63" s="203"/>
      <c r="AM63" s="297" t="str">
        <f t="array" ref="AM63">IFERROR(INDEX('💻シート作成'!$D$6:$D1143, MATCH(AN63, '💻シート作成'!$E$6:$E1143, 0)), "")</f>
        <v>7月</v>
      </c>
      <c r="AN63" s="309"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10"/>
      <c r="AG64" s="303"/>
      <c r="AH64" s="303"/>
      <c r="AI64" s="303"/>
      <c r="AJ64" s="303"/>
      <c r="AK64" s="306"/>
      <c r="AL64" s="203"/>
      <c r="AM64" s="297" t="str">
        <f t="array" ref="AM64">IFERROR(INDEX('💻シート作成'!$D$6:$D1143, MATCH(AN64, '💻シート作成'!$E$6:$E1143, 0)), "")</f>
        <v>7月</v>
      </c>
      <c r="AN64" s="309"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10"/>
      <c r="AG65" s="303"/>
      <c r="AH65" s="303"/>
      <c r="AI65" s="303"/>
      <c r="AJ65" s="303"/>
      <c r="AK65" s="306"/>
      <c r="AL65" s="203"/>
      <c r="AM65" s="297" t="str">
        <f t="array" ref="AM65">IFERROR(INDEX('💻シート作成'!$D$6:$D1143, MATCH(AN65, '💻シート作成'!$E$6:$E1143, 0)), "")</f>
        <v>7月</v>
      </c>
      <c r="AN65" s="309"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10"/>
      <c r="AG66" s="303"/>
      <c r="AH66" s="303"/>
      <c r="AI66" s="303"/>
      <c r="AJ66" s="303"/>
      <c r="AK66" s="306"/>
      <c r="AL66" s="203"/>
      <c r="AM66" s="297" t="str">
        <f t="array" ref="AM66">IFERROR(INDEX('💻シート作成'!$D$6:$D1143, MATCH(AN66, '💻シート作成'!$E$6:$E1143, 0)), "")</f>
        <v>7月</v>
      </c>
      <c r="AN66" s="309"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10"/>
      <c r="AG67" s="303"/>
      <c r="AH67" s="303"/>
      <c r="AI67" s="303"/>
      <c r="AJ67" s="303"/>
      <c r="AK67" s="306"/>
      <c r="AL67" s="203"/>
      <c r="AM67" s="297" t="str">
        <f t="array" ref="AM67">IFERROR(INDEX('💻シート作成'!$D$6:$D1143, MATCH(AN67, '💻シート作成'!$E$6:$E1143, 0)), "")</f>
        <v>7月</v>
      </c>
      <c r="AN67" s="309"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10"/>
      <c r="AG68" s="303"/>
      <c r="AH68" s="303"/>
      <c r="AI68" s="303"/>
      <c r="AJ68" s="303"/>
      <c r="AK68" s="306"/>
      <c r="AL68" s="203"/>
      <c r="AM68" s="297" t="str">
        <f t="array" ref="AM68">IFERROR(INDEX('💻シート作成'!$D$6:$D1143, MATCH(AN68, '💻シート作成'!$E$6:$E1143, 0)), "")</f>
        <v>6月</v>
      </c>
      <c r="AN68" s="309"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10"/>
      <c r="AG69" s="303"/>
      <c r="AH69" s="303"/>
      <c r="AI69" s="303"/>
      <c r="AJ69" s="303"/>
      <c r="AK69" s="306"/>
      <c r="AL69" s="203"/>
      <c r="AM69" s="297" t="str">
        <f t="array" ref="AM69">IFERROR(INDEX('💻シート作成'!$D$6:$D1143, MATCH(AN69, '💻シート作成'!$E$6:$E1143, 0)), "")</f>
        <v>6月</v>
      </c>
      <c r="AN69" s="309"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10"/>
      <c r="AG70" s="303"/>
      <c r="AH70" s="303"/>
      <c r="AI70" s="303"/>
      <c r="AJ70" s="303"/>
      <c r="AK70" s="306"/>
      <c r="AL70" s="203"/>
      <c r="AM70" s="297" t="str">
        <f t="array" ref="AM70">IFERROR(INDEX('💻シート作成'!$D$6:$D1143, MATCH(AN70, '💻シート作成'!$E$6:$E1143, 0)), "")</f>
        <v>6月</v>
      </c>
      <c r="AN70" s="309"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10"/>
      <c r="AG71" s="303"/>
      <c r="AH71" s="303"/>
      <c r="AI71" s="303"/>
      <c r="AJ71" s="303"/>
      <c r="AK71" s="306"/>
      <c r="AL71" s="203"/>
      <c r="AM71" s="297" t="str">
        <f t="array" ref="AM71">IFERROR(INDEX('💻シート作成'!$D$6:$D1143, MATCH(AN71, '💻シート作成'!$E$6:$E1143, 0)), "")</f>
        <v>6月</v>
      </c>
      <c r="AN71" s="309"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10"/>
      <c r="AG72" s="303"/>
      <c r="AH72" s="303"/>
      <c r="AI72" s="303"/>
      <c r="AJ72" s="303"/>
      <c r="AK72" s="306"/>
      <c r="AL72" s="203"/>
      <c r="AM72" s="297" t="str">
        <f t="array" ref="AM72">IFERROR(INDEX('💻シート作成'!$D$6:$D1143, MATCH(AN72, '💻シート作成'!$E$6:$E1143, 0)), "")</f>
        <v>6月</v>
      </c>
      <c r="AN72" s="309"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10"/>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10"/>
      <c r="AG74" s="303"/>
      <c r="AH74" s="303"/>
      <c r="AI74" s="303"/>
      <c r="AJ74" s="303"/>
      <c r="AK74" s="306"/>
      <c r="AL74" s="203"/>
      <c r="AM74" s="297" t="str">
        <f t="array" ref="AM74">IFERROR(INDEX('💻シート作成'!$D$6:$D1143, MATCH(AN74, '💻シート作成'!$E$6:$E1143, 0)), "")</f>
        <v>5月</v>
      </c>
      <c r="AN74" s="309"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10"/>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10"/>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10"/>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10"/>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10"/>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10"/>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10"/>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10"/>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10"/>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10"/>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10"/>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10"/>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10"/>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10"/>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10"/>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10"/>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10"/>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10"/>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10"/>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10"/>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10"/>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10"/>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10"/>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10"/>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10"/>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10"/>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10"/>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10"/>
      <c r="AG102" s="303"/>
      <c r="AH102" s="303"/>
      <c r="AI102" s="303"/>
      <c r="AJ102" s="303"/>
      <c r="AK102" s="306"/>
      <c r="AL102" s="203"/>
      <c r="AM102" s="297" t="str">
        <f t="array" ref="AM102">IFERROR(INDEX('💻シート作成'!$D$6:$D1143, MATCH(AN102, '💻シート作成'!$E$6:$E1143, 0)), "")</f>
        <v/>
      </c>
      <c r="AN102" s="309"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10"/>
      <c r="AG103" s="303"/>
      <c r="AH103" s="303"/>
      <c r="AI103" s="303"/>
      <c r="AJ103" s="303"/>
      <c r="AK103" s="306"/>
      <c r="AL103" s="203"/>
      <c r="AM103" s="297" t="str">
        <f t="array" ref="AM103">IFERROR(INDEX('💻シート作成'!$D$6:$D1143, MATCH(AN103, '💻シート作成'!$E$6:$E1143, 0)), "")</f>
        <v/>
      </c>
      <c r="AN103" s="309"/>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10"/>
      <c r="AG104" s="303"/>
      <c r="AH104" s="303"/>
      <c r="AI104" s="303"/>
      <c r="AJ104" s="303"/>
      <c r="AK104" s="306"/>
      <c r="AL104" s="203"/>
      <c r="AM104" s="297" t="str">
        <f t="array" ref="AM104">IFERROR(INDEX('💻シート作成'!$D$6:$D1143, MATCH(AN104, '💻シート作成'!$E$6:$E1143, 0)), "")</f>
        <v/>
      </c>
      <c r="AN104" s="309"/>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10"/>
      <c r="AG105" s="303"/>
      <c r="AH105" s="303"/>
      <c r="AI105" s="303"/>
      <c r="AJ105" s="303"/>
      <c r="AK105" s="306"/>
      <c r="AL105" s="203"/>
      <c r="AM105" s="297" t="str">
        <f t="array" ref="AM105">IFERROR(INDEX('💻シート作成'!$D$6:$D1143, MATCH(AN105, '💻シート作成'!$E$6:$E1143, 0)), "")</f>
        <v/>
      </c>
      <c r="AN105" s="309"/>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10"/>
      <c r="AG106" s="303"/>
      <c r="AH106" s="303"/>
      <c r="AI106" s="303"/>
      <c r="AJ106" s="303"/>
      <c r="AK106" s="306"/>
      <c r="AL106" s="203"/>
      <c r="AM106" s="297" t="str">
        <f t="array" ref="AM106">IFERROR(INDEX('💻シート作成'!$D$6:$D1143, MATCH(AN106, '💻シート作成'!$E$6:$E1143, 0)), "")</f>
        <v/>
      </c>
      <c r="AN106" s="309"/>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10"/>
      <c r="AG107" s="303"/>
      <c r="AH107" s="303"/>
      <c r="AI107" s="303"/>
      <c r="AJ107" s="303"/>
      <c r="AK107" s="306"/>
      <c r="AL107" s="203"/>
      <c r="AM107" s="297" t="str">
        <f t="array" ref="AM107">IFERROR(INDEX('💻シート作成'!$D$6:$D1143, MATCH(AN107, '💻シート作成'!$E$6:$E1143, 0)), "")</f>
        <v/>
      </c>
      <c r="AN107" s="309"/>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10"/>
      <c r="AG108" s="303"/>
      <c r="AH108" s="303"/>
      <c r="AI108" s="303"/>
      <c r="AJ108" s="303"/>
      <c r="AK108" s="306"/>
      <c r="AL108" s="203"/>
      <c r="AM108" s="297" t="str">
        <f t="array" ref="AM108">IFERROR(INDEX('💻シート作成'!$D$6:$D1143, MATCH(AN108, '💻シート作成'!$E$6:$E1143, 0)), "")</f>
        <v/>
      </c>
      <c r="AN108" s="309"/>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10"/>
      <c r="AG109" s="303"/>
      <c r="AH109" s="303"/>
      <c r="AI109" s="303"/>
      <c r="AJ109" s="303"/>
      <c r="AK109" s="306"/>
      <c r="AL109" s="203"/>
      <c r="AM109" s="297" t="str">
        <f t="array" ref="AM109">IFERROR(INDEX('💻シート作成'!$D$6:$D1143, MATCH(AN109, '💻シート作成'!$E$6:$E1143, 0)), "")</f>
        <v/>
      </c>
      <c r="AN109" s="309"/>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10"/>
      <c r="AG110" s="303"/>
      <c r="AH110" s="303"/>
      <c r="AI110" s="303"/>
      <c r="AJ110" s="303"/>
      <c r="AK110" s="306"/>
      <c r="AL110" s="203"/>
      <c r="AM110" s="297" t="str">
        <f t="array" ref="AM110">IFERROR(INDEX('💻シート作成'!$D$6:$D1143, MATCH(AN110, '💻シート作成'!$E$6:$E1143, 0)), "")</f>
        <v/>
      </c>
      <c r="AN110" s="309"/>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10"/>
      <c r="AG111" s="303"/>
      <c r="AH111" s="303"/>
      <c r="AI111" s="303"/>
      <c r="AJ111" s="303"/>
      <c r="AK111" s="306"/>
      <c r="AL111" s="203"/>
      <c r="AM111" s="297" t="str">
        <f t="array" ref="AM111">IFERROR(INDEX('💻シート作成'!$D$6:$D1143, MATCH(AN111, '💻シート作成'!$E$6:$E1143, 0)), "")</f>
        <v/>
      </c>
      <c r="AN111" s="309"/>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10"/>
      <c r="AG112" s="303"/>
      <c r="AH112" s="303"/>
      <c r="AI112" s="303"/>
      <c r="AJ112" s="303"/>
      <c r="AK112" s="306"/>
      <c r="AL112" s="203"/>
      <c r="AM112" s="297" t="str">
        <f t="array" ref="AM112">IFERROR(INDEX('💻シート作成'!$D$6:$D1143, MATCH(AN112, '💻シート作成'!$E$6:$E1143, 0)), "")</f>
        <v/>
      </c>
      <c r="AN112" s="309"/>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10"/>
      <c r="AG113" s="303"/>
      <c r="AH113" s="303"/>
      <c r="AI113" s="303"/>
      <c r="AJ113" s="303"/>
      <c r="AK113" s="306"/>
      <c r="AL113" s="203"/>
      <c r="AM113" s="297" t="str">
        <f t="array" ref="AM113">IFERROR(INDEX('💻シート作成'!$D$6:$D1143, MATCH(AN113, '💻シート作成'!$E$6:$E1143, 0)), "")</f>
        <v/>
      </c>
      <c r="AN113" s="309"/>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10"/>
      <c r="AG114" s="303"/>
      <c r="AH114" s="303"/>
      <c r="AI114" s="303"/>
      <c r="AJ114" s="303"/>
      <c r="AK114" s="306"/>
      <c r="AL114" s="203"/>
      <c r="AM114" s="297" t="str">
        <f t="array" ref="AM114">IFERROR(INDEX('💻シート作成'!$D$6:$D1143, MATCH(AN114, '💻シート作成'!$E$6:$E1143, 0)), "")</f>
        <v/>
      </c>
      <c r="AN114" s="309"/>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10"/>
      <c r="AG115" s="303"/>
      <c r="AH115" s="303"/>
      <c r="AI115" s="303"/>
      <c r="AJ115" s="303"/>
      <c r="AK115" s="306"/>
      <c r="AL115" s="203"/>
      <c r="AM115" s="297" t="str">
        <f t="array" ref="AM115">IFERROR(INDEX('💻シート作成'!$D$6:$D1143, MATCH(AN115, '💻シート作成'!$E$6:$E1143, 0)), "")</f>
        <v/>
      </c>
      <c r="AN115" s="309"/>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10"/>
      <c r="AG116" s="303"/>
      <c r="AH116" s="303"/>
      <c r="AI116" s="303"/>
      <c r="AJ116" s="303"/>
      <c r="AK116" s="306"/>
      <c r="AL116" s="203"/>
      <c r="AM116" s="297" t="str">
        <f t="array" ref="AM116">IFERROR(INDEX('💻シート作成'!$D$6:$D1143, MATCH(AN116, '💻シート作成'!$E$6:$E1143, 0)), "")</f>
        <v/>
      </c>
      <c r="AN116" s="309"/>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10"/>
      <c r="AG117" s="303"/>
      <c r="AH117" s="303"/>
      <c r="AI117" s="303"/>
      <c r="AJ117" s="303"/>
      <c r="AK117" s="306"/>
      <c r="AL117" s="203"/>
      <c r="AM117" s="297" t="str">
        <f t="array" ref="AM117">IFERROR(INDEX('💻シート作成'!$D$6:$D1143, MATCH(AN117, '💻シート作成'!$E$6:$E1143, 0)), "")</f>
        <v/>
      </c>
      <c r="AN117" s="309"/>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10"/>
      <c r="AG118" s="303"/>
      <c r="AH118" s="303"/>
      <c r="AI118" s="303"/>
      <c r="AJ118" s="303"/>
      <c r="AK118" s="306"/>
      <c r="AL118" s="203"/>
      <c r="AM118" s="297" t="str">
        <f t="array" ref="AM118">IFERROR(INDEX('💻シート作成'!$D$6:$D1143, MATCH(AN118, '💻シート作成'!$E$6:$E1143, 0)), "")</f>
        <v/>
      </c>
      <c r="AN118" s="309"/>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10"/>
      <c r="AG119" s="303"/>
      <c r="AH119" s="303"/>
      <c r="AI119" s="303"/>
      <c r="AJ119" s="303"/>
      <c r="AK119" s="306"/>
      <c r="AL119" s="203"/>
      <c r="AM119" s="297" t="str">
        <f t="array" ref="AM119">IFERROR(INDEX('💻シート作成'!$D$6:$D1143, MATCH(AN119, '💻シート作成'!$E$6:$E1143, 0)), "")</f>
        <v/>
      </c>
      <c r="AN119" s="309"/>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10"/>
      <c r="AG120" s="303"/>
      <c r="AH120" s="303"/>
      <c r="AI120" s="303"/>
      <c r="AJ120" s="303"/>
      <c r="AK120" s="306"/>
      <c r="AL120" s="203"/>
      <c r="AM120" s="297" t="str">
        <f t="array" ref="AM120">IFERROR(INDEX('💻シート作成'!$D$6:$D1143, MATCH(AN120, '💻シート作成'!$E$6:$E1143, 0)), "")</f>
        <v/>
      </c>
      <c r="AN120" s="309"/>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10"/>
      <c r="AG121" s="303"/>
      <c r="AH121" s="303"/>
      <c r="AI121" s="303"/>
      <c r="AJ121" s="303"/>
      <c r="AK121" s="306"/>
      <c r="AL121" s="203"/>
      <c r="AM121" s="297" t="str">
        <f t="array" ref="AM121">IFERROR(INDEX('💻シート作成'!$D$6:$D1143, MATCH(AN121, '💻シート作成'!$E$6:$E1143, 0)), "")</f>
        <v/>
      </c>
      <c r="AN121" s="309"/>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10"/>
      <c r="AG122" s="303"/>
      <c r="AH122" s="303"/>
      <c r="AI122" s="303"/>
      <c r="AJ122" s="303"/>
      <c r="AK122" s="306"/>
      <c r="AL122" s="203"/>
      <c r="AM122" s="297" t="str">
        <f t="array" ref="AM122">IFERROR(INDEX('💻シート作成'!$D$6:$D1143, MATCH(AN122, '💻シート作成'!$E$6:$E1143, 0)), "")</f>
        <v/>
      </c>
      <c r="AN122" s="309"/>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10"/>
      <c r="AG123" s="303"/>
      <c r="AH123" s="303"/>
      <c r="AI123" s="303"/>
      <c r="AJ123" s="303"/>
      <c r="AK123" s="306"/>
      <c r="AL123" s="203"/>
      <c r="AM123" s="297" t="str">
        <f t="array" ref="AM123">IFERROR(INDEX('💻シート作成'!$D$6:$D1143, MATCH(AN123, '💻シート作成'!$E$6:$E1143, 0)), "")</f>
        <v/>
      </c>
      <c r="AN123" s="309"/>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10"/>
      <c r="AG124" s="303"/>
      <c r="AH124" s="303"/>
      <c r="AI124" s="303"/>
      <c r="AJ124" s="303"/>
      <c r="AK124" s="306"/>
      <c r="AL124" s="203"/>
      <c r="AM124" s="297" t="str">
        <f t="array" ref="AM124">IFERROR(INDEX('💻シート作成'!$D$6:$D1143, MATCH(AN124, '💻シート作成'!$E$6:$E1143, 0)), "")</f>
        <v/>
      </c>
      <c r="AN124" s="309"/>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10"/>
      <c r="AG125" s="303"/>
      <c r="AH125" s="303"/>
      <c r="AI125" s="303"/>
      <c r="AJ125" s="303"/>
      <c r="AK125" s="306"/>
      <c r="AL125" s="203"/>
      <c r="AM125" s="297" t="str">
        <f t="array" ref="AM125">IFERROR(INDEX('💻シート作成'!$D$6:$D1143, MATCH(AN125, '💻シート作成'!$E$6:$E1143, 0)), "")</f>
        <v/>
      </c>
      <c r="AN125" s="309"/>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10"/>
      <c r="AG126" s="303"/>
      <c r="AH126" s="303"/>
      <c r="AI126" s="303"/>
      <c r="AJ126" s="303"/>
      <c r="AK126" s="306"/>
      <c r="AL126" s="203"/>
      <c r="AM126" s="297" t="str">
        <f t="array" ref="AM126">IFERROR(INDEX('💻シート作成'!$D$6:$D1143, MATCH(AN126, '💻シート作成'!$E$6:$E1143, 0)), "")</f>
        <v/>
      </c>
      <c r="AN126" s="309"/>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10"/>
      <c r="AG127" s="303"/>
      <c r="AH127" s="303"/>
      <c r="AI127" s="303"/>
      <c r="AJ127" s="303"/>
      <c r="AK127" s="306"/>
      <c r="AL127" s="203"/>
      <c r="AM127" s="297" t="str">
        <f t="array" ref="AM127">IFERROR(INDEX('💻シート作成'!$D$6:$D1143, MATCH(AN127, '💻シート作成'!$E$6:$E1143, 0)), "")</f>
        <v/>
      </c>
      <c r="AN127" s="309"/>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10"/>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10"/>
      <c r="AG129" s="303"/>
      <c r="AH129" s="303"/>
      <c r="AI129" s="303"/>
      <c r="AJ129" s="303"/>
      <c r="AK129" s="306"/>
      <c r="AL129" s="203"/>
      <c r="AM129" s="297" t="str">
        <f t="array" ref="AM129">IFERROR(INDEX('💻シート作成'!$D$6:$D1143, MATCH(AN129, '💻シート作成'!$E$6:$E1143, 0)), "")</f>
        <v/>
      </c>
      <c r="AN129" s="309"/>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10"/>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10"/>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10"/>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10"/>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10"/>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10"/>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10"/>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10"/>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10"/>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10"/>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10"/>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10"/>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10"/>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10"/>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10"/>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10"/>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10"/>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10"/>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10"/>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10"/>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10"/>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10"/>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10"/>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10"/>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10"/>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10"/>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10"/>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10"/>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10"/>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10"/>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10"/>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10"/>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10"/>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10"/>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10"/>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10"/>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10"/>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10"/>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10"/>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10"/>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10"/>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10"/>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10"/>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10"/>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10"/>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10"/>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10"/>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292</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293</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294</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295</v>
      </c>
      <c r="C5" s="337" t="s">
        <v>296</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297</v>
      </c>
      <c r="D6" s="335" t="s">
        <v>298</v>
      </c>
      <c r="F6" s="346"/>
      <c r="G6" s="347" t="s">
        <v>299</v>
      </c>
      <c r="J6" s="348" t="s">
        <v>299</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300</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301</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302</v>
      </c>
      <c r="C9" s="362" t="s">
        <v>303</v>
      </c>
      <c r="D9" s="363"/>
      <c r="E9" s="363"/>
      <c r="F9" s="363"/>
      <c r="G9" s="364" t="s">
        <v>303</v>
      </c>
      <c r="H9" s="363"/>
      <c r="I9" s="363"/>
      <c r="J9" s="364" t="s">
        <v>303</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304</v>
      </c>
      <c r="C10" s="366" t="s">
        <v>305</v>
      </c>
      <c r="D10" s="139"/>
      <c r="E10" s="139"/>
      <c r="F10" s="139"/>
      <c r="G10" s="367" t="s">
        <v>303</v>
      </c>
      <c r="H10" s="139"/>
      <c r="I10" s="139"/>
      <c r="J10" s="367" t="s">
        <v>303</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306</v>
      </c>
      <c r="C11" s="366" t="s">
        <v>307</v>
      </c>
      <c r="D11" s="139"/>
      <c r="E11" s="139"/>
      <c r="F11" s="139"/>
      <c r="G11" s="367" t="s">
        <v>305</v>
      </c>
      <c r="H11" s="139"/>
      <c r="I11" s="139"/>
      <c r="J11" s="367" t="s">
        <v>305</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308</v>
      </c>
      <c r="C12" s="369"/>
      <c r="D12" s="139"/>
      <c r="E12" s="139"/>
      <c r="F12" s="139"/>
      <c r="G12" s="367" t="s">
        <v>305</v>
      </c>
      <c r="H12" s="139"/>
      <c r="I12" s="139"/>
      <c r="J12" s="367" t="s">
        <v>305</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09" t="str">
        <f>IFERROR(__xludf.DUMMYFUNCTION("""COMPUTED_VALUE"""),"①R9_1集計")</f>
        <v>①R9_1集計</v>
      </c>
      <c r="AT12" s="324"/>
      <c r="AU12" s="328"/>
      <c r="AV12" s="328"/>
      <c r="AW12" s="328"/>
      <c r="AX12" s="328"/>
      <c r="AY12" s="328"/>
      <c r="AZ12" s="328"/>
    </row>
    <row r="13">
      <c r="A13" s="324"/>
      <c r="B13" s="361" t="s">
        <v>309</v>
      </c>
      <c r="C13" s="369"/>
      <c r="D13" s="139"/>
      <c r="E13" s="139"/>
      <c r="F13" s="139"/>
      <c r="G13" s="367" t="s">
        <v>303</v>
      </c>
      <c r="H13" s="139"/>
      <c r="I13" s="139"/>
      <c r="J13" s="367" t="s">
        <v>303</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09" t="str">
        <f>IFERROR(__xludf.DUMMYFUNCTION("""COMPUTED_VALUE"""),"②R9_1シフト")</f>
        <v>②R9_1シフト</v>
      </c>
      <c r="AT13" s="324"/>
      <c r="AU13" s="328"/>
      <c r="AV13" s="328"/>
      <c r="AW13" s="328"/>
      <c r="AX13" s="328"/>
      <c r="AY13" s="328"/>
      <c r="AZ13" s="328"/>
    </row>
    <row r="14">
      <c r="A14" s="324"/>
      <c r="B14" s="370" t="s">
        <v>310</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09" t="str">
        <f>IFERROR(__xludf.DUMMYFUNCTION("""COMPUTED_VALUE"""),"③R9_1日報")</f>
        <v>③R9_1日報</v>
      </c>
      <c r="AT14" s="324"/>
      <c r="AU14" s="328"/>
      <c r="AV14" s="328"/>
      <c r="AW14" s="328"/>
      <c r="AX14" s="328"/>
      <c r="AY14" s="328"/>
      <c r="AZ14" s="328"/>
    </row>
    <row r="15">
      <c r="A15" s="324"/>
      <c r="B15" s="371" t="s">
        <v>311</v>
      </c>
      <c r="C15" s="369"/>
      <c r="D15" s="139"/>
      <c r="E15" s="139"/>
      <c r="F15" s="139"/>
      <c r="G15" s="367" t="s">
        <v>303</v>
      </c>
      <c r="H15" s="139"/>
      <c r="I15" s="139"/>
      <c r="J15" s="367" t="s">
        <v>303</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09" t="str">
        <f>IFERROR(__xludf.DUMMYFUNCTION("""COMPUTED_VALUE"""),"④R9_1月報")</f>
        <v>④R9_1月報</v>
      </c>
      <c r="AT15" s="324"/>
      <c r="AU15" s="328"/>
      <c r="AV15" s="328"/>
      <c r="AW15" s="328"/>
      <c r="AX15" s="328"/>
      <c r="AY15" s="328"/>
      <c r="AZ15" s="328"/>
    </row>
    <row r="16">
      <c r="A16" s="324"/>
      <c r="B16" s="371" t="s">
        <v>312</v>
      </c>
      <c r="C16" s="369"/>
      <c r="D16" s="139"/>
      <c r="E16" s="139"/>
      <c r="F16" s="139"/>
      <c r="G16" s="367" t="s">
        <v>305</v>
      </c>
      <c r="H16" s="139"/>
      <c r="I16" s="139"/>
      <c r="J16" s="367" t="s">
        <v>305</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09" t="str">
        <f>IFERROR(__xludf.DUMMYFUNCTION("""COMPUTED_VALUE"""),"⑤R9_1特殊メイク")</f>
        <v>⑤R9_1特殊メイク</v>
      </c>
      <c r="AT16" s="324"/>
      <c r="AU16" s="328"/>
      <c r="AV16" s="328"/>
      <c r="AW16" s="328"/>
      <c r="AX16" s="328"/>
      <c r="AY16" s="328"/>
      <c r="AZ16" s="328"/>
    </row>
    <row r="17">
      <c r="A17" s="324"/>
      <c r="B17" s="371" t="s">
        <v>313</v>
      </c>
      <c r="C17" s="369"/>
      <c r="D17" s="139"/>
      <c r="E17" s="139"/>
      <c r="F17" s="139"/>
      <c r="G17" s="367" t="s">
        <v>303</v>
      </c>
      <c r="H17" s="139"/>
      <c r="I17" s="139"/>
      <c r="J17" s="367" t="s">
        <v>303</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09" t="str">
        <f>IFERROR(__xludf.DUMMYFUNCTION("""COMPUTED_VALUE"""),"⑤R9_1特殊メイク")</f>
        <v>⑤R9_1特殊メイク</v>
      </c>
      <c r="AT17" s="324"/>
      <c r="AU17" s="328"/>
      <c r="AV17" s="328"/>
      <c r="AW17" s="328"/>
      <c r="AX17" s="328"/>
      <c r="AY17" s="328"/>
      <c r="AZ17" s="328"/>
    </row>
    <row r="18" ht="18.75" customHeight="1">
      <c r="A18" s="324"/>
      <c r="B18" s="372" t="s">
        <v>314</v>
      </c>
      <c r="C18" s="373"/>
      <c r="D18" s="374"/>
      <c r="E18" s="374"/>
      <c r="F18" s="374"/>
      <c r="G18" s="375" t="s">
        <v>303</v>
      </c>
      <c r="H18" s="374"/>
      <c r="I18" s="374"/>
      <c r="J18" s="375" t="s">
        <v>303</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09" t="str">
        <f>IFERROR(__xludf.DUMMYFUNCTION("""COMPUTED_VALUE"""),"①R8_12集計")</f>
        <v>①R8_12集計</v>
      </c>
      <c r="AT18" s="324"/>
      <c r="AU18" s="328"/>
      <c r="AV18" s="328"/>
      <c r="AW18" s="328"/>
      <c r="AX18" s="328"/>
      <c r="AY18" s="328"/>
      <c r="AZ18" s="328"/>
    </row>
    <row r="19">
      <c r="A19" s="324"/>
      <c r="B19" s="370" t="s">
        <v>315</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09" t="str">
        <f>IFERROR(__xludf.DUMMYFUNCTION("""COMPUTED_VALUE"""),"②R8_12シフト")</f>
        <v>②R8_12シフト</v>
      </c>
      <c r="AT19" s="324"/>
      <c r="AU19" s="328"/>
      <c r="AV19" s="328"/>
      <c r="AW19" s="328"/>
      <c r="AX19" s="328"/>
      <c r="AY19" s="328"/>
      <c r="AZ19" s="328"/>
    </row>
    <row r="20">
      <c r="A20" s="324"/>
      <c r="B20" s="377" t="s">
        <v>316</v>
      </c>
      <c r="C20" s="378"/>
      <c r="D20" s="363"/>
      <c r="E20" s="363"/>
      <c r="F20" s="363"/>
      <c r="G20" s="364" t="s">
        <v>307</v>
      </c>
      <c r="H20" s="363"/>
      <c r="I20" s="363"/>
      <c r="J20" s="364" t="s">
        <v>307</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09" t="str">
        <f>IFERROR(__xludf.DUMMYFUNCTION("""COMPUTED_VALUE"""),"③R8_12日報")</f>
        <v>③R8_12日報</v>
      </c>
      <c r="AT20" s="324"/>
      <c r="AU20" s="328"/>
      <c r="AV20" s="328"/>
      <c r="AW20" s="328"/>
      <c r="AX20" s="328"/>
      <c r="AY20" s="328"/>
      <c r="AZ20" s="328"/>
    </row>
    <row r="21">
      <c r="A21" s="324"/>
      <c r="B21" s="371" t="s">
        <v>317</v>
      </c>
      <c r="C21" s="369"/>
      <c r="D21" s="139"/>
      <c r="E21" s="139"/>
      <c r="F21" s="139"/>
      <c r="G21" s="367" t="s">
        <v>307</v>
      </c>
      <c r="H21" s="139"/>
      <c r="I21" s="139"/>
      <c r="J21" s="367" t="s">
        <v>307</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09" t="str">
        <f>IFERROR(__xludf.DUMMYFUNCTION("""COMPUTED_VALUE"""),"④R8_12月報")</f>
        <v>④R8_12月報</v>
      </c>
      <c r="AT21" s="324"/>
      <c r="AU21" s="328"/>
      <c r="AV21" s="328"/>
      <c r="AW21" s="328"/>
      <c r="AX21" s="328"/>
      <c r="AY21" s="328"/>
      <c r="AZ21" s="328"/>
    </row>
    <row r="22">
      <c r="A22" s="324"/>
      <c r="B22" s="379" t="s">
        <v>318</v>
      </c>
      <c r="C22" s="369"/>
      <c r="D22" s="139"/>
      <c r="E22" s="139"/>
      <c r="F22" s="139"/>
      <c r="G22" s="367" t="s">
        <v>303</v>
      </c>
      <c r="H22" s="139"/>
      <c r="I22" s="139"/>
      <c r="J22" s="367" t="s">
        <v>303</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09" t="str">
        <f>IFERROR(__xludf.DUMMYFUNCTION("""COMPUTED_VALUE"""),"⑤R8_12特殊メイク")</f>
        <v>⑤R8_12特殊メイク</v>
      </c>
      <c r="AT22" s="324"/>
      <c r="AU22" s="328"/>
      <c r="AV22" s="328"/>
      <c r="AW22" s="328"/>
      <c r="AX22" s="328"/>
      <c r="AY22" s="328"/>
      <c r="AZ22" s="328"/>
    </row>
    <row r="23">
      <c r="A23" s="324"/>
      <c r="B23" s="379" t="s">
        <v>319</v>
      </c>
      <c r="C23" s="369"/>
      <c r="D23" s="139"/>
      <c r="E23" s="139"/>
      <c r="F23" s="139"/>
      <c r="G23" s="367" t="s">
        <v>303</v>
      </c>
      <c r="H23" s="139"/>
      <c r="I23" s="139"/>
      <c r="J23" s="367" t="s">
        <v>303</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09" t="str">
        <f>IFERROR(__xludf.DUMMYFUNCTION("""COMPUTED_VALUE"""),"①R8_11集計")</f>
        <v>①R8_11集計</v>
      </c>
      <c r="AT23" s="324"/>
      <c r="AU23" s="328"/>
      <c r="AV23" s="328"/>
      <c r="AW23" s="328"/>
      <c r="AX23" s="328"/>
      <c r="AY23" s="328"/>
      <c r="AZ23" s="328"/>
    </row>
    <row r="24">
      <c r="A24" s="324"/>
      <c r="B24" s="380" t="s">
        <v>320</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09" t="str">
        <f>IFERROR(__xludf.DUMMYFUNCTION("""COMPUTED_VALUE"""),"②R8_11シフト")</f>
        <v>②R8_11シフト</v>
      </c>
      <c r="AT24" s="324"/>
      <c r="AU24" s="328"/>
      <c r="AV24" s="328"/>
      <c r="AW24" s="328"/>
      <c r="AX24" s="328"/>
      <c r="AY24" s="328"/>
      <c r="AZ24" s="328"/>
    </row>
    <row r="25">
      <c r="A25" s="324"/>
      <c r="B25" s="383" t="s">
        <v>321</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09" t="str">
        <f>IFERROR(__xludf.DUMMYFUNCTION("""COMPUTED_VALUE"""),"③R8_11日報")</f>
        <v>③R8_11日報</v>
      </c>
      <c r="AT25" s="324"/>
      <c r="AU25" s="328"/>
      <c r="AV25" s="328"/>
      <c r="AW25" s="328"/>
      <c r="AX25" s="328"/>
      <c r="AY25" s="328"/>
      <c r="AZ25" s="328"/>
    </row>
    <row r="26">
      <c r="A26" s="324"/>
      <c r="B26" s="385" t="s">
        <v>322</v>
      </c>
      <c r="C26" s="366" t="s">
        <v>323</v>
      </c>
      <c r="D26" s="139"/>
      <c r="E26" s="139"/>
      <c r="F26" s="139"/>
      <c r="G26" s="367" t="s">
        <v>324</v>
      </c>
      <c r="H26" s="139"/>
      <c r="I26" s="139"/>
      <c r="J26" s="367" t="s">
        <v>324</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09" t="str">
        <f>IFERROR(__xludf.DUMMYFUNCTION("""COMPUTED_VALUE"""),"④R8_11月報")</f>
        <v>④R8_11月報</v>
      </c>
      <c r="AT26" s="324"/>
      <c r="AU26" s="328"/>
      <c r="AV26" s="328"/>
      <c r="AW26" s="328"/>
      <c r="AX26" s="328"/>
      <c r="AY26" s="328"/>
      <c r="AZ26" s="328"/>
    </row>
    <row r="27">
      <c r="A27" s="324"/>
      <c r="B27" s="385" t="s">
        <v>325</v>
      </c>
      <c r="C27" s="366" t="s">
        <v>326</v>
      </c>
      <c r="D27" s="139"/>
      <c r="E27" s="139"/>
      <c r="F27" s="139"/>
      <c r="G27" s="367" t="s">
        <v>323</v>
      </c>
      <c r="H27" s="139"/>
      <c r="I27" s="139"/>
      <c r="J27" s="367" t="s">
        <v>323</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09" t="str">
        <f>IFERROR(__xludf.DUMMYFUNCTION("""COMPUTED_VALUE"""),"⑤R8_11特殊メイク")</f>
        <v>⑤R8_11特殊メイク</v>
      </c>
      <c r="AT27" s="324"/>
      <c r="AU27" s="328"/>
      <c r="AV27" s="328"/>
      <c r="AW27" s="328"/>
      <c r="AX27" s="328"/>
      <c r="AY27" s="328"/>
      <c r="AZ27" s="328"/>
    </row>
    <row r="28">
      <c r="A28" s="324"/>
      <c r="B28" s="385" t="s">
        <v>327</v>
      </c>
      <c r="C28" s="366" t="s">
        <v>324</v>
      </c>
      <c r="D28" s="139"/>
      <c r="E28" s="139"/>
      <c r="F28" s="139"/>
      <c r="G28" s="367" t="s">
        <v>326</v>
      </c>
      <c r="H28" s="139"/>
      <c r="I28" s="139"/>
      <c r="J28" s="367" t="s">
        <v>326</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09" t="str">
        <f>IFERROR(__xludf.DUMMYFUNCTION("""COMPUTED_VALUE"""),"②R8_10シフト")</f>
        <v>②R8_10シフト</v>
      </c>
      <c r="AT28" s="324"/>
      <c r="AU28" s="328"/>
      <c r="AV28" s="328"/>
      <c r="AW28" s="328"/>
      <c r="AX28" s="328"/>
      <c r="AY28" s="328"/>
      <c r="AZ28" s="328"/>
    </row>
    <row r="29">
      <c r="A29" s="324"/>
      <c r="B29" s="385" t="s">
        <v>328</v>
      </c>
      <c r="C29" s="366" t="s">
        <v>329</v>
      </c>
      <c r="D29" s="139"/>
      <c r="E29" s="139"/>
      <c r="F29" s="139"/>
      <c r="G29" s="367" t="s">
        <v>326</v>
      </c>
      <c r="H29" s="139"/>
      <c r="I29" s="139"/>
      <c r="J29" s="367" t="s">
        <v>326</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09" t="str">
        <f>IFERROR(__xludf.DUMMYFUNCTION("""COMPUTED_VALUE"""),"③R8_10日報")</f>
        <v>③R8_10日報</v>
      </c>
      <c r="AT29" s="324"/>
      <c r="AU29" s="328"/>
      <c r="AV29" s="328"/>
      <c r="AW29" s="328"/>
      <c r="AX29" s="328"/>
      <c r="AY29" s="328"/>
      <c r="AZ29" s="328"/>
    </row>
    <row r="30">
      <c r="A30" s="324"/>
      <c r="B30" s="385" t="s">
        <v>330</v>
      </c>
      <c r="C30" s="366" t="s">
        <v>331</v>
      </c>
      <c r="D30" s="139"/>
      <c r="E30" s="139"/>
      <c r="F30" s="139"/>
      <c r="G30" s="367" t="s">
        <v>326</v>
      </c>
      <c r="H30" s="139"/>
      <c r="I30" s="139"/>
      <c r="J30" s="367" t="s">
        <v>326</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09" t="str">
        <f>IFERROR(__xludf.DUMMYFUNCTION("""COMPUTED_VALUE"""),"④R8_10月報")</f>
        <v>④R8_10月報</v>
      </c>
      <c r="AT30" s="324"/>
      <c r="AU30" s="328"/>
      <c r="AV30" s="328"/>
      <c r="AW30" s="328"/>
      <c r="AX30" s="328"/>
      <c r="AY30" s="328"/>
      <c r="AZ30" s="328"/>
    </row>
    <row r="31">
      <c r="A31" s="324"/>
      <c r="B31" s="385" t="s">
        <v>332</v>
      </c>
      <c r="C31" s="369"/>
      <c r="D31" s="139"/>
      <c r="E31" s="139"/>
      <c r="F31" s="139"/>
      <c r="G31" s="367" t="s">
        <v>324</v>
      </c>
      <c r="H31" s="139"/>
      <c r="I31" s="139"/>
      <c r="J31" s="367" t="s">
        <v>324</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09" t="str">
        <f>IFERROR(__xludf.DUMMYFUNCTION("""COMPUTED_VALUE"""),"⑤R8_10特殊メイク")</f>
        <v>⑤R8_10特殊メイク</v>
      </c>
      <c r="AT31" s="324"/>
      <c r="AU31" s="328"/>
      <c r="AV31" s="328"/>
      <c r="AW31" s="328"/>
      <c r="AX31" s="328"/>
      <c r="AY31" s="328"/>
      <c r="AZ31" s="328"/>
    </row>
    <row r="32">
      <c r="A32" s="324"/>
      <c r="B32" s="386" t="s">
        <v>333</v>
      </c>
      <c r="C32" s="373"/>
      <c r="D32" s="374"/>
      <c r="E32" s="374"/>
      <c r="F32" s="374"/>
      <c r="G32" s="375" t="s">
        <v>326</v>
      </c>
      <c r="H32" s="374"/>
      <c r="I32" s="374"/>
      <c r="J32" s="375" t="s">
        <v>326</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09" t="str">
        <f>IFERROR(__xludf.DUMMYFUNCTION("""COMPUTED_VALUE"""),"①R8_9集計")</f>
        <v>①R8_9集計</v>
      </c>
      <c r="AT32" s="324"/>
      <c r="AU32" s="328"/>
      <c r="AV32" s="328"/>
      <c r="AW32" s="328"/>
      <c r="AX32" s="328"/>
      <c r="AY32" s="328"/>
      <c r="AZ32" s="328"/>
    </row>
    <row r="33">
      <c r="A33" s="324"/>
      <c r="B33" s="383" t="s">
        <v>334</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09" t="str">
        <f>IFERROR(__xludf.DUMMYFUNCTION("""COMPUTED_VALUE"""),"②R8_9シフト")</f>
        <v>②R8_9シフト</v>
      </c>
      <c r="AT33" s="324"/>
      <c r="AU33" s="328"/>
      <c r="AV33" s="328"/>
      <c r="AW33" s="328"/>
      <c r="AX33" s="328"/>
      <c r="AY33" s="328"/>
      <c r="AZ33" s="328"/>
    </row>
    <row r="34">
      <c r="A34" s="324"/>
      <c r="B34" s="387" t="s">
        <v>335</v>
      </c>
      <c r="C34" s="378"/>
      <c r="D34" s="363"/>
      <c r="E34" s="363"/>
      <c r="F34" s="363"/>
      <c r="G34" s="364" t="s">
        <v>324</v>
      </c>
      <c r="H34" s="363"/>
      <c r="I34" s="363"/>
      <c r="J34" s="364" t="s">
        <v>324</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09" t="str">
        <f>IFERROR(__xludf.DUMMYFUNCTION("""COMPUTED_VALUE"""),"③R8_9日報")</f>
        <v>③R8_9日報</v>
      </c>
      <c r="AT34" s="324"/>
      <c r="AU34" s="328"/>
      <c r="AV34" s="328"/>
      <c r="AW34" s="328"/>
      <c r="AX34" s="328"/>
      <c r="AY34" s="328"/>
      <c r="AZ34" s="328"/>
    </row>
    <row r="35">
      <c r="A35" s="324"/>
      <c r="B35" s="385" t="s">
        <v>336</v>
      </c>
      <c r="C35" s="369"/>
      <c r="D35" s="139"/>
      <c r="E35" s="139"/>
      <c r="F35" s="139"/>
      <c r="G35" s="367" t="s">
        <v>326</v>
      </c>
      <c r="H35" s="139"/>
      <c r="I35" s="139"/>
      <c r="J35" s="367" t="s">
        <v>326</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09" t="str">
        <f>IFERROR(__xludf.DUMMYFUNCTION("""COMPUTED_VALUE"""),"④R8_9月報")</f>
        <v>④R8_9月報</v>
      </c>
      <c r="AT35" s="324"/>
      <c r="AU35" s="328"/>
      <c r="AV35" s="328"/>
      <c r="AW35" s="328"/>
      <c r="AX35" s="328"/>
      <c r="AY35" s="328"/>
      <c r="AZ35" s="328"/>
    </row>
    <row r="36">
      <c r="A36" s="324"/>
      <c r="B36" s="385" t="s">
        <v>337</v>
      </c>
      <c r="C36" s="369"/>
      <c r="D36" s="139"/>
      <c r="E36" s="139"/>
      <c r="F36" s="139"/>
      <c r="G36" s="367" t="s">
        <v>326</v>
      </c>
      <c r="H36" s="139"/>
      <c r="I36" s="139"/>
      <c r="J36" s="367" t="s">
        <v>326</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09" t="str">
        <f>IFERROR(__xludf.DUMMYFUNCTION("""COMPUTED_VALUE"""),"⑤R8_9特殊メイク")</f>
        <v>⑤R8_9特殊メイク</v>
      </c>
      <c r="AT36" s="324"/>
      <c r="AU36" s="328"/>
      <c r="AV36" s="328"/>
      <c r="AW36" s="328"/>
      <c r="AX36" s="328"/>
      <c r="AY36" s="328"/>
      <c r="AZ36" s="328"/>
    </row>
    <row r="37">
      <c r="A37" s="324"/>
      <c r="B37" s="385" t="s">
        <v>338</v>
      </c>
      <c r="C37" s="369"/>
      <c r="D37" s="139"/>
      <c r="E37" s="139"/>
      <c r="F37" s="139"/>
      <c r="G37" s="367" t="s">
        <v>323</v>
      </c>
      <c r="H37" s="139"/>
      <c r="I37" s="139"/>
      <c r="J37" s="367" t="s">
        <v>323</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09" t="str">
        <f>IFERROR(__xludf.DUMMYFUNCTION("""COMPUTED_VALUE"""),"①R8_8集計")</f>
        <v>①R8_8集計</v>
      </c>
      <c r="AT37" s="324"/>
      <c r="AU37" s="328"/>
      <c r="AV37" s="328"/>
      <c r="AW37" s="328"/>
      <c r="AX37" s="328"/>
      <c r="AY37" s="328"/>
      <c r="AZ37" s="328"/>
    </row>
    <row r="38">
      <c r="A38" s="324"/>
      <c r="B38" s="385" t="s">
        <v>339</v>
      </c>
      <c r="C38" s="369"/>
      <c r="D38" s="139"/>
      <c r="E38" s="139"/>
      <c r="F38" s="139"/>
      <c r="G38" s="367" t="s">
        <v>324</v>
      </c>
      <c r="H38" s="139"/>
      <c r="I38" s="139"/>
      <c r="J38" s="367" t="s">
        <v>324</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09" t="str">
        <f>IFERROR(__xludf.DUMMYFUNCTION("""COMPUTED_VALUE"""),"②R8_8シフト")</f>
        <v>②R8_8シフト</v>
      </c>
      <c r="AT38" s="324"/>
      <c r="AU38" s="328"/>
      <c r="AV38" s="328"/>
      <c r="AW38" s="328"/>
      <c r="AX38" s="328"/>
      <c r="AY38" s="328"/>
      <c r="AZ38" s="328"/>
    </row>
    <row r="39">
      <c r="A39" s="324"/>
      <c r="B39" s="385" t="s">
        <v>340</v>
      </c>
      <c r="C39" s="369"/>
      <c r="D39" s="139"/>
      <c r="E39" s="139"/>
      <c r="F39" s="139"/>
      <c r="G39" s="367" t="s">
        <v>326</v>
      </c>
      <c r="H39" s="139"/>
      <c r="I39" s="139"/>
      <c r="J39" s="367" t="s">
        <v>326</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09" t="str">
        <f>IFERROR(__xludf.DUMMYFUNCTION("""COMPUTED_VALUE"""),"③R8_8日報")</f>
        <v>③R8_8日報</v>
      </c>
      <c r="AT39" s="324"/>
      <c r="AU39" s="328"/>
      <c r="AV39" s="328"/>
      <c r="AW39" s="328"/>
      <c r="AX39" s="328"/>
      <c r="AY39" s="328"/>
      <c r="AZ39" s="328"/>
    </row>
    <row r="40">
      <c r="A40" s="324"/>
      <c r="B40" s="385" t="s">
        <v>341</v>
      </c>
      <c r="C40" s="369"/>
      <c r="D40" s="139"/>
      <c r="E40" s="139"/>
      <c r="F40" s="139"/>
      <c r="G40" s="367" t="s">
        <v>326</v>
      </c>
      <c r="H40" s="139"/>
      <c r="I40" s="139"/>
      <c r="J40" s="367" t="s">
        <v>326</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09" t="str">
        <f>IFERROR(__xludf.DUMMYFUNCTION("""COMPUTED_VALUE"""),"④R8_8月報")</f>
        <v>④R8_8月報</v>
      </c>
      <c r="AT40" s="324"/>
      <c r="AU40" s="328"/>
      <c r="AV40" s="328"/>
      <c r="AW40" s="328"/>
      <c r="AX40" s="328"/>
      <c r="AY40" s="328"/>
      <c r="AZ40" s="328"/>
    </row>
    <row r="41">
      <c r="A41" s="324"/>
      <c r="B41" s="385" t="s">
        <v>342</v>
      </c>
      <c r="C41" s="369"/>
      <c r="D41" s="139"/>
      <c r="E41" s="139"/>
      <c r="F41" s="139"/>
      <c r="G41" s="367" t="s">
        <v>324</v>
      </c>
      <c r="H41" s="139"/>
      <c r="I41" s="139"/>
      <c r="J41" s="367" t="s">
        <v>324</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09" t="str">
        <f>IFERROR(__xludf.DUMMYFUNCTION("""COMPUTED_VALUE"""),"⑤R8_8特殊メイク")</f>
        <v>⑤R8_8特殊メイク</v>
      </c>
      <c r="AT41" s="324"/>
      <c r="AU41" s="328"/>
      <c r="AV41" s="328"/>
      <c r="AW41" s="328"/>
      <c r="AX41" s="328"/>
      <c r="AY41" s="328"/>
      <c r="AZ41" s="328"/>
    </row>
    <row r="42">
      <c r="A42" s="324"/>
      <c r="B42" s="385" t="s">
        <v>343</v>
      </c>
      <c r="C42" s="369"/>
      <c r="D42" s="139"/>
      <c r="E42" s="139"/>
      <c r="F42" s="139"/>
      <c r="G42" s="367" t="s">
        <v>324</v>
      </c>
      <c r="H42" s="139"/>
      <c r="I42" s="139"/>
      <c r="J42" s="367" t="s">
        <v>324</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09" t="str">
        <f>IFERROR(__xludf.DUMMYFUNCTION("""COMPUTED_VALUE"""),"①R8_7集計")</f>
        <v>①R8_7集計</v>
      </c>
      <c r="AT42" s="324"/>
      <c r="AU42" s="328"/>
      <c r="AV42" s="328"/>
      <c r="AW42" s="328"/>
      <c r="AX42" s="328"/>
      <c r="AY42" s="328"/>
      <c r="AZ42" s="328"/>
    </row>
    <row r="43">
      <c r="A43" s="324"/>
      <c r="B43" s="386" t="s">
        <v>344</v>
      </c>
      <c r="C43" s="373"/>
      <c r="D43" s="374"/>
      <c r="E43" s="374"/>
      <c r="F43" s="374"/>
      <c r="G43" s="375" t="s">
        <v>324</v>
      </c>
      <c r="H43" s="374"/>
      <c r="I43" s="374"/>
      <c r="J43" s="375" t="s">
        <v>324</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09" t="str">
        <f>IFERROR(__xludf.DUMMYFUNCTION("""COMPUTED_VALUE"""),"②R8_7シフト")</f>
        <v>②R8_7シフト</v>
      </c>
      <c r="AT43" s="324"/>
      <c r="AU43" s="328"/>
      <c r="AV43" s="328"/>
      <c r="AW43" s="328"/>
      <c r="AX43" s="328"/>
      <c r="AY43" s="328"/>
      <c r="AZ43" s="328"/>
    </row>
    <row r="44">
      <c r="A44" s="324"/>
      <c r="B44" s="383" t="s">
        <v>345</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09" t="str">
        <f>IFERROR(__xludf.DUMMYFUNCTION("""COMPUTED_VALUE"""),"③R8_7日報")</f>
        <v>③R8_7日報</v>
      </c>
      <c r="AT44" s="324"/>
      <c r="AU44" s="328"/>
      <c r="AV44" s="328"/>
      <c r="AW44" s="328"/>
      <c r="AX44" s="328"/>
      <c r="AY44" s="328"/>
      <c r="AZ44" s="328"/>
    </row>
    <row r="45">
      <c r="A45" s="324"/>
      <c r="B45" s="387" t="s">
        <v>346</v>
      </c>
      <c r="C45" s="378"/>
      <c r="D45" s="363"/>
      <c r="E45" s="363"/>
      <c r="F45" s="363"/>
      <c r="G45" s="364" t="s">
        <v>326</v>
      </c>
      <c r="H45" s="363"/>
      <c r="I45" s="363"/>
      <c r="J45" s="364" t="s">
        <v>326</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09" t="str">
        <f>IFERROR(__xludf.DUMMYFUNCTION("""COMPUTED_VALUE"""),"④R8_7月報")</f>
        <v>④R8_7月報</v>
      </c>
      <c r="AT45" s="324"/>
      <c r="AU45" s="328"/>
      <c r="AV45" s="328"/>
      <c r="AW45" s="328"/>
      <c r="AX45" s="328"/>
      <c r="AY45" s="328"/>
      <c r="AZ45" s="328"/>
    </row>
    <row r="46">
      <c r="A46" s="324"/>
      <c r="B46" s="385" t="s">
        <v>347</v>
      </c>
      <c r="C46" s="369"/>
      <c r="D46" s="139"/>
      <c r="E46" s="139"/>
      <c r="F46" s="139"/>
      <c r="G46" s="367" t="s">
        <v>324</v>
      </c>
      <c r="H46" s="139"/>
      <c r="I46" s="139"/>
      <c r="J46" s="367" t="s">
        <v>324</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09" t="str">
        <f>IFERROR(__xludf.DUMMYFUNCTION("""COMPUTED_VALUE"""),"⑤R8_7特殊メイク")</f>
        <v>⑤R8_7特殊メイク</v>
      </c>
      <c r="AT46" s="324"/>
      <c r="AU46" s="328"/>
      <c r="AV46" s="328"/>
      <c r="AW46" s="328"/>
      <c r="AX46" s="328"/>
      <c r="AY46" s="328"/>
      <c r="AZ46" s="328"/>
    </row>
    <row r="47">
      <c r="A47" s="324"/>
      <c r="B47" s="385" t="s">
        <v>348</v>
      </c>
      <c r="C47" s="369"/>
      <c r="D47" s="139"/>
      <c r="E47" s="139"/>
      <c r="F47" s="139"/>
      <c r="G47" s="367" t="s">
        <v>326</v>
      </c>
      <c r="H47" s="139"/>
      <c r="I47" s="139"/>
      <c r="J47" s="367" t="s">
        <v>326</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09" t="str">
        <f>IFERROR(__xludf.DUMMYFUNCTION("""COMPUTED_VALUE"""),"①R8_6集計")</f>
        <v>①R8_6集計</v>
      </c>
      <c r="AT47" s="324"/>
      <c r="AU47" s="328"/>
      <c r="AV47" s="328"/>
      <c r="AW47" s="328"/>
      <c r="AX47" s="328"/>
      <c r="AY47" s="328"/>
      <c r="AZ47" s="328"/>
    </row>
    <row r="48">
      <c r="A48" s="324"/>
      <c r="B48" s="386" t="s">
        <v>349</v>
      </c>
      <c r="C48" s="373"/>
      <c r="D48" s="374"/>
      <c r="E48" s="374"/>
      <c r="F48" s="374"/>
      <c r="G48" s="375" t="s">
        <v>323</v>
      </c>
      <c r="H48" s="374"/>
      <c r="I48" s="374"/>
      <c r="J48" s="375" t="s">
        <v>323</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09" t="str">
        <f>IFERROR(__xludf.DUMMYFUNCTION("""COMPUTED_VALUE"""),"②R8_6シフト")</f>
        <v>②R8_6シフト</v>
      </c>
      <c r="AT48" s="324"/>
      <c r="AU48" s="328"/>
      <c r="AV48" s="328"/>
      <c r="AW48" s="328"/>
      <c r="AX48" s="328"/>
      <c r="AY48" s="328"/>
      <c r="AZ48" s="328"/>
    </row>
    <row r="49">
      <c r="A49" s="324"/>
      <c r="B49" s="383" t="s">
        <v>350</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09" t="str">
        <f>IFERROR(__xludf.DUMMYFUNCTION("""COMPUTED_VALUE"""),"③R8_6日報")</f>
        <v>③R8_6日報</v>
      </c>
      <c r="AT49" s="324"/>
      <c r="AU49" s="328"/>
      <c r="AV49" s="328"/>
      <c r="AW49" s="328"/>
      <c r="AX49" s="328"/>
      <c r="AY49" s="328"/>
      <c r="AZ49" s="328"/>
    </row>
    <row r="50">
      <c r="A50" s="324"/>
      <c r="B50" s="387" t="s">
        <v>351</v>
      </c>
      <c r="C50" s="378"/>
      <c r="D50" s="363"/>
      <c r="E50" s="363"/>
      <c r="F50" s="363"/>
      <c r="G50" s="364" t="s">
        <v>324</v>
      </c>
      <c r="H50" s="363"/>
      <c r="I50" s="363"/>
      <c r="J50" s="364" t="s">
        <v>324</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09" t="str">
        <f>IFERROR(__xludf.DUMMYFUNCTION("""COMPUTED_VALUE"""),"④R8_6月報")</f>
        <v>④R8_6月報</v>
      </c>
      <c r="AT50" s="324"/>
      <c r="AU50" s="328"/>
      <c r="AV50" s="328"/>
      <c r="AW50" s="328"/>
      <c r="AX50" s="328"/>
      <c r="AY50" s="328"/>
      <c r="AZ50" s="328"/>
    </row>
    <row r="51">
      <c r="A51" s="324"/>
      <c r="B51" s="385" t="s">
        <v>352</v>
      </c>
      <c r="C51" s="369"/>
      <c r="D51" s="139"/>
      <c r="E51" s="139"/>
      <c r="F51" s="139"/>
      <c r="G51" s="367" t="s">
        <v>329</v>
      </c>
      <c r="H51" s="139"/>
      <c r="I51" s="139"/>
      <c r="J51" s="367" t="s">
        <v>329</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09" t="str">
        <f>IFERROR(__xludf.DUMMYFUNCTION("""COMPUTED_VALUE"""),"⑤R8_6特殊メイク")</f>
        <v>⑤R8_6特殊メイク</v>
      </c>
      <c r="AT51" s="324"/>
      <c r="AU51" s="328"/>
      <c r="AV51" s="328"/>
      <c r="AW51" s="328"/>
      <c r="AX51" s="328"/>
      <c r="AY51" s="328"/>
      <c r="AZ51" s="328"/>
    </row>
    <row r="52">
      <c r="A52" s="324"/>
      <c r="B52" s="388" t="s">
        <v>353</v>
      </c>
      <c r="C52" s="389"/>
      <c r="D52" s="142"/>
      <c r="E52" s="142"/>
      <c r="F52" s="142"/>
      <c r="G52" s="390" t="s">
        <v>329</v>
      </c>
      <c r="H52" s="142"/>
      <c r="I52" s="142"/>
      <c r="J52" s="390" t="s">
        <v>329</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354</v>
      </c>
      <c r="C53" s="394" t="s">
        <v>355</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09" t="str">
        <f>IFERROR(__xludf.DUMMYFUNCTION("""COMPUTED_VALUE"""),"②R8_5シフト")</f>
        <v>②R8_5シフト</v>
      </c>
      <c r="AT53" s="324"/>
      <c r="AU53" s="328"/>
      <c r="AV53" s="328"/>
      <c r="AW53" s="328"/>
      <c r="AX53" s="328"/>
      <c r="AY53" s="328"/>
      <c r="AZ53" s="328"/>
    </row>
    <row r="54" ht="173.25" customHeight="1">
      <c r="A54" s="324"/>
      <c r="B54" s="396" t="s">
        <v>356</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09"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09"/>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09"/>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09"/>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09"/>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09"/>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09"/>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09"/>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09"/>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09"/>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09"/>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09"/>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09"/>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09"/>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09"/>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09"/>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09"/>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09"/>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09"/>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09"/>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09"/>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09"/>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09"/>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09"/>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09"/>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09"/>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357</v>
      </c>
    </row>
    <row r="2">
      <c r="C2" s="149"/>
    </row>
    <row r="3" ht="24.0" customHeight="1">
      <c r="A3" s="411"/>
      <c r="B3" s="412" t="s">
        <v>358</v>
      </c>
      <c r="C3" s="413"/>
    </row>
    <row r="4" ht="21.75" customHeight="1" outlineLevel="1">
      <c r="A4" s="414"/>
      <c r="B4" s="415" t="s">
        <v>296</v>
      </c>
      <c r="C4" s="416"/>
    </row>
    <row r="5" ht="21.75" customHeight="1" outlineLevel="1">
      <c r="A5" s="414"/>
      <c r="B5" s="417" t="s">
        <v>359</v>
      </c>
      <c r="C5" s="416"/>
    </row>
    <row r="6" ht="79.5" customHeight="1" outlineLevel="1">
      <c r="A6" s="414"/>
      <c r="B6" s="415" t="s">
        <v>360</v>
      </c>
      <c r="C6" s="416"/>
    </row>
    <row r="7" ht="21.75" customHeight="1" outlineLevel="1">
      <c r="A7" s="414"/>
      <c r="B7" s="417" t="s">
        <v>361</v>
      </c>
      <c r="C7" s="416"/>
    </row>
    <row r="8" ht="21.75" customHeight="1" outlineLevel="1">
      <c r="A8" s="414"/>
      <c r="B8" s="417" t="s">
        <v>362</v>
      </c>
      <c r="C8" s="416"/>
    </row>
    <row r="9" ht="21.75" customHeight="1" outlineLevel="1">
      <c r="A9" s="414"/>
      <c r="B9" s="417" t="s">
        <v>363</v>
      </c>
      <c r="C9" s="416"/>
    </row>
    <row r="10" ht="12.0" customHeight="1" outlineLevel="1">
      <c r="C10" s="149"/>
    </row>
    <row r="11" ht="24.0" customHeight="1">
      <c r="A11" s="411"/>
      <c r="B11" s="412" t="s">
        <v>364</v>
      </c>
      <c r="C11" s="413"/>
    </row>
    <row r="12" ht="21.75" customHeight="1" outlineLevel="1">
      <c r="A12" s="414"/>
      <c r="B12" s="415" t="s">
        <v>296</v>
      </c>
      <c r="C12" s="416"/>
    </row>
    <row r="13" ht="21.75" customHeight="1" outlineLevel="1">
      <c r="A13" s="414"/>
      <c r="B13" s="417" t="s">
        <v>359</v>
      </c>
      <c r="C13" s="416"/>
    </row>
    <row r="14" ht="79.5" customHeight="1" outlineLevel="1">
      <c r="A14" s="414"/>
      <c r="B14" s="415" t="s">
        <v>360</v>
      </c>
      <c r="C14" s="416"/>
    </row>
    <row r="15" ht="21.75" customHeight="1" outlineLevel="1">
      <c r="A15" s="414"/>
      <c r="B15" s="417" t="s">
        <v>361</v>
      </c>
      <c r="C15" s="416"/>
    </row>
    <row r="16" ht="21.75" customHeight="1" outlineLevel="1">
      <c r="A16" s="414"/>
      <c r="B16" s="417" t="s">
        <v>362</v>
      </c>
      <c r="C16" s="416"/>
    </row>
    <row r="17" ht="21.75" customHeight="1" outlineLevel="1">
      <c r="A17" s="414"/>
      <c r="B17" s="417" t="s">
        <v>363</v>
      </c>
      <c r="C17" s="416"/>
    </row>
    <row r="18" ht="12.0" customHeight="1" outlineLevel="1">
      <c r="C18" s="149"/>
    </row>
    <row r="19" ht="24.0" customHeight="1">
      <c r="A19" s="411"/>
      <c r="B19" s="412" t="s">
        <v>365</v>
      </c>
      <c r="C19" s="413"/>
    </row>
    <row r="20" ht="21.75" customHeight="1" outlineLevel="1">
      <c r="A20" s="414"/>
      <c r="B20" s="415" t="s">
        <v>296</v>
      </c>
      <c r="C20" s="416"/>
    </row>
    <row r="21" ht="21.75" customHeight="1" outlineLevel="1">
      <c r="A21" s="414"/>
      <c r="B21" s="417" t="s">
        <v>359</v>
      </c>
      <c r="C21" s="416"/>
    </row>
    <row r="22" ht="79.5" customHeight="1" outlineLevel="1">
      <c r="A22" s="414"/>
      <c r="B22" s="415" t="s">
        <v>360</v>
      </c>
      <c r="C22" s="416"/>
    </row>
    <row r="23" ht="21.75" customHeight="1" outlineLevel="1">
      <c r="A23" s="414"/>
      <c r="B23" s="417" t="s">
        <v>361</v>
      </c>
      <c r="C23" s="416"/>
    </row>
    <row r="24" ht="21.75" customHeight="1" outlineLevel="1">
      <c r="A24" s="414"/>
      <c r="B24" s="417" t="s">
        <v>362</v>
      </c>
      <c r="C24" s="416"/>
    </row>
    <row r="25" ht="21.75" customHeight="1" outlineLevel="1">
      <c r="A25" s="414"/>
      <c r="B25" s="417" t="s">
        <v>363</v>
      </c>
      <c r="C25" s="416"/>
    </row>
    <row r="26" ht="12.0" customHeight="1" outlineLevel="1">
      <c r="C26" s="149"/>
    </row>
    <row r="27" ht="24.0" customHeight="1">
      <c r="A27" s="411"/>
      <c r="B27" s="412" t="s">
        <v>366</v>
      </c>
      <c r="C27" s="413"/>
    </row>
    <row r="28" ht="21.75" customHeight="1" outlineLevel="1">
      <c r="A28" s="414"/>
      <c r="B28" s="415" t="s">
        <v>296</v>
      </c>
      <c r="C28" s="416"/>
    </row>
    <row r="29" ht="21.75" customHeight="1" outlineLevel="1">
      <c r="A29" s="414"/>
      <c r="B29" s="417" t="s">
        <v>359</v>
      </c>
      <c r="C29" s="416"/>
    </row>
    <row r="30" ht="79.5" customHeight="1" outlineLevel="1">
      <c r="A30" s="414"/>
      <c r="B30" s="415" t="s">
        <v>360</v>
      </c>
      <c r="C30" s="416"/>
    </row>
    <row r="31" ht="21.75" customHeight="1" outlineLevel="1">
      <c r="A31" s="414"/>
      <c r="B31" s="417" t="s">
        <v>361</v>
      </c>
      <c r="C31" s="416"/>
    </row>
    <row r="32" ht="21.75" customHeight="1" outlineLevel="1">
      <c r="A32" s="414"/>
      <c r="B32" s="417" t="s">
        <v>362</v>
      </c>
      <c r="C32" s="416"/>
    </row>
    <row r="33" ht="21.75" customHeight="1" outlineLevel="1">
      <c r="A33" s="414"/>
      <c r="B33" s="417" t="s">
        <v>363</v>
      </c>
      <c r="C33" s="416"/>
    </row>
    <row r="34" ht="12.0" customHeight="1" outlineLevel="1">
      <c r="C34" s="149"/>
    </row>
    <row r="35" ht="24.0" customHeight="1">
      <c r="A35" s="411"/>
      <c r="B35" s="412" t="s">
        <v>367</v>
      </c>
      <c r="C35" s="413"/>
    </row>
    <row r="36" ht="21.75" customHeight="1" outlineLevel="1">
      <c r="A36" s="414"/>
      <c r="B36" s="415" t="s">
        <v>296</v>
      </c>
      <c r="C36" s="416"/>
    </row>
    <row r="37" ht="21.75" customHeight="1" outlineLevel="1">
      <c r="A37" s="414"/>
      <c r="B37" s="417" t="s">
        <v>359</v>
      </c>
      <c r="C37" s="416"/>
    </row>
    <row r="38" ht="79.5" customHeight="1" outlineLevel="1">
      <c r="A38" s="414"/>
      <c r="B38" s="415" t="s">
        <v>360</v>
      </c>
      <c r="C38" s="416"/>
    </row>
    <row r="39" ht="21.75" customHeight="1" outlineLevel="1">
      <c r="A39" s="414"/>
      <c r="B39" s="417" t="s">
        <v>361</v>
      </c>
      <c r="C39" s="416"/>
    </row>
    <row r="40" ht="21.75" customHeight="1" outlineLevel="1">
      <c r="A40" s="414"/>
      <c r="B40" s="417" t="s">
        <v>362</v>
      </c>
      <c r="C40" s="416"/>
    </row>
    <row r="41" ht="21.75" customHeight="1" outlineLevel="1">
      <c r="A41" s="414"/>
      <c r="B41" s="417" t="s">
        <v>363</v>
      </c>
      <c r="C41" s="416"/>
    </row>
    <row r="42" ht="12.0" customHeight="1" outlineLevel="1">
      <c r="C42" s="149"/>
    </row>
    <row r="43" ht="24.0" customHeight="1">
      <c r="A43" s="411"/>
      <c r="B43" s="412" t="s">
        <v>368</v>
      </c>
      <c r="C43" s="413"/>
    </row>
    <row r="44" ht="21.75" customHeight="1" outlineLevel="1">
      <c r="A44" s="414"/>
      <c r="B44" s="415" t="s">
        <v>296</v>
      </c>
      <c r="C44" s="416"/>
    </row>
    <row r="45" ht="21.75" customHeight="1" outlineLevel="1">
      <c r="A45" s="414"/>
      <c r="B45" s="417" t="s">
        <v>359</v>
      </c>
      <c r="C45" s="416"/>
    </row>
    <row r="46" ht="79.5" customHeight="1" outlineLevel="1">
      <c r="A46" s="414"/>
      <c r="B46" s="415" t="s">
        <v>360</v>
      </c>
      <c r="C46" s="416"/>
    </row>
    <row r="47" ht="21.75" customHeight="1" outlineLevel="1">
      <c r="A47" s="414"/>
      <c r="B47" s="417" t="s">
        <v>361</v>
      </c>
      <c r="C47" s="416"/>
    </row>
    <row r="48" ht="21.75" customHeight="1" outlineLevel="1">
      <c r="A48" s="414"/>
      <c r="B48" s="417" t="s">
        <v>362</v>
      </c>
      <c r="C48" s="416"/>
    </row>
    <row r="49" ht="21.75" customHeight="1" outlineLevel="1">
      <c r="A49" s="414"/>
      <c r="B49" s="417" t="s">
        <v>363</v>
      </c>
      <c r="C49" s="416"/>
    </row>
    <row r="50" ht="12.0" customHeight="1" outlineLevel="1">
      <c r="C50" s="149"/>
    </row>
    <row r="51" ht="24.0" customHeight="1">
      <c r="A51" s="411"/>
      <c r="B51" s="412" t="s">
        <v>369</v>
      </c>
      <c r="C51" s="413"/>
    </row>
    <row r="52" ht="21.75" customHeight="1" outlineLevel="1">
      <c r="A52" s="414"/>
      <c r="B52" s="415" t="s">
        <v>296</v>
      </c>
      <c r="C52" s="416"/>
    </row>
    <row r="53" ht="21.75" customHeight="1" outlineLevel="1">
      <c r="A53" s="414"/>
      <c r="B53" s="417" t="s">
        <v>359</v>
      </c>
      <c r="C53" s="416"/>
    </row>
    <row r="54" ht="79.5" customHeight="1" outlineLevel="1">
      <c r="A54" s="414"/>
      <c r="B54" s="415" t="s">
        <v>360</v>
      </c>
      <c r="C54" s="416"/>
    </row>
    <row r="55" ht="21.75" customHeight="1" outlineLevel="1">
      <c r="A55" s="414"/>
      <c r="B55" s="417" t="s">
        <v>361</v>
      </c>
      <c r="C55" s="416"/>
    </row>
    <row r="56" ht="21.75" customHeight="1" outlineLevel="1">
      <c r="A56" s="414"/>
      <c r="B56" s="417" t="s">
        <v>362</v>
      </c>
      <c r="C56" s="416"/>
    </row>
    <row r="57" ht="21.75" customHeight="1" outlineLevel="1">
      <c r="A57" s="414"/>
      <c r="B57" s="417" t="s">
        <v>363</v>
      </c>
      <c r="C57" s="416"/>
    </row>
    <row r="58" ht="12.0" customHeight="1" outlineLevel="1">
      <c r="C58" s="149"/>
    </row>
    <row r="59" ht="24.0" customHeight="1">
      <c r="A59" s="411"/>
      <c r="B59" s="412" t="s">
        <v>370</v>
      </c>
      <c r="C59" s="413"/>
    </row>
    <row r="60" ht="21.75" customHeight="1" outlineLevel="1">
      <c r="A60" s="414"/>
      <c r="B60" s="415" t="s">
        <v>296</v>
      </c>
      <c r="C60" s="416"/>
    </row>
    <row r="61" ht="21.75" customHeight="1" outlineLevel="1">
      <c r="A61" s="414"/>
      <c r="B61" s="417" t="s">
        <v>359</v>
      </c>
      <c r="C61" s="416"/>
    </row>
    <row r="62" ht="79.5" customHeight="1" outlineLevel="1">
      <c r="A62" s="414"/>
      <c r="B62" s="415" t="s">
        <v>360</v>
      </c>
      <c r="C62" s="416"/>
    </row>
    <row r="63" ht="21.75" customHeight="1" outlineLevel="1">
      <c r="A63" s="414"/>
      <c r="B63" s="417" t="s">
        <v>361</v>
      </c>
      <c r="C63" s="416"/>
    </row>
    <row r="64" ht="21.75" customHeight="1" outlineLevel="1">
      <c r="A64" s="414"/>
      <c r="B64" s="417" t="s">
        <v>362</v>
      </c>
      <c r="C64" s="416"/>
    </row>
    <row r="65" ht="21.75" customHeight="1" outlineLevel="1">
      <c r="A65" s="414"/>
      <c r="B65" s="417" t="s">
        <v>363</v>
      </c>
      <c r="C65" s="416"/>
    </row>
    <row r="66" ht="12.0" customHeight="1" outlineLevel="1">
      <c r="C66" s="149"/>
    </row>
    <row r="67" ht="24.0" customHeight="1">
      <c r="A67" s="411"/>
      <c r="B67" s="412" t="s">
        <v>371</v>
      </c>
      <c r="C67" s="413"/>
    </row>
    <row r="68" ht="21.75" customHeight="1" outlineLevel="1">
      <c r="A68" s="414"/>
      <c r="B68" s="415" t="s">
        <v>296</v>
      </c>
      <c r="C68" s="416"/>
    </row>
    <row r="69" ht="21.75" customHeight="1" outlineLevel="1">
      <c r="A69" s="414"/>
      <c r="B69" s="417" t="s">
        <v>359</v>
      </c>
      <c r="C69" s="416"/>
    </row>
    <row r="70" ht="79.5" customHeight="1" outlineLevel="1">
      <c r="A70" s="414"/>
      <c r="B70" s="415" t="s">
        <v>360</v>
      </c>
      <c r="C70" s="416"/>
    </row>
    <row r="71" ht="21.75" customHeight="1" outlineLevel="1">
      <c r="A71" s="414"/>
      <c r="B71" s="417" t="s">
        <v>361</v>
      </c>
      <c r="C71" s="416"/>
    </row>
    <row r="72" ht="21.75" customHeight="1" outlineLevel="1">
      <c r="A72" s="414"/>
      <c r="B72" s="417" t="s">
        <v>362</v>
      </c>
      <c r="C72" s="416"/>
    </row>
    <row r="73" ht="21.75" customHeight="1" outlineLevel="1">
      <c r="A73" s="414"/>
      <c r="B73" s="417" t="s">
        <v>363</v>
      </c>
      <c r="C73" s="416"/>
    </row>
    <row r="74" ht="12.0" customHeight="1" outlineLevel="1">
      <c r="C74" s="149"/>
    </row>
    <row r="75" ht="24.0" customHeight="1">
      <c r="A75" s="411"/>
      <c r="B75" s="412" t="s">
        <v>372</v>
      </c>
      <c r="C75" s="413"/>
    </row>
    <row r="76" ht="21.75" customHeight="1" outlineLevel="1">
      <c r="A76" s="414"/>
      <c r="B76" s="415" t="s">
        <v>296</v>
      </c>
      <c r="C76" s="416"/>
    </row>
    <row r="77" ht="21.75" customHeight="1" outlineLevel="1">
      <c r="A77" s="414"/>
      <c r="B77" s="417" t="s">
        <v>359</v>
      </c>
      <c r="C77" s="416"/>
    </row>
    <row r="78" ht="79.5" customHeight="1" outlineLevel="1">
      <c r="A78" s="414"/>
      <c r="B78" s="415" t="s">
        <v>360</v>
      </c>
      <c r="C78" s="416"/>
    </row>
    <row r="79" ht="21.75" customHeight="1" outlineLevel="1">
      <c r="A79" s="414"/>
      <c r="B79" s="417" t="s">
        <v>361</v>
      </c>
      <c r="C79" s="416"/>
    </row>
    <row r="80" ht="21.75" customHeight="1" outlineLevel="1">
      <c r="A80" s="414"/>
      <c r="B80" s="417" t="s">
        <v>362</v>
      </c>
      <c r="C80" s="416"/>
    </row>
    <row r="81" ht="21.75" customHeight="1" outlineLevel="1">
      <c r="A81" s="414"/>
      <c r="B81" s="417" t="s">
        <v>363</v>
      </c>
      <c r="C81" s="416"/>
    </row>
    <row r="82" ht="12.0" customHeight="1" outlineLevel="1">
      <c r="C82" s="149"/>
    </row>
    <row r="83" ht="24.0" customHeight="1">
      <c r="A83" s="411"/>
      <c r="B83" s="412" t="s">
        <v>373</v>
      </c>
      <c r="C83" s="413"/>
    </row>
    <row r="84" ht="21.75" customHeight="1" outlineLevel="1">
      <c r="A84" s="414"/>
      <c r="B84" s="415" t="s">
        <v>296</v>
      </c>
      <c r="C84" s="416"/>
    </row>
    <row r="85" ht="21.75" customHeight="1" outlineLevel="1">
      <c r="A85" s="414"/>
      <c r="B85" s="417" t="s">
        <v>359</v>
      </c>
      <c r="C85" s="416"/>
    </row>
    <row r="86" ht="79.5" customHeight="1" outlineLevel="1">
      <c r="A86" s="414"/>
      <c r="B86" s="415" t="s">
        <v>360</v>
      </c>
      <c r="C86" s="416"/>
    </row>
    <row r="87" ht="21.75" customHeight="1" outlineLevel="1">
      <c r="A87" s="414"/>
      <c r="B87" s="417" t="s">
        <v>361</v>
      </c>
      <c r="C87" s="416"/>
    </row>
    <row r="88" ht="21.75" customHeight="1" outlineLevel="1">
      <c r="A88" s="414"/>
      <c r="B88" s="417" t="s">
        <v>362</v>
      </c>
      <c r="C88" s="416"/>
    </row>
    <row r="89" ht="21.75" customHeight="1" outlineLevel="1">
      <c r="A89" s="414"/>
      <c r="B89" s="417" t="s">
        <v>363</v>
      </c>
      <c r="C89" s="416"/>
    </row>
    <row r="90" ht="12.0" customHeight="1" outlineLevel="1">
      <c r="C90" s="149"/>
    </row>
    <row r="91" ht="24.0" customHeight="1">
      <c r="A91" s="411"/>
      <c r="B91" s="412" t="s">
        <v>374</v>
      </c>
      <c r="C91" s="413"/>
    </row>
    <row r="92" ht="21.75" customHeight="1" outlineLevel="1">
      <c r="A92" s="414"/>
      <c r="B92" s="415" t="s">
        <v>296</v>
      </c>
      <c r="C92" s="416"/>
    </row>
    <row r="93" ht="21.75" customHeight="1" outlineLevel="1">
      <c r="A93" s="414"/>
      <c r="B93" s="417" t="s">
        <v>359</v>
      </c>
      <c r="C93" s="416"/>
    </row>
    <row r="94" ht="79.5" customHeight="1" outlineLevel="1">
      <c r="A94" s="414"/>
      <c r="B94" s="415" t="s">
        <v>360</v>
      </c>
      <c r="C94" s="416"/>
    </row>
    <row r="95" ht="21.75" customHeight="1" outlineLevel="1">
      <c r="A95" s="414"/>
      <c r="B95" s="417" t="s">
        <v>361</v>
      </c>
      <c r="C95" s="416"/>
    </row>
    <row r="96" ht="21.75" customHeight="1" outlineLevel="1">
      <c r="A96" s="414"/>
      <c r="B96" s="417" t="s">
        <v>362</v>
      </c>
      <c r="C96" s="416"/>
    </row>
    <row r="97" ht="21.75" customHeight="1" outlineLevel="1">
      <c r="A97" s="414"/>
      <c r="B97" s="417" t="s">
        <v>363</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376</v>
      </c>
      <c r="O2" s="431"/>
      <c r="P2" s="432"/>
      <c r="Q2" s="433"/>
      <c r="R2" s="433"/>
      <c r="S2" s="434"/>
      <c r="T2" s="433"/>
      <c r="U2" s="433"/>
      <c r="V2" s="433"/>
      <c r="W2" s="433"/>
      <c r="X2" s="433"/>
      <c r="Y2" s="435"/>
      <c r="Z2" s="406"/>
      <c r="AA2" s="406"/>
      <c r="AB2" s="406"/>
      <c r="AC2" s="406"/>
      <c r="AD2" s="406"/>
      <c r="AE2" s="406"/>
      <c r="AF2" s="436"/>
      <c r="AG2" s="437"/>
      <c r="AH2" s="438"/>
      <c r="AI2" s="439" t="s">
        <v>377</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46147</v>
      </c>
      <c r="C7" s="510"/>
      <c r="D7" s="426"/>
      <c r="E7" s="511">
        <f>today()+1</f>
        <v>46148</v>
      </c>
      <c r="F7" s="9"/>
      <c r="G7" s="426"/>
      <c r="H7" s="426"/>
      <c r="I7" s="512" t="s">
        <v>414</v>
      </c>
      <c r="J7" s="513" t="s">
        <v>415</v>
      </c>
      <c r="K7" s="514">
        <v>46143.0</v>
      </c>
      <c r="L7" s="515" t="s">
        <v>416</v>
      </c>
      <c r="M7" s="516" t="s">
        <v>417</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火</v>
      </c>
      <c r="D8" s="255"/>
      <c r="E8" s="525" t="s">
        <v>426</v>
      </c>
      <c r="F8" s="526" t="str">
        <f>TEXT(E7,"ddd")</f>
        <v>水</v>
      </c>
      <c r="G8" s="328"/>
      <c r="H8" s="328"/>
      <c r="I8" s="512"/>
      <c r="J8" s="527" t="s">
        <v>3</v>
      </c>
      <c r="K8" s="515" t="s">
        <v>427</v>
      </c>
      <c r="L8" s="528" t="s">
        <v>428</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f t="shared" ref="F9:F102" si="7">if(E9="","", xlookup($E$7,$N$7:$AR$7,$N9:$AR9))</f>
        <v>10</v>
      </c>
      <c r="G9" s="328"/>
      <c r="H9" s="328"/>
      <c r="I9" s="309" t="b">
        <v>1</v>
      </c>
      <c r="J9" s="527"/>
      <c r="K9" s="534" t="s">
        <v>429</v>
      </c>
      <c r="L9" s="535" t="s">
        <v>430</v>
      </c>
      <c r="M9" s="536" t="s">
        <v>431</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
      </c>
      <c r="D11" s="328"/>
      <c r="E11" s="532" t="str">
        <f t="shared" si="6"/>
        <v>小沼</v>
      </c>
      <c r="F11" s="533" t="str">
        <f t="shared" si="7"/>
        <v>☆</v>
      </c>
      <c r="G11" s="328"/>
      <c r="H11" s="328"/>
      <c r="I11" s="309" t="b">
        <v>0</v>
      </c>
      <c r="J11" s="513"/>
      <c r="K11" s="534" t="s">
        <v>251</v>
      </c>
      <c r="L11" s="535" t="s">
        <v>434</v>
      </c>
      <c r="M11" s="541"/>
      <c r="N11" s="542"/>
      <c r="O11" s="543" t="s">
        <v>389</v>
      </c>
      <c r="P11" s="543" t="s">
        <v>389</v>
      </c>
      <c r="Q11" s="543" t="s">
        <v>389</v>
      </c>
      <c r="R11" s="543"/>
      <c r="S11" s="543" t="s">
        <v>389</v>
      </c>
      <c r="T11" s="544" t="s">
        <v>389</v>
      </c>
      <c r="U11" s="545" t="s">
        <v>389</v>
      </c>
      <c r="V11" s="546"/>
      <c r="W11" s="543" t="s">
        <v>389</v>
      </c>
      <c r="X11" s="545" t="s">
        <v>389</v>
      </c>
      <c r="Y11" s="543" t="s">
        <v>389</v>
      </c>
      <c r="Z11" s="543" t="s">
        <v>389</v>
      </c>
      <c r="AA11" s="547" t="s">
        <v>389</v>
      </c>
      <c r="AB11" s="543"/>
      <c r="AC11" s="543" t="s">
        <v>403</v>
      </c>
      <c r="AD11" s="543" t="s">
        <v>389</v>
      </c>
      <c r="AE11" s="543" t="s">
        <v>389</v>
      </c>
      <c r="AF11" s="543" t="s">
        <v>389</v>
      </c>
      <c r="AG11" s="543" t="s">
        <v>389</v>
      </c>
      <c r="AH11" s="543"/>
      <c r="AI11" s="543"/>
      <c r="AJ11" s="543"/>
      <c r="AK11" s="543" t="s">
        <v>389</v>
      </c>
      <c r="AL11" s="543" t="s">
        <v>389</v>
      </c>
      <c r="AM11" s="543" t="s">
        <v>389</v>
      </c>
      <c r="AN11" s="543" t="s">
        <v>389</v>
      </c>
      <c r="AO11" s="543" t="s">
        <v>389</v>
      </c>
      <c r="AP11" s="543"/>
      <c r="AQ11" s="543"/>
      <c r="AR11" s="542" t="s">
        <v>389</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
      </c>
      <c r="G12" s="328"/>
      <c r="H12" s="328"/>
      <c r="I12" s="309" t="b">
        <v>0</v>
      </c>
      <c r="J12" s="513"/>
      <c r="K12" s="534" t="s">
        <v>103</v>
      </c>
      <c r="L12" s="535" t="s">
        <v>435</v>
      </c>
      <c r="M12" s="541"/>
      <c r="N12" s="543" t="s">
        <v>389</v>
      </c>
      <c r="O12" s="543"/>
      <c r="P12" s="543" t="s">
        <v>389</v>
      </c>
      <c r="Q12" s="543" t="s">
        <v>389</v>
      </c>
      <c r="R12" s="543" t="s">
        <v>389</v>
      </c>
      <c r="S12" s="543"/>
      <c r="T12" s="544" t="s">
        <v>389</v>
      </c>
      <c r="U12" s="543" t="s">
        <v>389</v>
      </c>
      <c r="V12" s="543" t="s">
        <v>389</v>
      </c>
      <c r="W12" s="543" t="s">
        <v>389</v>
      </c>
      <c r="X12" s="543" t="s">
        <v>389</v>
      </c>
      <c r="Y12" s="543"/>
      <c r="Z12" s="543"/>
      <c r="AA12" s="543" t="s">
        <v>389</v>
      </c>
      <c r="AB12" s="543" t="s">
        <v>389</v>
      </c>
      <c r="AC12" s="543" t="s">
        <v>389</v>
      </c>
      <c r="AD12" s="543" t="s">
        <v>389</v>
      </c>
      <c r="AE12" s="543" t="s">
        <v>389</v>
      </c>
      <c r="AF12" s="543"/>
      <c r="AG12" s="543"/>
      <c r="AH12" s="543" t="s">
        <v>389</v>
      </c>
      <c r="AI12" s="543" t="s">
        <v>389</v>
      </c>
      <c r="AJ12" s="543" t="s">
        <v>389</v>
      </c>
      <c r="AK12" s="543" t="s">
        <v>389</v>
      </c>
      <c r="AL12" s="543" t="s">
        <v>389</v>
      </c>
      <c r="AM12" s="543"/>
      <c r="AN12" s="543"/>
      <c r="AO12" s="543"/>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09" t="b">
        <v>0</v>
      </c>
      <c r="J13" s="513"/>
      <c r="K13" s="534" t="s">
        <v>162</v>
      </c>
      <c r="L13" s="535" t="s">
        <v>436</v>
      </c>
      <c r="M13" s="541"/>
      <c r="N13" s="543" t="s">
        <v>389</v>
      </c>
      <c r="O13" s="543" t="s">
        <v>389</v>
      </c>
      <c r="P13" s="543"/>
      <c r="Q13" s="543"/>
      <c r="R13" s="543" t="s">
        <v>389</v>
      </c>
      <c r="S13" s="543" t="s">
        <v>389</v>
      </c>
      <c r="T13" s="544" t="s">
        <v>389</v>
      </c>
      <c r="U13" s="543" t="s">
        <v>389</v>
      </c>
      <c r="V13" s="543" t="s">
        <v>389</v>
      </c>
      <c r="W13" s="543"/>
      <c r="X13" s="543"/>
      <c r="Y13" s="543" t="s">
        <v>389</v>
      </c>
      <c r="Z13" s="543" t="s">
        <v>389</v>
      </c>
      <c r="AA13" s="543" t="s">
        <v>389</v>
      </c>
      <c r="AB13" s="543" t="s">
        <v>389</v>
      </c>
      <c r="AC13" s="543" t="s">
        <v>389</v>
      </c>
      <c r="AD13" s="543"/>
      <c r="AE13" s="543"/>
      <c r="AF13" s="543" t="s">
        <v>389</v>
      </c>
      <c r="AG13" s="543" t="s">
        <v>389</v>
      </c>
      <c r="AH13" s="543" t="s">
        <v>389</v>
      </c>
      <c r="AI13" s="543" t="s">
        <v>389</v>
      </c>
      <c r="AJ13" s="543" t="s">
        <v>389</v>
      </c>
      <c r="AK13" s="543"/>
      <c r="AL13" s="543"/>
      <c r="AM13" s="543" t="s">
        <v>389</v>
      </c>
      <c r="AN13" s="543" t="s">
        <v>389</v>
      </c>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v>
      </c>
      <c r="G14" s="328"/>
      <c r="H14" s="328"/>
      <c r="I14" s="309" t="b">
        <v>0</v>
      </c>
      <c r="J14" s="513"/>
      <c r="K14" s="534" t="s">
        <v>437</v>
      </c>
      <c r="L14" s="535" t="s">
        <v>436</v>
      </c>
      <c r="M14" s="541"/>
      <c r="N14" s="543"/>
      <c r="O14" s="543" t="s">
        <v>389</v>
      </c>
      <c r="P14" s="543"/>
      <c r="Q14" s="543"/>
      <c r="R14" s="543" t="s">
        <v>389</v>
      </c>
      <c r="S14" s="543" t="s">
        <v>389</v>
      </c>
      <c r="T14" s="544" t="s">
        <v>389</v>
      </c>
      <c r="U14" s="543"/>
      <c r="V14" s="542" t="s">
        <v>389</v>
      </c>
      <c r="W14" s="543"/>
      <c r="X14" s="543"/>
      <c r="Y14" s="543" t="s">
        <v>389</v>
      </c>
      <c r="Z14" s="543" t="s">
        <v>389</v>
      </c>
      <c r="AA14" s="543" t="s">
        <v>389</v>
      </c>
      <c r="AB14" s="543"/>
      <c r="AC14" s="543" t="s">
        <v>389</v>
      </c>
      <c r="AD14" s="543"/>
      <c r="AE14" s="543"/>
      <c r="AF14" s="543" t="s">
        <v>389</v>
      </c>
      <c r="AG14" s="543" t="s">
        <v>389</v>
      </c>
      <c r="AH14" s="543" t="s">
        <v>389</v>
      </c>
      <c r="AI14" s="543"/>
      <c r="AJ14" s="543" t="s">
        <v>389</v>
      </c>
      <c r="AK14" s="543"/>
      <c r="AL14" s="543"/>
      <c r="AM14" s="543" t="s">
        <v>389</v>
      </c>
      <c r="AN14" s="543" t="s">
        <v>389</v>
      </c>
      <c r="AO14" s="543" t="s">
        <v>389</v>
      </c>
      <c r="AP14" s="543"/>
      <c r="AQ14" s="543" t="s">
        <v>389</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09" t="b">
        <v>0</v>
      </c>
      <c r="J15" s="513"/>
      <c r="K15" s="534" t="s">
        <v>438</v>
      </c>
      <c r="L15" s="535" t="s">
        <v>436</v>
      </c>
      <c r="M15" s="541"/>
      <c r="N15" s="543" t="s">
        <v>389</v>
      </c>
      <c r="O15" s="543"/>
      <c r="P15" s="543"/>
      <c r="Q15" s="543"/>
      <c r="R15" s="543"/>
      <c r="S15" s="543"/>
      <c r="T15" s="544" t="s">
        <v>389</v>
      </c>
      <c r="U15" s="543"/>
      <c r="V15" s="543"/>
      <c r="W15" s="543"/>
      <c r="X15" s="543" t="s">
        <v>389</v>
      </c>
      <c r="Y15" s="543"/>
      <c r="Z15" s="543"/>
      <c r="AA15" s="543"/>
      <c r="AB15" s="543" t="s">
        <v>389</v>
      </c>
      <c r="AC15" s="543"/>
      <c r="AD15" s="553"/>
      <c r="AE15" s="543" t="s">
        <v>389</v>
      </c>
      <c r="AF15" s="543"/>
      <c r="AG15" s="543"/>
      <c r="AH15" s="543"/>
      <c r="AI15" s="543" t="s">
        <v>389</v>
      </c>
      <c r="AJ15" s="543"/>
      <c r="AK15" s="543"/>
      <c r="AL15" s="543" t="s">
        <v>389</v>
      </c>
      <c r="AM15" s="543"/>
      <c r="AN15" s="543"/>
      <c r="AO15" s="543"/>
      <c r="AP15" s="543" t="s">
        <v>389</v>
      </c>
      <c r="AQ15" s="543"/>
      <c r="AR15" s="543" t="s">
        <v>389</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09" t="b">
        <v>0</v>
      </c>
      <c r="J16" s="513"/>
      <c r="K16" s="534" t="s">
        <v>439</v>
      </c>
      <c r="L16" s="535"/>
      <c r="M16" s="541"/>
      <c r="N16" s="543"/>
      <c r="O16" s="543"/>
      <c r="P16" s="543" t="s">
        <v>389</v>
      </c>
      <c r="Q16" s="543" t="s">
        <v>389</v>
      </c>
      <c r="R16" s="543"/>
      <c r="S16" s="543"/>
      <c r="T16" s="543"/>
      <c r="U16" s="543"/>
      <c r="V16" s="543"/>
      <c r="W16" s="543" t="s">
        <v>389</v>
      </c>
      <c r="X16" s="543"/>
      <c r="Y16" s="543"/>
      <c r="Z16" s="543"/>
      <c r="AA16" s="543"/>
      <c r="AB16" s="543"/>
      <c r="AC16" s="543"/>
      <c r="AD16" s="543" t="s">
        <v>389</v>
      </c>
      <c r="AE16" s="543"/>
      <c r="AF16" s="543"/>
      <c r="AG16" s="543"/>
      <c r="AH16" s="543"/>
      <c r="AI16" s="543"/>
      <c r="AJ16" s="543"/>
      <c r="AK16" s="543" t="s">
        <v>389</v>
      </c>
      <c r="AL16" s="542"/>
      <c r="AM16" s="543"/>
      <c r="AN16" s="542"/>
      <c r="AO16" s="543"/>
      <c r="AP16" s="543"/>
      <c r="AQ16" s="543"/>
      <c r="AR16" s="543" t="s">
        <v>409</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共</v>
      </c>
      <c r="D18" s="328"/>
      <c r="E18" s="532" t="str">
        <f t="shared" si="6"/>
        <v>井本</v>
      </c>
      <c r="F18" s="533" t="str">
        <f t="shared" si="7"/>
        <v/>
      </c>
      <c r="G18" s="328"/>
      <c r="H18" s="328"/>
      <c r="I18" s="309" t="b">
        <v>0</v>
      </c>
      <c r="J18" s="513"/>
      <c r="K18" s="534" t="s">
        <v>440</v>
      </c>
      <c r="L18" s="535" t="s">
        <v>430</v>
      </c>
      <c r="M18" s="541"/>
      <c r="N18" s="543"/>
      <c r="O18" s="543"/>
      <c r="P18" s="543"/>
      <c r="Q18" s="543" t="s">
        <v>392</v>
      </c>
      <c r="R18" s="543" t="s">
        <v>392</v>
      </c>
      <c r="S18" s="543"/>
      <c r="T18" s="543" t="s">
        <v>392</v>
      </c>
      <c r="U18" s="543"/>
      <c r="V18" s="543"/>
      <c r="W18" s="543"/>
      <c r="X18" s="543" t="s">
        <v>392</v>
      </c>
      <c r="Y18" s="543" t="s">
        <v>392</v>
      </c>
      <c r="Z18" s="543"/>
      <c r="AA18" s="543" t="s">
        <v>392</v>
      </c>
      <c r="AB18" s="543"/>
      <c r="AC18" s="543"/>
      <c r="AD18" s="543"/>
      <c r="AE18" s="543"/>
      <c r="AF18" s="543" t="s">
        <v>392</v>
      </c>
      <c r="AG18" s="543"/>
      <c r="AH18" s="543" t="s">
        <v>392</v>
      </c>
      <c r="AI18" s="543"/>
      <c r="AJ18" s="543"/>
      <c r="AK18" s="543"/>
      <c r="AL18" s="543"/>
      <c r="AM18" s="543" t="s">
        <v>392</v>
      </c>
      <c r="AN18" s="543"/>
      <c r="AO18" s="543" t="s">
        <v>392</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09" t="b">
        <v>0</v>
      </c>
      <c r="J19" s="513"/>
      <c r="K19" s="534" t="s">
        <v>441</v>
      </c>
      <c r="L19" s="535" t="s">
        <v>430</v>
      </c>
      <c r="M19" s="541"/>
      <c r="N19" s="543"/>
      <c r="O19" s="543" t="s">
        <v>392</v>
      </c>
      <c r="P19" s="543" t="s">
        <v>392</v>
      </c>
      <c r="Q19" s="543"/>
      <c r="R19" s="543"/>
      <c r="S19" s="543"/>
      <c r="T19" s="543"/>
      <c r="U19" s="543"/>
      <c r="V19" s="543" t="s">
        <v>392</v>
      </c>
      <c r="W19" s="543" t="s">
        <v>392</v>
      </c>
      <c r="X19" s="543"/>
      <c r="Y19" s="543"/>
      <c r="Z19" s="543"/>
      <c r="AA19" s="543"/>
      <c r="AB19" s="543"/>
      <c r="AC19" s="543" t="s">
        <v>392</v>
      </c>
      <c r="AD19" s="543" t="s">
        <v>392</v>
      </c>
      <c r="AE19" s="543" t="s">
        <v>392</v>
      </c>
      <c r="AF19" s="543"/>
      <c r="AG19" s="537"/>
      <c r="AH19" s="543"/>
      <c r="AI19" s="543"/>
      <c r="AJ19" s="543" t="s">
        <v>392</v>
      </c>
      <c r="AK19" s="543" t="s">
        <v>392</v>
      </c>
      <c r="AL19" s="543" t="s">
        <v>392</v>
      </c>
      <c r="AM19" s="543"/>
      <c r="AN19" s="537"/>
      <c r="AO19" s="543"/>
      <c r="AP19" s="543"/>
      <c r="AQ19" s="543" t="s">
        <v>392</v>
      </c>
      <c r="AR19" s="543" t="s">
        <v>392</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f t="shared" si="7"/>
        <v>7</v>
      </c>
      <c r="G40" s="328"/>
      <c r="H40" s="328"/>
      <c r="I40" s="309" t="b">
        <v>0</v>
      </c>
      <c r="J40" s="513"/>
      <c r="K40" s="534" t="s">
        <v>442</v>
      </c>
      <c r="L40" s="535" t="s">
        <v>443</v>
      </c>
      <c r="M40" s="536" t="s">
        <v>303</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f t="shared" si="7"/>
        <v>0</v>
      </c>
      <c r="G41" s="328"/>
      <c r="H41" s="328"/>
      <c r="I41" s="309" t="b">
        <v>0</v>
      </c>
      <c r="J41" s="513"/>
      <c r="K41" s="534" t="s">
        <v>444</v>
      </c>
      <c r="L41" s="535" t="s">
        <v>436</v>
      </c>
      <c r="M41" s="536" t="s">
        <v>392</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09" t="b">
        <v>0</v>
      </c>
      <c r="J44" s="513"/>
      <c r="K44" s="534" t="s">
        <v>81</v>
      </c>
      <c r="L44" s="535" t="s">
        <v>443</v>
      </c>
      <c r="M44" s="541"/>
      <c r="N44" s="543" t="s">
        <v>303</v>
      </c>
      <c r="O44" s="543" t="s">
        <v>303</v>
      </c>
      <c r="P44" s="543" t="s">
        <v>303</v>
      </c>
      <c r="Q44" s="543" t="s">
        <v>303</v>
      </c>
      <c r="R44" s="543" t="s">
        <v>303</v>
      </c>
      <c r="S44" s="543" t="s">
        <v>303</v>
      </c>
      <c r="T44" s="543" t="s">
        <v>411</v>
      </c>
      <c r="U44" s="543" t="s">
        <v>303</v>
      </c>
      <c r="V44" s="543" t="s">
        <v>303</v>
      </c>
      <c r="W44" s="543" t="s">
        <v>303</v>
      </c>
      <c r="X44" s="543" t="s">
        <v>303</v>
      </c>
      <c r="Y44" s="543" t="s">
        <v>303</v>
      </c>
      <c r="Z44" s="543" t="s">
        <v>303</v>
      </c>
      <c r="AA44" s="543"/>
      <c r="AB44" s="543" t="s">
        <v>303</v>
      </c>
      <c r="AC44" s="543" t="s">
        <v>303</v>
      </c>
      <c r="AD44" s="543" t="s">
        <v>303</v>
      </c>
      <c r="AE44" s="543" t="s">
        <v>303</v>
      </c>
      <c r="AF44" s="543" t="s">
        <v>303</v>
      </c>
      <c r="AG44" s="543" t="s">
        <v>303</v>
      </c>
      <c r="AH44" s="543"/>
      <c r="AI44" s="543" t="s">
        <v>303</v>
      </c>
      <c r="AJ44" s="543" t="s">
        <v>303</v>
      </c>
      <c r="AK44" s="543" t="s">
        <v>303</v>
      </c>
      <c r="AL44" s="543" t="s">
        <v>303</v>
      </c>
      <c r="AM44" s="543" t="s">
        <v>303</v>
      </c>
      <c r="AN44" s="543" t="s">
        <v>303</v>
      </c>
      <c r="AO44" s="543"/>
      <c r="AP44" s="543" t="s">
        <v>303</v>
      </c>
      <c r="AQ44" s="543" t="s">
        <v>303</v>
      </c>
      <c r="AR44" s="543" t="s">
        <v>303</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09" t="b">
        <v>0</v>
      </c>
      <c r="J45" s="513"/>
      <c r="K45" s="534" t="s">
        <v>38</v>
      </c>
      <c r="L45" s="535" t="s">
        <v>443</v>
      </c>
      <c r="M45" s="541"/>
      <c r="N45" s="543" t="s">
        <v>303</v>
      </c>
      <c r="O45" s="543" t="s">
        <v>303</v>
      </c>
      <c r="P45" s="543" t="s">
        <v>303</v>
      </c>
      <c r="Q45" s="543"/>
      <c r="R45" s="543" t="s">
        <v>303</v>
      </c>
      <c r="S45" s="543" t="s">
        <v>303</v>
      </c>
      <c r="T45" s="543" t="s">
        <v>303</v>
      </c>
      <c r="U45" s="543" t="s">
        <v>303</v>
      </c>
      <c r="V45" s="543" t="s">
        <v>303</v>
      </c>
      <c r="W45" s="543" t="s">
        <v>303</v>
      </c>
      <c r="X45" s="543"/>
      <c r="Y45" s="543" t="s">
        <v>303</v>
      </c>
      <c r="Z45" s="543" t="s">
        <v>303</v>
      </c>
      <c r="AA45" s="543" t="s">
        <v>303</v>
      </c>
      <c r="AB45" s="543" t="s">
        <v>303</v>
      </c>
      <c r="AC45" s="543" t="s">
        <v>303</v>
      </c>
      <c r="AD45" s="543" t="s">
        <v>303</v>
      </c>
      <c r="AE45" s="543"/>
      <c r="AF45" s="543" t="s">
        <v>303</v>
      </c>
      <c r="AG45" s="543" t="s">
        <v>303</v>
      </c>
      <c r="AH45" s="543" t="s">
        <v>303</v>
      </c>
      <c r="AI45" s="543" t="s">
        <v>303</v>
      </c>
      <c r="AJ45" s="543" t="s">
        <v>303</v>
      </c>
      <c r="AK45" s="543" t="s">
        <v>303</v>
      </c>
      <c r="AL45" s="543"/>
      <c r="AM45" s="543" t="s">
        <v>303</v>
      </c>
      <c r="AN45" s="543" t="s">
        <v>303</v>
      </c>
      <c r="AO45" s="543" t="s">
        <v>303</v>
      </c>
      <c r="AP45" s="543" t="s">
        <v>303</v>
      </c>
      <c r="AQ45" s="543" t="s">
        <v>303</v>
      </c>
      <c r="AR45" s="543" t="s">
        <v>303</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09" t="b">
        <v>0</v>
      </c>
      <c r="J46" s="513"/>
      <c r="K46" s="534" t="s">
        <v>45</v>
      </c>
      <c r="L46" s="535" t="s">
        <v>443</v>
      </c>
      <c r="M46" s="541"/>
      <c r="N46" s="543" t="s">
        <v>303</v>
      </c>
      <c r="O46" s="543" t="s">
        <v>303</v>
      </c>
      <c r="P46" s="543" t="s">
        <v>303</v>
      </c>
      <c r="Q46" s="543"/>
      <c r="R46" s="543" t="s">
        <v>303</v>
      </c>
      <c r="S46" s="543" t="s">
        <v>303</v>
      </c>
      <c r="T46" s="543" t="s">
        <v>303</v>
      </c>
      <c r="U46" s="543" t="s">
        <v>303</v>
      </c>
      <c r="V46" s="543" t="s">
        <v>303</v>
      </c>
      <c r="W46" s="543" t="s">
        <v>303</v>
      </c>
      <c r="X46" s="543"/>
      <c r="Y46" s="543" t="s">
        <v>303</v>
      </c>
      <c r="Z46" s="543" t="s">
        <v>303</v>
      </c>
      <c r="AA46" s="543" t="s">
        <v>303</v>
      </c>
      <c r="AB46" s="543" t="s">
        <v>303</v>
      </c>
      <c r="AC46" s="543" t="s">
        <v>303</v>
      </c>
      <c r="AD46" s="543" t="s">
        <v>303</v>
      </c>
      <c r="AE46" s="543"/>
      <c r="AF46" s="543" t="s">
        <v>303</v>
      </c>
      <c r="AG46" s="543" t="s">
        <v>303</v>
      </c>
      <c r="AH46" s="543" t="s">
        <v>303</v>
      </c>
      <c r="AI46" s="543" t="s">
        <v>303</v>
      </c>
      <c r="AJ46" s="543" t="s">
        <v>303</v>
      </c>
      <c r="AK46" s="543" t="s">
        <v>303</v>
      </c>
      <c r="AL46" s="543"/>
      <c r="AM46" s="543" t="s">
        <v>303</v>
      </c>
      <c r="AN46" s="543" t="s">
        <v>303</v>
      </c>
      <c r="AO46" s="543" t="s">
        <v>303</v>
      </c>
      <c r="AP46" s="543" t="s">
        <v>303</v>
      </c>
      <c r="AQ46" s="543" t="s">
        <v>303</v>
      </c>
      <c r="AR46" s="543" t="s">
        <v>303</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09" t="b">
        <v>0</v>
      </c>
      <c r="J47" s="513"/>
      <c r="K47" s="534" t="s">
        <v>65</v>
      </c>
      <c r="L47" s="535" t="s">
        <v>443</v>
      </c>
      <c r="M47" s="541"/>
      <c r="N47" s="543"/>
      <c r="O47" s="543" t="s">
        <v>303</v>
      </c>
      <c r="P47" s="543" t="s">
        <v>303</v>
      </c>
      <c r="Q47" s="543" t="s">
        <v>303</v>
      </c>
      <c r="R47" s="543" t="s">
        <v>303</v>
      </c>
      <c r="S47" s="543" t="s">
        <v>303</v>
      </c>
      <c r="T47" s="543" t="s">
        <v>303</v>
      </c>
      <c r="U47" s="543"/>
      <c r="V47" s="543" t="s">
        <v>303</v>
      </c>
      <c r="W47" s="543" t="s">
        <v>303</v>
      </c>
      <c r="X47" s="543" t="s">
        <v>303</v>
      </c>
      <c r="Y47" s="543" t="s">
        <v>303</v>
      </c>
      <c r="Z47" s="543" t="s">
        <v>303</v>
      </c>
      <c r="AA47" s="543" t="s">
        <v>303</v>
      </c>
      <c r="AB47" s="543"/>
      <c r="AC47" s="543" t="s">
        <v>303</v>
      </c>
      <c r="AD47" s="543" t="s">
        <v>303</v>
      </c>
      <c r="AE47" s="543" t="s">
        <v>303</v>
      </c>
      <c r="AF47" s="543" t="s">
        <v>303</v>
      </c>
      <c r="AG47" s="543" t="s">
        <v>303</v>
      </c>
      <c r="AH47" s="543" t="s">
        <v>303</v>
      </c>
      <c r="AI47" s="543"/>
      <c r="AJ47" s="543" t="s">
        <v>303</v>
      </c>
      <c r="AK47" s="543" t="s">
        <v>303</v>
      </c>
      <c r="AL47" s="543" t="s">
        <v>303</v>
      </c>
      <c r="AM47" s="543" t="s">
        <v>303</v>
      </c>
      <c r="AN47" s="543" t="s">
        <v>303</v>
      </c>
      <c r="AO47" s="543" t="s">
        <v>303</v>
      </c>
      <c r="AP47" s="543"/>
      <c r="AQ47" s="543" t="s">
        <v>303</v>
      </c>
      <c r="AR47" s="543" t="s">
        <v>303</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09" t="b">
        <v>0</v>
      </c>
      <c r="J48" s="513"/>
      <c r="K48" s="534" t="s">
        <v>137</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t="s">
        <v>303</v>
      </c>
      <c r="AQ48" s="543"/>
      <c r="AR48" s="543" t="s">
        <v>303</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
      </c>
      <c r="D49" s="328"/>
      <c r="E49" s="532" t="str">
        <f t="shared" si="6"/>
        <v>オニタ</v>
      </c>
      <c r="F49" s="533" t="str">
        <f t="shared" si="7"/>
        <v>〇</v>
      </c>
      <c r="G49" s="328"/>
      <c r="H49" s="328"/>
      <c r="I49" s="309" t="b">
        <v>0</v>
      </c>
      <c r="J49" s="513"/>
      <c r="K49" s="534" t="s">
        <v>258</v>
      </c>
      <c r="L49" s="535" t="s">
        <v>443</v>
      </c>
      <c r="M49" s="541"/>
      <c r="N49" s="543" t="s">
        <v>303</v>
      </c>
      <c r="O49" s="543" t="s">
        <v>303</v>
      </c>
      <c r="P49" s="543" t="s">
        <v>303</v>
      </c>
      <c r="Q49" s="543" t="s">
        <v>303</v>
      </c>
      <c r="R49" s="543"/>
      <c r="S49" s="543" t="s">
        <v>303</v>
      </c>
      <c r="T49" s="543" t="s">
        <v>303</v>
      </c>
      <c r="U49" s="543" t="s">
        <v>303</v>
      </c>
      <c r="V49" s="543" t="s">
        <v>303</v>
      </c>
      <c r="W49" s="543" t="s">
        <v>303</v>
      </c>
      <c r="X49" s="543" t="s">
        <v>303</v>
      </c>
      <c r="Y49" s="543"/>
      <c r="Z49" s="543" t="s">
        <v>303</v>
      </c>
      <c r="AA49" s="543" t="s">
        <v>303</v>
      </c>
      <c r="AB49" s="543" t="s">
        <v>303</v>
      </c>
      <c r="AC49" s="543" t="s">
        <v>303</v>
      </c>
      <c r="AD49" s="543" t="s">
        <v>303</v>
      </c>
      <c r="AE49" s="543" t="s">
        <v>303</v>
      </c>
      <c r="AF49" s="543" t="s">
        <v>303</v>
      </c>
      <c r="AG49" s="543" t="s">
        <v>303</v>
      </c>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
      </c>
      <c r="D50" s="328"/>
      <c r="E50" s="532" t="str">
        <f t="shared" si="6"/>
        <v>タパ</v>
      </c>
      <c r="F50" s="533" t="str">
        <f t="shared" si="7"/>
        <v/>
      </c>
      <c r="G50" s="328"/>
      <c r="H50" s="328"/>
      <c r="I50" s="309" t="b">
        <v>0</v>
      </c>
      <c r="J50" s="513"/>
      <c r="K50" s="534" t="s">
        <v>166</v>
      </c>
      <c r="L50" s="535" t="s">
        <v>443</v>
      </c>
      <c r="M50" s="541"/>
      <c r="N50" s="543" t="s">
        <v>303</v>
      </c>
      <c r="O50" s="543" t="s">
        <v>303</v>
      </c>
      <c r="P50" s="543"/>
      <c r="Q50" s="543" t="s">
        <v>303</v>
      </c>
      <c r="R50" s="543"/>
      <c r="S50" s="543"/>
      <c r="T50" s="543" t="s">
        <v>303</v>
      </c>
      <c r="U50" s="543" t="s">
        <v>303</v>
      </c>
      <c r="V50" s="543" t="s">
        <v>303</v>
      </c>
      <c r="W50" s="543"/>
      <c r="X50" s="543" t="s">
        <v>303</v>
      </c>
      <c r="Y50" s="543"/>
      <c r="Z50" s="543"/>
      <c r="AA50" s="543" t="s">
        <v>303</v>
      </c>
      <c r="AB50" s="543" t="s">
        <v>303</v>
      </c>
      <c r="AC50" s="543" t="s">
        <v>303</v>
      </c>
      <c r="AD50" s="543"/>
      <c r="AE50" s="543" t="s">
        <v>303</v>
      </c>
      <c r="AF50" s="543"/>
      <c r="AG50" s="543"/>
      <c r="AH50" s="543" t="s">
        <v>303</v>
      </c>
      <c r="AI50" s="543" t="s">
        <v>303</v>
      </c>
      <c r="AJ50" s="543" t="s">
        <v>303</v>
      </c>
      <c r="AK50" s="543"/>
      <c r="AL50" s="543" t="s">
        <v>303</v>
      </c>
      <c r="AM50" s="543"/>
      <c r="AN50" s="543"/>
      <c r="AO50" s="543" t="s">
        <v>303</v>
      </c>
      <c r="AP50" s="543" t="s">
        <v>303</v>
      </c>
      <c r="AQ50" s="543" t="s">
        <v>303</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〇</v>
      </c>
      <c r="D51" s="328"/>
      <c r="E51" s="532" t="str">
        <f t="shared" si="6"/>
        <v>サビタ</v>
      </c>
      <c r="F51" s="533" t="str">
        <f t="shared" si="7"/>
        <v>〇</v>
      </c>
      <c r="G51" s="328"/>
      <c r="H51" s="328"/>
      <c r="I51" s="309" t="b">
        <v>0</v>
      </c>
      <c r="J51" s="513"/>
      <c r="K51" s="534" t="s">
        <v>449</v>
      </c>
      <c r="L51" s="535" t="s">
        <v>450</v>
      </c>
      <c r="M51" s="536"/>
      <c r="N51" s="543" t="s">
        <v>303</v>
      </c>
      <c r="O51" s="543"/>
      <c r="P51" s="543"/>
      <c r="Q51" s="543" t="s">
        <v>303</v>
      </c>
      <c r="R51" s="543" t="s">
        <v>303</v>
      </c>
      <c r="S51" s="543" t="s">
        <v>303</v>
      </c>
      <c r="T51" s="543" t="s">
        <v>303</v>
      </c>
      <c r="U51" s="543"/>
      <c r="V51" s="543"/>
      <c r="W51" s="543"/>
      <c r="X51" s="543" t="s">
        <v>303</v>
      </c>
      <c r="Y51" s="543" t="s">
        <v>303</v>
      </c>
      <c r="Z51" s="543" t="s">
        <v>303</v>
      </c>
      <c r="AA51" s="543" t="s">
        <v>303</v>
      </c>
      <c r="AB51" s="543"/>
      <c r="AC51" s="543"/>
      <c r="AD51" s="543"/>
      <c r="AE51" s="543" t="s">
        <v>303</v>
      </c>
      <c r="AF51" s="543" t="s">
        <v>303</v>
      </c>
      <c r="AG51" s="543" t="s">
        <v>303</v>
      </c>
      <c r="AH51" s="543" t="s">
        <v>303</v>
      </c>
      <c r="AI51" s="543"/>
      <c r="AJ51" s="543"/>
      <c r="AK51" s="543"/>
      <c r="AL51" s="543" t="s">
        <v>303</v>
      </c>
      <c r="AM51" s="543" t="s">
        <v>303</v>
      </c>
      <c r="AN51" s="543" t="s">
        <v>303</v>
      </c>
      <c r="AO51" s="543" t="s">
        <v>303</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575817.0968</v>
      </c>
      <c r="D1" s="563">
        <f>AZ20</f>
        <v>127354.8387</v>
      </c>
      <c r="E1" s="563">
        <f>BG23</f>
        <v>253657.3333</v>
      </c>
      <c r="F1" s="563">
        <f>BB23+BG40</f>
        <v>0</v>
      </c>
      <c r="G1" s="563">
        <f t="shared" ref="G1:H1" si="1">I8</f>
        <v>19602.58065</v>
      </c>
      <c r="H1" s="563">
        <f t="shared" si="1"/>
        <v>0</v>
      </c>
      <c r="I1" s="564">
        <f>G8</f>
        <v>0.7212230216</v>
      </c>
      <c r="J1" s="564">
        <f>AT7</f>
        <v>0.001798561151</v>
      </c>
      <c r="K1" s="565">
        <f>AV44</f>
        <v>1</v>
      </c>
      <c r="L1" s="566">
        <f>F44</f>
        <v>401</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46143.0</v>
      </c>
      <c r="E5" s="213"/>
      <c r="F5" s="580" t="s">
        <v>455</v>
      </c>
      <c r="G5" s="581">
        <f>DAY(EOMONTH(D5,0))</f>
        <v>31</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0.2331471791</v>
      </c>
      <c r="D7" s="213"/>
      <c r="E7" s="603">
        <f>AU12</f>
        <v>0.5419923786</v>
      </c>
      <c r="F7" s="213"/>
      <c r="G7" s="604" t="s">
        <v>472</v>
      </c>
      <c r="H7" s="605">
        <f t="array" ref="H7">xlookup($D$5,'🌟目標数値'!$A$3:$A$14,'🌟目標数値'!D$3:D14)</f>
        <v>4368265</v>
      </c>
      <c r="I7" s="605" t="s">
        <v>472</v>
      </c>
      <c r="J7" s="606" t="s">
        <v>472</v>
      </c>
      <c r="K7" s="607" t="s">
        <v>472</v>
      </c>
      <c r="L7" s="607" t="s">
        <v>472</v>
      </c>
      <c r="M7" s="608">
        <f t="array" ref="M7">xlookup($D$5,'🌟目標数値'!$A$3:$A$14,'🌟目標数値'!E$3:E14)</f>
        <v>1018448.662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0.001798561151</v>
      </c>
      <c r="AU7" s="213"/>
      <c r="AV7" s="610">
        <f>IFERROR(__xludf.DUMMYFUNCTION("IMPORTRANGE(AT9,""日別集計!AI4"")"),15.0)</f>
        <v>15</v>
      </c>
      <c r="AW7" s="213"/>
      <c r="AX7" s="597"/>
      <c r="AY7" s="611"/>
      <c r="BG7" s="612"/>
      <c r="BL7" s="144"/>
    </row>
    <row r="8" ht="15.75" customHeight="1" outlineLevel="1">
      <c r="B8" s="613" t="s">
        <v>473</v>
      </c>
      <c r="C8" s="614">
        <f>M8/H8</f>
        <v>0.3042673534</v>
      </c>
      <c r="D8" s="213"/>
      <c r="E8" s="615">
        <f>(BB23+BG23-BE24)/H8</f>
        <v>0.4405171968</v>
      </c>
      <c r="F8" s="213"/>
      <c r="G8" s="616">
        <f>F47</f>
        <v>0.7212230216</v>
      </c>
      <c r="H8" s="617">
        <f>BB30</f>
        <v>575817.0968</v>
      </c>
      <c r="I8" s="618">
        <f>IFERROR(__xludf.DUMMYFUNCTION("IMPORTRANGE(""https://docs.google.com/spreadsheets/d/1QbHfX9wvC_RRupa4CCe_ZxA6O4e2Ap9vqX5hrZPeQRg/edit"",""date2_1!S5"")/G5*COUNTIFS($E$13:$E$43,""&gt;0"")"),19602.58064516129)</f>
        <v>19602.58065</v>
      </c>
      <c r="J8" s="619">
        <f>IFERROR(__xludf.DUMMYFUNCTION("IMPORTRANGE(""https://docs.google.com/spreadsheets/d/1PIAlDmsTatDNi42y_Nu-aVFqvVCXfe6jiDJFQImKjZ0/edit#gid=630612029"",""R8_5!J7"")"),0.0)</f>
        <v>0</v>
      </c>
      <c r="K8" s="620">
        <f>BE24</f>
        <v>0</v>
      </c>
      <c r="L8" s="620">
        <f>BB30-BB23-AZ20-BG45-BG23+BE24</f>
        <v>194804.9247</v>
      </c>
      <c r="M8" s="621">
        <f>L8-I8</f>
        <v>175202.3441</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563647.0968</v>
      </c>
      <c r="I9" s="631" t="s">
        <v>472</v>
      </c>
      <c r="J9" s="632" t="s">
        <v>472</v>
      </c>
      <c r="K9" s="633" t="s">
        <v>472</v>
      </c>
      <c r="L9" s="633" t="s">
        <v>472</v>
      </c>
      <c r="M9" s="634">
        <f>M7/G5*COUNTIFS($E$11:$E$41,"&gt;0")</f>
        <v>131412.7306</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46143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0.5419923786</v>
      </c>
      <c r="AV12" s="654"/>
      <c r="AW12" s="654"/>
      <c r="AX12" s="573"/>
      <c r="AY12" s="657" t="s">
        <v>523</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IFERROR(__xludf.DUMMYFUNCTION("FLATTEN('⚙️抽出用'!B6:AF6)"),55875.0)</f>
        <v>55875</v>
      </c>
      <c r="AU13" s="670">
        <f t="shared" ref="AU13:AU43" si="7">if(E13="","",iferror((AT13+AR13+$BF$23/if(month($D$5)=month(today()),day(today()),$G$5))/(AS13+(sum($BA$31:$BA$34)/$G$5)),""))</f>
        <v>0.4494174439</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0.4464149544</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f t="shared" si="3"/>
        <v>139</v>
      </c>
      <c r="F15" s="660">
        <f t="shared" si="4"/>
        <v>99</v>
      </c>
      <c r="G15" s="678">
        <v>122.0</v>
      </c>
      <c r="H15" s="679">
        <v>23.0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109330</v>
      </c>
      <c r="AT15" s="669">
        <f>IFERROR(__xludf.DUMMYFUNCTION("""COMPUTED_VALUE"""),69601.66666666666)</f>
        <v>69601.66667</v>
      </c>
      <c r="AU15" s="670">
        <f t="shared" si="7"/>
        <v>0.5167428354</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f t="shared" si="3"/>
        <v>139</v>
      </c>
      <c r="F16" s="660">
        <f t="shared" si="4"/>
        <v>106</v>
      </c>
      <c r="G16" s="678">
        <v>121.0</v>
      </c>
      <c r="H16" s="679">
        <v>15.0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117020</v>
      </c>
      <c r="AT16" s="669">
        <f>IFERROR(__xludf.DUMMYFUNCTION("""COMPUTED_VALUE"""),52280.0)</f>
        <v>52280</v>
      </c>
      <c r="AU16" s="670">
        <f t="shared" si="7"/>
        <v>0.3721634845</v>
      </c>
      <c r="AV16" s="660">
        <f>countifs('🔵クレーム'!$C:$C,MONTH($D$5)&amp;"月",'🔵クレーム'!$D:$D,day(C16)&amp;"日",'🔵クレーム'!$I:$I,"&lt;&gt;")</f>
        <v>1</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IFERROR(__xludf.DUMMYFUNCTION("""COMPUTED_VALUE"""),0.0)</f>
        <v>0</v>
      </c>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IFERROR(__xludf.DUMMYFUNCTION("""COMPUTED_VALUE"""),0.0)</f>
        <v>0</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IFERROR(__xludf.DUMMYFUNCTION("IMPORTRANGE(""https://docs.google.com/spreadsheets/d/1QbHfX9wvC_RRupa4CCe_ZxA6O4e2Ap9vqX5hrZPeQRg/edit?gid=284905409#gid=284905409"",""date2_1!E5"")/G5*COUNTIFS($E$13:$E$43,""&gt;0"")+sum(AZ14:BA19)"),127354.83870967742)</f>
        <v>127354.8387</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IFERROR(__xludf.DUMMYFUNCTION("IMPORTRANGE(AT9,""total!ai2"")"),240973.33333333334)</f>
        <v>240973.3333</v>
      </c>
      <c r="BF23" s="705">
        <f>IFERROR(__xludf.DUMMYFUNCTION("IMPORTRANGE(AT9,""total!an2"")"),12684.0)</f>
        <v>12684</v>
      </c>
      <c r="BG23" s="703">
        <f>sum(BE23:BF27)+BE20</f>
        <v>253657.3333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541</v>
      </c>
      <c r="AZ30" s="705">
        <f>AS46</f>
        <v>443070</v>
      </c>
      <c r="BA30" s="718" t="s">
        <v>472</v>
      </c>
      <c r="BB30" s="703">
        <f>SUM(AZ30:AZ36)</f>
        <v>575817.0968</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545</v>
      </c>
      <c r="AZ31" s="705">
        <f t="shared" ref="AZ31:AZ34" si="9">BA31/$G$5*COUNTIFS($E$13:$E$43,"&gt;0")</f>
        <v>45161.29032</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547</v>
      </c>
      <c r="AZ32" s="705">
        <f t="shared" si="9"/>
        <v>19354.83871</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549</v>
      </c>
      <c r="AZ33" s="705">
        <f t="shared" si="9"/>
        <v>19612.90323</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551</v>
      </c>
      <c r="AZ34" s="705">
        <f t="shared" si="9"/>
        <v>36960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552</v>
      </c>
      <c r="AZ36" s="705">
        <f>BA36/$G$5*COUNTIFS($E$13:$E$43,"&gt;0")</f>
        <v>11658.06452</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46171</v>
      </c>
      <c r="D41" s="660" t="str">
        <f t="shared" si="2"/>
        <v>金</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556</v>
      </c>
      <c r="F44" s="747">
        <f t="shared" ref="F44:AB44" si="11">SUM(F13:F43)</f>
        <v>401</v>
      </c>
      <c r="G44" s="747">
        <f t="shared" si="11"/>
        <v>489</v>
      </c>
      <c r="H44" s="747">
        <f t="shared" si="11"/>
        <v>88</v>
      </c>
      <c r="I44" s="747">
        <f t="shared" si="11"/>
        <v>70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443070</v>
      </c>
      <c r="AT44" s="750">
        <f t="shared" si="12"/>
        <v>240973.3333</v>
      </c>
      <c r="AU44" s="751">
        <f>AVERAGE(AU13:AU43)</f>
        <v>0.4461846796</v>
      </c>
      <c r="AV44" s="747">
        <f t="shared" ref="AV44:AW44" si="13">sum(AV13:AV43)</f>
        <v>1</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523230</v>
      </c>
      <c r="H46" s="768">
        <f t="shared" si="14"/>
        <v>-94160</v>
      </c>
      <c r="I46" s="768">
        <f t="shared" si="14"/>
        <v>14000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443070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0.7212230216</v>
      </c>
      <c r="G47" s="775">
        <f>F44/$E$44</f>
        <v>0.7212230216</v>
      </c>
      <c r="H47" s="775">
        <f>H44/$E$44</f>
        <v>0.1582733813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11.0</v>
      </c>
      <c r="G7" s="809">
        <v>0.0</v>
      </c>
      <c r="H7" s="807">
        <v>1.0</v>
      </c>
      <c r="I7" s="808">
        <v>1.0</v>
      </c>
      <c r="J7" s="809">
        <v>0.0</v>
      </c>
      <c r="K7" s="810">
        <v>1.0</v>
      </c>
      <c r="L7" s="811">
        <v>0.0</v>
      </c>
      <c r="M7" s="812">
        <v>0.0</v>
      </c>
      <c r="N7" s="813">
        <f t="shared" ref="N7:P7" si="1">if(E7="","",sum(E7,H7,K7))</f>
        <v>5</v>
      </c>
      <c r="O7" s="813">
        <f t="shared" si="1"/>
        <v>12</v>
      </c>
      <c r="P7" s="814">
        <f t="shared" si="1"/>
        <v>0</v>
      </c>
      <c r="Q7" s="815">
        <f t="shared" ref="Q7:Q37" si="4">if(N7="","",SUM(N7:P7))</f>
        <v>17</v>
      </c>
      <c r="S7" s="816"/>
      <c r="T7" s="816"/>
    </row>
    <row r="8">
      <c r="B8" s="73"/>
      <c r="C8" s="805">
        <f t="shared" ref="C8:C37" si="5">IF(C7="","",IF(DAY(C7+1)=1,"",C7+1))</f>
        <v>46055</v>
      </c>
      <c r="D8" s="806" t="str">
        <f t="shared" si="2"/>
        <v>月</v>
      </c>
      <c r="E8" s="807">
        <v>0.0</v>
      </c>
      <c r="F8" s="817">
        <v>14.0</v>
      </c>
      <c r="G8" s="818">
        <v>0.0</v>
      </c>
      <c r="H8" s="807">
        <v>0.0</v>
      </c>
      <c r="I8" s="817">
        <v>2.0</v>
      </c>
      <c r="J8" s="818">
        <v>1.0</v>
      </c>
      <c r="K8" s="810">
        <v>0.0</v>
      </c>
      <c r="L8" s="811">
        <v>1.0</v>
      </c>
      <c r="M8" s="812">
        <v>0.0</v>
      </c>
      <c r="N8" s="813">
        <f t="shared" ref="N8:P8" si="3">if(E8="","",sum(E8,H8,K8))</f>
        <v>0</v>
      </c>
      <c r="O8" s="813">
        <f t="shared" si="3"/>
        <v>17</v>
      </c>
      <c r="P8" s="814">
        <f t="shared" si="3"/>
        <v>1</v>
      </c>
      <c r="Q8" s="815">
        <f t="shared" si="4"/>
        <v>18</v>
      </c>
      <c r="S8" s="816"/>
      <c r="T8" s="816"/>
    </row>
    <row r="9">
      <c r="B9" s="73"/>
      <c r="C9" s="805">
        <f t="shared" si="5"/>
        <v>46056</v>
      </c>
      <c r="D9" s="806" t="str">
        <f t="shared" si="2"/>
        <v>火</v>
      </c>
      <c r="E9" s="807">
        <v>0.0</v>
      </c>
      <c r="F9" s="819">
        <v>14.0</v>
      </c>
      <c r="G9" s="818">
        <v>0.0</v>
      </c>
      <c r="H9" s="807">
        <v>1.0</v>
      </c>
      <c r="I9" s="819">
        <v>1.0</v>
      </c>
      <c r="J9" s="818">
        <v>0.0</v>
      </c>
      <c r="K9" s="810">
        <v>0.0</v>
      </c>
      <c r="L9" s="811">
        <v>1.0</v>
      </c>
      <c r="M9" s="812">
        <v>0.0</v>
      </c>
      <c r="N9" s="813">
        <f t="shared" ref="N9:P9" si="6">if(E9="","",sum(E9,H9,K9))</f>
        <v>1</v>
      </c>
      <c r="O9" s="813">
        <f t="shared" si="6"/>
        <v>16</v>
      </c>
      <c r="P9" s="814">
        <f t="shared" si="6"/>
        <v>0</v>
      </c>
      <c r="Q9" s="815">
        <f t="shared" si="4"/>
        <v>17</v>
      </c>
      <c r="S9" s="816"/>
      <c r="T9" s="816"/>
    </row>
    <row r="10">
      <c r="B10" s="73"/>
      <c r="C10" s="805">
        <f t="shared" si="5"/>
        <v>46057</v>
      </c>
      <c r="D10" s="806" t="str">
        <f t="shared" si="2"/>
        <v>水</v>
      </c>
      <c r="E10" s="807">
        <v>0.0</v>
      </c>
      <c r="F10" s="819">
        <v>12.0</v>
      </c>
      <c r="G10" s="818">
        <v>3.0</v>
      </c>
      <c r="H10" s="807">
        <v>0.0</v>
      </c>
      <c r="I10" s="819">
        <v>2.0</v>
      </c>
      <c r="J10" s="818">
        <v>0.0</v>
      </c>
      <c r="K10" s="810">
        <v>0.0</v>
      </c>
      <c r="L10" s="811">
        <v>0.0</v>
      </c>
      <c r="M10" s="812">
        <v>1.0</v>
      </c>
      <c r="N10" s="813">
        <f t="shared" ref="N10:P10" si="7">if(E10="","",sum(E10,H10,K10))</f>
        <v>0</v>
      </c>
      <c r="O10" s="813">
        <f t="shared" si="7"/>
        <v>14</v>
      </c>
      <c r="P10" s="814">
        <f t="shared" si="7"/>
        <v>4</v>
      </c>
      <c r="Q10" s="815">
        <f t="shared" si="4"/>
        <v>18</v>
      </c>
      <c r="S10" s="816"/>
      <c r="T10" s="816"/>
    </row>
    <row r="11">
      <c r="B11" s="73"/>
      <c r="C11" s="805">
        <f t="shared" si="5"/>
        <v>46058</v>
      </c>
      <c r="D11" s="806" t="str">
        <f t="shared" si="2"/>
        <v>木</v>
      </c>
      <c r="E11" s="807"/>
      <c r="F11" s="819"/>
      <c r="G11" s="818"/>
      <c r="H11" s="807"/>
      <c r="I11" s="819"/>
      <c r="J11" s="818"/>
      <c r="K11" s="810"/>
      <c r="L11" s="811"/>
      <c r="M11" s="812"/>
      <c r="N11" s="813" t="str">
        <f t="shared" ref="N11:P11" si="8">if(E11="","",sum(E11,H11,K11))</f>
        <v/>
      </c>
      <c r="O11" s="813" t="str">
        <f t="shared" si="8"/>
        <v/>
      </c>
      <c r="P11" s="814" t="str">
        <f t="shared" si="8"/>
        <v/>
      </c>
      <c r="Q11" s="815" t="str">
        <f t="shared" si="4"/>
        <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3</v>
      </c>
      <c r="F38" s="831">
        <f t="shared" si="35"/>
        <v>51</v>
      </c>
      <c r="G38" s="831">
        <f t="shared" si="35"/>
        <v>3</v>
      </c>
      <c r="H38" s="832">
        <f t="shared" si="35"/>
        <v>2</v>
      </c>
      <c r="I38" s="832">
        <f t="shared" si="35"/>
        <v>6</v>
      </c>
      <c r="J38" s="832">
        <f t="shared" si="35"/>
        <v>1</v>
      </c>
      <c r="K38" s="833">
        <f t="shared" si="35"/>
        <v>1</v>
      </c>
      <c r="L38" s="833">
        <f t="shared" si="35"/>
        <v>2</v>
      </c>
      <c r="M38" s="833">
        <f t="shared" si="35"/>
        <v>1</v>
      </c>
      <c r="N38" s="834">
        <f t="shared" si="35"/>
        <v>6</v>
      </c>
      <c r="O38" s="834">
        <f t="shared" si="35"/>
        <v>59</v>
      </c>
      <c r="P38" s="835">
        <f t="shared" si="35"/>
        <v>5</v>
      </c>
      <c r="Q38" s="836">
        <f>SUM(N38:P38)</f>
        <v>70</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11</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"),"①R8_5集計")</f>
        <v>①R8_5集計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0.3042673534</v>
      </c>
      <c r="D10" s="894">
        <f t="array" ref="D10">INDIRECT($E$8 &amp; "!E8")</f>
        <v>0.4405171968</v>
      </c>
      <c r="E10" s="894">
        <f t="array" ref="E10">INDIRECT($E$8 &amp; "!G8")</f>
        <v>0.7212230216</v>
      </c>
      <c r="F10" s="895">
        <f t="array" ref="F10">INDIRECT($E$8 &amp; "!H8")</f>
        <v>575817.0968</v>
      </c>
      <c r="G10" s="895">
        <f t="array" ref="G10">INDIRECT($E$8 &amp; "!K8")</f>
        <v>0</v>
      </c>
      <c r="H10" s="895">
        <f t="array" ref="H10">INDIRECT($E$8 &amp; "!M8")</f>
        <v>175202.3441</v>
      </c>
      <c r="I10" s="894">
        <f t="array" ref="I10">INDIRECT($E$8 &amp; "!AT7")</f>
        <v>0.001798561151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0.2331471791</v>
      </c>
      <c r="D11" s="898"/>
      <c r="E11" s="899"/>
      <c r="F11" s="900">
        <f t="array" ref="F11">INDIRECT($E$8 &amp; "!H7")</f>
        <v>4368265</v>
      </c>
      <c r="G11" s="898"/>
      <c r="H11" s="901">
        <f t="array" ref="H11">INDIRECT($E$8 &amp; "!M7")</f>
        <v>1018448.662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0.002493765586</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1</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0">
        <v>6.0</v>
      </c>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624</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46143.0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5</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46143</v>
      </c>
      <c r="D9" s="1029" t="str">
        <f>TEXT(C9,"ddd")</f>
        <v>金</v>
      </c>
      <c r="E9" s="1030"/>
      <c r="F9" s="1031" t="s">
        <v>103</v>
      </c>
      <c r="G9" s="1032" t="s">
        <v>642</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46144</v>
      </c>
      <c r="D20" s="1053" t="str">
        <f>TEXT(C20,"ddd")</f>
        <v>土</v>
      </c>
      <c r="E20" s="1054"/>
      <c r="F20" s="1055" t="s">
        <v>251</v>
      </c>
      <c r="G20" s="1056" t="s">
        <v>645</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46145</v>
      </c>
      <c r="D31" s="1072" t="str">
        <f>TEXT(C31,"ddd")</f>
        <v>日</v>
      </c>
      <c r="E31" s="1073"/>
      <c r="F31" s="1074" t="s">
        <v>103</v>
      </c>
      <c r="G31" s="1075" t="s">
        <v>647</v>
      </c>
      <c r="H31" s="1076"/>
      <c r="I31" s="1077">
        <v>0.625</v>
      </c>
      <c r="J31" s="1076">
        <v>6.0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46146</v>
      </c>
      <c r="D42" s="1053" t="str">
        <f>TEXT(C42,"ddd")</f>
        <v>月</v>
      </c>
      <c r="E42" s="1054"/>
      <c r="F42" s="1083" t="s">
        <v>103</v>
      </c>
      <c r="G42" s="1084" t="s">
        <v>648</v>
      </c>
      <c r="H42" s="1085">
        <v>1.0</v>
      </c>
      <c r="I42" s="1085" t="s">
        <v>649</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46147</v>
      </c>
      <c r="D53" s="1072" t="str">
        <f>TEXT(C53,"ddd")</f>
        <v>火</v>
      </c>
      <c r="E53" s="1073"/>
      <c r="F53" s="1074" t="s">
        <v>650</v>
      </c>
      <c r="G53" s="1075"/>
      <c r="H53" s="1076"/>
      <c r="I53" s="1077"/>
      <c r="J53" s="1072"/>
      <c r="K53" s="1072"/>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651</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46148</v>
      </c>
      <c r="D65" s="1053" t="str">
        <f>TEXT(C65,"ddd")</f>
        <v>水</v>
      </c>
      <c r="E65" s="1054"/>
      <c r="F65" s="1083" t="s">
        <v>650</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46149</v>
      </c>
      <c r="D76" s="1072" t="str">
        <f>TEXT(C76,"ddd")</f>
        <v>木</v>
      </c>
      <c r="E76" s="1073"/>
      <c r="F76" s="1074" t="s">
        <v>650</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46150</v>
      </c>
      <c r="D87" s="1053" t="str">
        <f>TEXT(C87,"ddd")</f>
        <v>金</v>
      </c>
      <c r="E87" s="1054"/>
      <c r="F87" s="1083" t="s">
        <v>650</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46151</v>
      </c>
      <c r="D98" s="1072" t="str">
        <f>TEXT(C98,"ddd")</f>
        <v>土</v>
      </c>
      <c r="E98" s="1073"/>
      <c r="F98" s="1074" t="s">
        <v>650</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46152</v>
      </c>
      <c r="D109" s="1053" t="str">
        <f>TEXT(C109,"ddd")</f>
        <v>日</v>
      </c>
      <c r="E109" s="1054"/>
      <c r="F109" s="1083" t="s">
        <v>650</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652</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46153</v>
      </c>
      <c r="D121" s="1072" t="str">
        <f>TEXT(C121,"ddd")</f>
        <v>月</v>
      </c>
      <c r="E121" s="1073"/>
      <c r="F121" s="1074" t="s">
        <v>650</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46154</v>
      </c>
      <c r="D132" s="1053" t="str">
        <f>TEXT(C132,"ddd")</f>
        <v>火</v>
      </c>
      <c r="E132" s="1054"/>
      <c r="F132" s="1083" t="s">
        <v>650</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46155</v>
      </c>
      <c r="D143" s="1072" t="str">
        <f>TEXT(C143,"ddd")</f>
        <v>水</v>
      </c>
      <c r="E143" s="1073"/>
      <c r="F143" s="1074" t="s">
        <v>650</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46156</v>
      </c>
      <c r="D154" s="1053" t="str">
        <f>TEXT(C154,"ddd")</f>
        <v>木</v>
      </c>
      <c r="E154" s="1054"/>
      <c r="F154" s="1083" t="s">
        <v>650</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46157</v>
      </c>
      <c r="D165" s="1072" t="str">
        <f>TEXT(C165,"ddd")</f>
        <v>金</v>
      </c>
      <c r="E165" s="1073"/>
      <c r="F165" s="1074" t="s">
        <v>650</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653</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46158</v>
      </c>
      <c r="D177" s="1053" t="str">
        <f>TEXT(C177,"ddd")</f>
        <v>土</v>
      </c>
      <c r="E177" s="1054"/>
      <c r="F177" s="1083" t="s">
        <v>650</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46159</v>
      </c>
      <c r="D188" s="1072" t="str">
        <f>TEXT(C188,"ddd")</f>
        <v>日</v>
      </c>
      <c r="E188" s="1073"/>
      <c r="F188" s="1074" t="s">
        <v>650</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46160</v>
      </c>
      <c r="D199" s="1053" t="str">
        <f>TEXT(C199,"ddd")</f>
        <v>月</v>
      </c>
      <c r="E199" s="1054"/>
      <c r="F199" s="1083" t="s">
        <v>650</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46161</v>
      </c>
      <c r="D210" s="1072" t="str">
        <f>TEXT(C210,"ddd")</f>
        <v>火</v>
      </c>
      <c r="E210" s="1073"/>
      <c r="F210" s="1074" t="s">
        <v>650</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46162</v>
      </c>
      <c r="D221" s="1053" t="str">
        <f>TEXT(C221,"ddd")</f>
        <v>水</v>
      </c>
      <c r="E221" s="1054"/>
      <c r="F221" s="1083" t="s">
        <v>650</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654</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46163</v>
      </c>
      <c r="D233" s="1072" t="str">
        <f>TEXT(C233,"ddd")</f>
        <v>木</v>
      </c>
      <c r="E233" s="1073"/>
      <c r="F233" s="1074" t="s">
        <v>650</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46164</v>
      </c>
      <c r="D244" s="1053" t="str">
        <f>TEXT(C244,"ddd")</f>
        <v>金</v>
      </c>
      <c r="E244" s="1054"/>
      <c r="F244" s="1083" t="s">
        <v>650</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46165</v>
      </c>
      <c r="D255" s="1072" t="str">
        <f>TEXT(C255,"ddd")</f>
        <v>土</v>
      </c>
      <c r="E255" s="1073"/>
      <c r="F255" s="1074" t="s">
        <v>650</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46166</v>
      </c>
      <c r="D266" s="1053" t="str">
        <f>TEXT(C266,"ddd")</f>
        <v>日</v>
      </c>
      <c r="E266" s="1054"/>
      <c r="F266" s="1083" t="s">
        <v>650</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46167</v>
      </c>
      <c r="D277" s="1072" t="str">
        <f>TEXT(C277,"ddd")</f>
        <v>月</v>
      </c>
      <c r="E277" s="1073"/>
      <c r="F277" s="1074" t="s">
        <v>650</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655</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46168</v>
      </c>
      <c r="D289" s="1053" t="str">
        <f>TEXT(C289,"ddd")</f>
        <v>火</v>
      </c>
      <c r="E289" s="1054"/>
      <c r="F289" s="1083" t="s">
        <v>650</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46169</v>
      </c>
      <c r="D300" s="1072" t="str">
        <f>TEXT(C300,"ddd")</f>
        <v>水</v>
      </c>
      <c r="E300" s="1073"/>
      <c r="F300" s="1074" t="s">
        <v>650</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46170</v>
      </c>
      <c r="D311" s="1053" t="str">
        <f>TEXT(C311,"ddd")</f>
        <v>木</v>
      </c>
      <c r="E311" s="1054"/>
      <c r="F311" s="1083" t="s">
        <v>650</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f>IF(C311="","",IF(DAY(C311+1)=1,"",C311+1))</f>
        <v>46171</v>
      </c>
      <c r="D322" s="1072" t="str">
        <f>TEXT(C322,"ddd")</f>
        <v>金</v>
      </c>
      <c r="E322" s="1073"/>
      <c r="F322" s="1074" t="s">
        <v>650</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f>IF(C322="","",IF(DAY(C322+1)=1,"",C322+1))</f>
        <v>46172</v>
      </c>
      <c r="D333" s="1053" t="str">
        <f>TEXT(C333,"ddd")</f>
        <v>土</v>
      </c>
      <c r="E333" s="1054"/>
      <c r="F333" s="1083" t="s">
        <v>650</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f>IF(C333="","",IF(DAY(C333+1)=1,"",C333+1))</f>
        <v>46173</v>
      </c>
      <c r="D344" s="1072" t="str">
        <f>TEXT(C344,"ddd")</f>
        <v>日</v>
      </c>
      <c r="E344" s="1073"/>
      <c r="F344" s="1074" t="s">
        <v>650</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46113.0</v>
      </c>
      <c r="E5" s="213"/>
      <c r="F5" s="580" t="s">
        <v>455</v>
      </c>
      <c r="G5" s="581">
        <f>DAY(EOMONTH(D5,0))</f>
        <v>30</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472</v>
      </c>
      <c r="H7" s="605">
        <f t="array" ref="H7">xlookup($D$5,'🌟目標数値'!$A$3:$A$14,'🌟目標数値'!D$3:D14)</f>
        <v>4595182.5</v>
      </c>
      <c r="I7" s="605" t="s">
        <v>472</v>
      </c>
      <c r="J7" s="606" t="s">
        <v>472</v>
      </c>
      <c r="K7" s="607" t="s">
        <v>472</v>
      </c>
      <c r="L7" s="607" t="s">
        <v>472</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473</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4442009.75</v>
      </c>
      <c r="I9" s="631" t="s">
        <v>472</v>
      </c>
      <c r="J9" s="632" t="s">
        <v>472</v>
      </c>
      <c r="K9" s="633" t="s">
        <v>472</v>
      </c>
      <c r="L9" s="633" t="s">
        <v>472</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46113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523</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532</v>
      </c>
      <c r="AZ23" s="702">
        <f>AR44</f>
        <v>0</v>
      </c>
      <c r="BA23" s="213"/>
      <c r="BB23" s="703">
        <f>AZ23-AZ24</f>
        <v>0</v>
      </c>
      <c r="BC23" s="573"/>
      <c r="BD23" s="704" t="s">
        <v>533</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541</v>
      </c>
      <c r="AZ30" s="705">
        <f>AS46</f>
        <v>3586580</v>
      </c>
      <c r="BA30" s="718" t="s">
        <v>472</v>
      </c>
      <c r="BB30" s="703">
        <f>SUM(AZ30:AZ36)</f>
        <v>4615370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4170</v>
      </c>
      <c r="F44" s="747">
        <f t="shared" ref="F44:AB44" si="11">SUM(F13:F43)</f>
        <v>3254</v>
      </c>
      <c r="G44" s="747">
        <f t="shared" si="11"/>
        <v>3830</v>
      </c>
      <c r="H44" s="747">
        <f t="shared" si="11"/>
        <v>576</v>
      </c>
      <c r="I44" s="747">
        <f t="shared" si="11"/>
        <v>524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3586580</v>
      </c>
      <c r="AT44" s="750">
        <f t="shared" si="12"/>
        <v>2344120</v>
      </c>
      <c r="AU44" s="751">
        <f>AVERAGE(AU13:AU43)</f>
        <v>0.535177448</v>
      </c>
      <c r="AV44" s="747">
        <f t="shared" ref="AV44:AW44" si="13">sum(AV13:AV43)</f>
        <v>3</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4098100</v>
      </c>
      <c r="H46" s="768">
        <f t="shared" si="14"/>
        <v>-616320</v>
      </c>
      <c r="I46" s="768">
        <f t="shared" si="14"/>
        <v>104800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0.7803357314</v>
      </c>
      <c r="G47" s="776">
        <f>F44/$E$44</f>
        <v>0.7803357314</v>
      </c>
      <c r="H47" s="775">
        <f>H44/$E$44</f>
        <v>0.1381294964</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46113.0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46113</v>
      </c>
      <c r="D7" s="806" t="str">
        <f t="shared" ref="D7:D37" si="2">TEXT(C7,"ddd")</f>
        <v>水</v>
      </c>
      <c r="E7" s="807">
        <v>0.0</v>
      </c>
      <c r="F7" s="808">
        <v>14.0</v>
      </c>
      <c r="G7" s="809">
        <v>3.0</v>
      </c>
      <c r="H7" s="807">
        <v>0.0</v>
      </c>
      <c r="I7" s="808">
        <v>1.0</v>
      </c>
      <c r="J7" s="809">
        <v>0.0</v>
      </c>
      <c r="K7" s="810">
        <v>0.0</v>
      </c>
      <c r="L7" s="811">
        <v>0.0</v>
      </c>
      <c r="M7" s="812">
        <v>0.0</v>
      </c>
      <c r="N7" s="813">
        <f t="shared" ref="N7:P7" si="1">if(E7="","",sum(E7,H7,K7))</f>
        <v>0</v>
      </c>
      <c r="O7" s="813">
        <f t="shared" si="1"/>
        <v>15</v>
      </c>
      <c r="P7" s="814">
        <f t="shared" si="1"/>
        <v>3</v>
      </c>
      <c r="Q7" s="815">
        <f t="shared" ref="Q7:Q37" si="4">if(N7="","",SUM(N7:P7))</f>
        <v>18</v>
      </c>
      <c r="S7" s="816"/>
      <c r="T7" s="816"/>
    </row>
    <row r="8">
      <c r="B8" s="73"/>
      <c r="C8" s="805">
        <f t="shared" ref="C8:C37" si="5">IF(C7="","",IF(DAY(C7+1)=1,"",C7+1))</f>
        <v>46114</v>
      </c>
      <c r="D8" s="806" t="str">
        <f t="shared" si="2"/>
        <v>木</v>
      </c>
      <c r="E8" s="807">
        <v>3.0</v>
      </c>
      <c r="F8" s="817">
        <v>12.0</v>
      </c>
      <c r="G8" s="818">
        <v>0.0</v>
      </c>
      <c r="H8" s="807">
        <v>2.0</v>
      </c>
      <c r="I8" s="817">
        <v>2.0</v>
      </c>
      <c r="J8" s="818">
        <v>0.0</v>
      </c>
      <c r="K8" s="810">
        <v>0.0</v>
      </c>
      <c r="L8" s="811">
        <v>0.0</v>
      </c>
      <c r="M8" s="812">
        <v>0.0</v>
      </c>
      <c r="N8" s="813">
        <f t="shared" ref="N8:P8" si="3">if(E8="","",sum(E8,H8,K8))</f>
        <v>5</v>
      </c>
      <c r="O8" s="813">
        <f t="shared" si="3"/>
        <v>14</v>
      </c>
      <c r="P8" s="814">
        <f t="shared" si="3"/>
        <v>0</v>
      </c>
      <c r="Q8" s="815">
        <f t="shared" si="4"/>
        <v>19</v>
      </c>
      <c r="S8" s="816"/>
      <c r="T8" s="816"/>
    </row>
    <row r="9">
      <c r="B9" s="73"/>
      <c r="C9" s="805">
        <f t="shared" si="5"/>
        <v>46115</v>
      </c>
      <c r="D9" s="806" t="str">
        <f t="shared" si="2"/>
        <v>金</v>
      </c>
      <c r="E9" s="807">
        <v>1.0</v>
      </c>
      <c r="F9" s="819">
        <v>15.0</v>
      </c>
      <c r="G9" s="818">
        <v>0.0</v>
      </c>
      <c r="H9" s="807">
        <v>0.0</v>
      </c>
      <c r="I9" s="819">
        <v>3.0</v>
      </c>
      <c r="J9" s="818">
        <v>0.0</v>
      </c>
      <c r="K9" s="810">
        <v>0.0</v>
      </c>
      <c r="L9" s="811">
        <v>0.0</v>
      </c>
      <c r="M9" s="812">
        <v>0.0</v>
      </c>
      <c r="N9" s="813">
        <f t="shared" ref="N9:P9" si="6">if(E9="","",sum(E9,H9,K9))</f>
        <v>1</v>
      </c>
      <c r="O9" s="813">
        <f t="shared" si="6"/>
        <v>18</v>
      </c>
      <c r="P9" s="814">
        <f t="shared" si="6"/>
        <v>0</v>
      </c>
      <c r="Q9" s="815">
        <f t="shared" si="4"/>
        <v>19</v>
      </c>
      <c r="S9" s="816"/>
      <c r="T9" s="816"/>
    </row>
    <row r="10">
      <c r="B10" s="73"/>
      <c r="C10" s="805">
        <f t="shared" si="5"/>
        <v>46116</v>
      </c>
      <c r="D10" s="806" t="str">
        <f t="shared" si="2"/>
        <v>土</v>
      </c>
      <c r="E10" s="807">
        <v>0.0</v>
      </c>
      <c r="F10" s="819">
        <v>13.0</v>
      </c>
      <c r="G10" s="818">
        <v>1.0</v>
      </c>
      <c r="H10" s="807">
        <v>0.0</v>
      </c>
      <c r="I10" s="819">
        <v>4.0</v>
      </c>
      <c r="J10" s="818">
        <v>0.0</v>
      </c>
      <c r="K10" s="810">
        <v>0.0</v>
      </c>
      <c r="L10" s="811">
        <v>0.0</v>
      </c>
      <c r="M10" s="812">
        <v>0.0</v>
      </c>
      <c r="N10" s="1106">
        <v>0.0</v>
      </c>
      <c r="O10" s="813">
        <f t="shared" ref="O10:P10" si="7">if(F10="","",sum(F10,I10,L10))</f>
        <v>17</v>
      </c>
      <c r="P10" s="814">
        <f t="shared" si="7"/>
        <v>1</v>
      </c>
      <c r="Q10" s="815">
        <f t="shared" si="4"/>
        <v>18</v>
      </c>
      <c r="S10" s="816"/>
      <c r="T10" s="816"/>
    </row>
    <row r="11">
      <c r="B11" s="73"/>
      <c r="C11" s="805">
        <f t="shared" si="5"/>
        <v>46117</v>
      </c>
      <c r="D11" s="806" t="str">
        <f t="shared" si="2"/>
        <v>日</v>
      </c>
      <c r="E11" s="807">
        <v>0.0</v>
      </c>
      <c r="F11" s="819">
        <v>14.0</v>
      </c>
      <c r="G11" s="818">
        <v>3.0</v>
      </c>
      <c r="H11" s="807">
        <v>0.0</v>
      </c>
      <c r="I11" s="819">
        <v>4.0</v>
      </c>
      <c r="J11" s="818">
        <v>0.0</v>
      </c>
      <c r="K11" s="810">
        <v>0.0</v>
      </c>
      <c r="L11" s="811">
        <v>0.0</v>
      </c>
      <c r="M11" s="812">
        <v>0.0</v>
      </c>
      <c r="N11" s="813">
        <f t="shared" ref="N11:P11" si="8">if(E11="","",sum(E11,H11,K11))</f>
        <v>0</v>
      </c>
      <c r="O11" s="813">
        <f t="shared" si="8"/>
        <v>18</v>
      </c>
      <c r="P11" s="814">
        <f t="shared" si="8"/>
        <v>3</v>
      </c>
      <c r="Q11" s="815">
        <f t="shared" si="4"/>
        <v>21</v>
      </c>
      <c r="S11" s="816"/>
      <c r="T11" s="816"/>
    </row>
    <row r="12">
      <c r="B12" s="73"/>
      <c r="C12" s="805">
        <f t="shared" si="5"/>
        <v>46118</v>
      </c>
      <c r="D12" s="806" t="str">
        <f t="shared" si="2"/>
        <v>月</v>
      </c>
      <c r="E12" s="807">
        <v>0.0</v>
      </c>
      <c r="F12" s="819">
        <v>11.0</v>
      </c>
      <c r="G12" s="818">
        <v>1.0</v>
      </c>
      <c r="H12" s="807">
        <v>0.0</v>
      </c>
      <c r="I12" s="819">
        <v>3.0</v>
      </c>
      <c r="J12" s="818">
        <v>0.0</v>
      </c>
      <c r="K12" s="810">
        <v>0.0</v>
      </c>
      <c r="L12" s="811">
        <v>0.0</v>
      </c>
      <c r="M12" s="812">
        <v>0.0</v>
      </c>
      <c r="N12" s="813">
        <f t="shared" ref="N12:P12" si="9">if(E12="","",sum(E12,H12,K12))</f>
        <v>0</v>
      </c>
      <c r="O12" s="813">
        <f t="shared" si="9"/>
        <v>14</v>
      </c>
      <c r="P12" s="814">
        <f t="shared" si="9"/>
        <v>1</v>
      </c>
      <c r="Q12" s="815">
        <f t="shared" si="4"/>
        <v>15</v>
      </c>
      <c r="S12" s="816"/>
      <c r="T12" s="816"/>
    </row>
    <row r="13">
      <c r="A13" s="447"/>
      <c r="B13" s="73"/>
      <c r="C13" s="805">
        <f t="shared" si="5"/>
        <v>46119</v>
      </c>
      <c r="D13" s="806" t="str">
        <f t="shared" si="2"/>
        <v>火</v>
      </c>
      <c r="E13" s="807">
        <v>3.0</v>
      </c>
      <c r="F13" s="819">
        <v>11.0</v>
      </c>
      <c r="G13" s="818">
        <v>0.0</v>
      </c>
      <c r="H13" s="807">
        <v>0.0</v>
      </c>
      <c r="I13" s="819">
        <v>3.0</v>
      </c>
      <c r="J13" s="818">
        <v>1.0</v>
      </c>
      <c r="K13" s="810">
        <v>0.0</v>
      </c>
      <c r="L13" s="811">
        <v>0.0</v>
      </c>
      <c r="M13" s="812">
        <v>0.0</v>
      </c>
      <c r="N13" s="813">
        <f t="shared" ref="N13:P13" si="10">if(E13="","",sum(E13,H13,K13))</f>
        <v>3</v>
      </c>
      <c r="O13" s="813">
        <f t="shared" si="10"/>
        <v>14</v>
      </c>
      <c r="P13" s="814">
        <f t="shared" si="10"/>
        <v>1</v>
      </c>
      <c r="Q13" s="815">
        <f t="shared" si="4"/>
        <v>18</v>
      </c>
      <c r="S13" s="816"/>
      <c r="T13" s="816"/>
    </row>
    <row r="14">
      <c r="B14" s="73"/>
      <c r="C14" s="805">
        <f t="shared" si="5"/>
        <v>46120</v>
      </c>
      <c r="D14" s="806" t="str">
        <f t="shared" si="2"/>
        <v>水</v>
      </c>
      <c r="E14" s="807">
        <v>0.0</v>
      </c>
      <c r="F14" s="819">
        <v>9.0</v>
      </c>
      <c r="G14" s="818">
        <v>4.0</v>
      </c>
      <c r="H14" s="807">
        <v>0.0</v>
      </c>
      <c r="I14" s="819">
        <v>2.0</v>
      </c>
      <c r="J14" s="818">
        <v>0.0</v>
      </c>
      <c r="K14" s="810">
        <v>0.0</v>
      </c>
      <c r="L14" s="811">
        <v>0.0</v>
      </c>
      <c r="M14" s="812">
        <v>0.0</v>
      </c>
      <c r="N14" s="813">
        <f t="shared" ref="N14:P14" si="11">if(E14="","",sum(E14,H14,K14))</f>
        <v>0</v>
      </c>
      <c r="O14" s="813">
        <f t="shared" si="11"/>
        <v>11</v>
      </c>
      <c r="P14" s="814">
        <f t="shared" si="11"/>
        <v>4</v>
      </c>
      <c r="Q14" s="815">
        <f t="shared" si="4"/>
        <v>15</v>
      </c>
      <c r="S14" s="816"/>
      <c r="T14" s="816"/>
    </row>
    <row r="15">
      <c r="B15" s="73"/>
      <c r="C15" s="805">
        <f t="shared" si="5"/>
        <v>46121</v>
      </c>
      <c r="D15" s="806" t="str">
        <f t="shared" si="2"/>
        <v>木</v>
      </c>
      <c r="E15" s="807">
        <v>2.0</v>
      </c>
      <c r="F15" s="819">
        <v>9.0</v>
      </c>
      <c r="G15" s="818">
        <v>0.0</v>
      </c>
      <c r="H15" s="807">
        <v>1.0</v>
      </c>
      <c r="I15" s="819">
        <v>3.0</v>
      </c>
      <c r="J15" s="818">
        <v>0.0</v>
      </c>
      <c r="K15" s="810">
        <v>0.0</v>
      </c>
      <c r="L15" s="811">
        <v>0.0</v>
      </c>
      <c r="M15" s="812">
        <v>0.0</v>
      </c>
      <c r="N15" s="813">
        <f t="shared" ref="N15:P15" si="12">if(E15="","",sum(E15,H15,K15))</f>
        <v>3</v>
      </c>
      <c r="O15" s="813">
        <f t="shared" si="12"/>
        <v>12</v>
      </c>
      <c r="P15" s="814">
        <f t="shared" si="12"/>
        <v>0</v>
      </c>
      <c r="Q15" s="815">
        <f t="shared" si="4"/>
        <v>15</v>
      </c>
      <c r="S15" s="816"/>
      <c r="T15" s="816"/>
    </row>
    <row r="16">
      <c r="B16" s="73"/>
      <c r="C16" s="805">
        <f t="shared" si="5"/>
        <v>46122</v>
      </c>
      <c r="D16" s="806" t="str">
        <f t="shared" si="2"/>
        <v>金</v>
      </c>
      <c r="E16" s="807">
        <v>3.0</v>
      </c>
      <c r="F16" s="809">
        <v>13.0</v>
      </c>
      <c r="G16" s="809">
        <v>0.0</v>
      </c>
      <c r="H16" s="809">
        <v>0.0</v>
      </c>
      <c r="I16" s="809">
        <v>3.0</v>
      </c>
      <c r="J16" s="809">
        <v>0.0</v>
      </c>
      <c r="K16" s="809">
        <v>0.0</v>
      </c>
      <c r="L16" s="809">
        <v>0.0</v>
      </c>
      <c r="M16" s="812">
        <v>0.0</v>
      </c>
      <c r="N16" s="813">
        <f t="shared" ref="N16:P16" si="13">if(E16="","",sum(E16,H16,K16))</f>
        <v>3</v>
      </c>
      <c r="O16" s="813">
        <f t="shared" si="13"/>
        <v>16</v>
      </c>
      <c r="P16" s="814">
        <f t="shared" si="13"/>
        <v>0</v>
      </c>
      <c r="Q16" s="815">
        <f t="shared" si="4"/>
        <v>19</v>
      </c>
      <c r="S16" s="816"/>
      <c r="T16" s="816"/>
    </row>
    <row r="17">
      <c r="B17" s="73"/>
      <c r="C17" s="805">
        <f t="shared" si="5"/>
        <v>46123</v>
      </c>
      <c r="D17" s="806" t="str">
        <f t="shared" si="2"/>
        <v>土</v>
      </c>
      <c r="E17" s="807">
        <v>1.0</v>
      </c>
      <c r="F17" s="818">
        <v>15.0</v>
      </c>
      <c r="G17" s="818">
        <v>2.0</v>
      </c>
      <c r="H17" s="818">
        <v>0.0</v>
      </c>
      <c r="I17" s="818">
        <v>4.0</v>
      </c>
      <c r="J17" s="818">
        <v>0.0</v>
      </c>
      <c r="K17" s="818">
        <v>1.0</v>
      </c>
      <c r="L17" s="818">
        <v>0.0</v>
      </c>
      <c r="M17" s="812">
        <v>0.0</v>
      </c>
      <c r="N17" s="813">
        <f t="shared" ref="N17:P17" si="14">if(E17="","",sum(E17,H17,K17))</f>
        <v>2</v>
      </c>
      <c r="O17" s="813">
        <f t="shared" si="14"/>
        <v>19</v>
      </c>
      <c r="P17" s="814">
        <f t="shared" si="14"/>
        <v>2</v>
      </c>
      <c r="Q17" s="815">
        <f t="shared" si="4"/>
        <v>23</v>
      </c>
      <c r="S17" s="816"/>
      <c r="T17" s="816"/>
    </row>
    <row r="18">
      <c r="B18" s="73"/>
      <c r="C18" s="805">
        <f t="shared" si="5"/>
        <v>46124</v>
      </c>
      <c r="D18" s="806" t="str">
        <f t="shared" si="2"/>
        <v>日</v>
      </c>
      <c r="E18" s="807">
        <v>0.0</v>
      </c>
      <c r="F18" s="807">
        <v>13.0</v>
      </c>
      <c r="G18" s="807">
        <v>3.0</v>
      </c>
      <c r="H18" s="807">
        <v>0.0</v>
      </c>
      <c r="I18" s="807">
        <v>2.0</v>
      </c>
      <c r="J18" s="807">
        <v>1.0</v>
      </c>
      <c r="K18" s="807">
        <v>0.0</v>
      </c>
      <c r="L18" s="807">
        <v>0.0</v>
      </c>
      <c r="M18" s="812">
        <v>1.0</v>
      </c>
      <c r="N18" s="813">
        <f t="shared" ref="N18:P18" si="15">if(E18="","",sum(E18,H18,K18))</f>
        <v>0</v>
      </c>
      <c r="O18" s="813">
        <f t="shared" si="15"/>
        <v>15</v>
      </c>
      <c r="P18" s="814">
        <f t="shared" si="15"/>
        <v>5</v>
      </c>
      <c r="Q18" s="815">
        <f t="shared" si="4"/>
        <v>20</v>
      </c>
      <c r="S18" s="816"/>
      <c r="T18" s="816"/>
    </row>
    <row r="19">
      <c r="B19" s="73"/>
      <c r="C19" s="805">
        <f t="shared" si="5"/>
        <v>46125</v>
      </c>
      <c r="D19" s="806" t="str">
        <f t="shared" si="2"/>
        <v>月</v>
      </c>
      <c r="E19" s="807">
        <v>2.0</v>
      </c>
      <c r="F19" s="807">
        <v>12.0</v>
      </c>
      <c r="G19" s="807">
        <v>0.0</v>
      </c>
      <c r="H19" s="807">
        <v>0.0</v>
      </c>
      <c r="I19" s="807">
        <v>3.0</v>
      </c>
      <c r="J19" s="807">
        <v>0.0</v>
      </c>
      <c r="K19" s="807">
        <v>0.0</v>
      </c>
      <c r="L19" s="807">
        <v>0.0</v>
      </c>
      <c r="M19" s="812">
        <v>0.0</v>
      </c>
      <c r="N19" s="813">
        <f t="shared" ref="N19:P19" si="16">if(E19="","",sum(E19,H19,K19))</f>
        <v>2</v>
      </c>
      <c r="O19" s="813">
        <f t="shared" si="16"/>
        <v>15</v>
      </c>
      <c r="P19" s="814">
        <f t="shared" si="16"/>
        <v>0</v>
      </c>
      <c r="Q19" s="815">
        <f t="shared" si="4"/>
        <v>17</v>
      </c>
      <c r="S19" s="816"/>
      <c r="T19" s="816"/>
    </row>
    <row r="20">
      <c r="B20" s="73"/>
      <c r="C20" s="805">
        <f t="shared" si="5"/>
        <v>46126</v>
      </c>
      <c r="D20" s="806" t="str">
        <f t="shared" si="2"/>
        <v>火</v>
      </c>
      <c r="E20" s="807">
        <v>0.0</v>
      </c>
      <c r="F20" s="812">
        <v>13.0</v>
      </c>
      <c r="G20" s="812">
        <v>1.0</v>
      </c>
      <c r="H20" s="812">
        <v>1.0</v>
      </c>
      <c r="I20" s="812">
        <v>3.0</v>
      </c>
      <c r="J20" s="812">
        <v>0.0</v>
      </c>
      <c r="K20" s="812">
        <v>0.0</v>
      </c>
      <c r="L20" s="812">
        <v>0.0</v>
      </c>
      <c r="M20" s="812">
        <v>0.0</v>
      </c>
      <c r="N20" s="813">
        <f t="shared" ref="N20:P20" si="17">if(E20="","",sum(E20,H20,K20))</f>
        <v>1</v>
      </c>
      <c r="O20" s="813">
        <f t="shared" si="17"/>
        <v>16</v>
      </c>
      <c r="P20" s="814">
        <f t="shared" si="17"/>
        <v>1</v>
      </c>
      <c r="Q20" s="815">
        <f t="shared" si="4"/>
        <v>18</v>
      </c>
      <c r="S20" s="816"/>
      <c r="T20" s="816"/>
    </row>
    <row r="21">
      <c r="B21" s="73"/>
      <c r="C21" s="805">
        <f t="shared" si="5"/>
        <v>46127</v>
      </c>
      <c r="D21" s="806" t="str">
        <f t="shared" si="2"/>
        <v>水</v>
      </c>
      <c r="E21" s="807">
        <v>0.0</v>
      </c>
      <c r="F21" s="812">
        <v>13.0</v>
      </c>
      <c r="G21" s="812">
        <v>0.0</v>
      </c>
      <c r="H21" s="807">
        <v>0.0</v>
      </c>
      <c r="I21" s="812">
        <v>4.0</v>
      </c>
      <c r="J21" s="812">
        <v>0.0</v>
      </c>
      <c r="K21" s="810">
        <v>0.0</v>
      </c>
      <c r="L21" s="810">
        <v>0.0</v>
      </c>
      <c r="M21" s="812">
        <v>0.0</v>
      </c>
      <c r="N21" s="813">
        <f t="shared" ref="N21:P21" si="18">if(E21="","",sum(E21,H21,K21))</f>
        <v>0</v>
      </c>
      <c r="O21" s="813">
        <f t="shared" si="18"/>
        <v>17</v>
      </c>
      <c r="P21" s="814">
        <f t="shared" si="18"/>
        <v>0</v>
      </c>
      <c r="Q21" s="815">
        <f t="shared" si="4"/>
        <v>17</v>
      </c>
      <c r="S21" s="816"/>
      <c r="T21" s="816"/>
    </row>
    <row r="22">
      <c r="B22" s="73"/>
      <c r="C22" s="805">
        <f t="shared" si="5"/>
        <v>46128</v>
      </c>
      <c r="D22" s="806" t="str">
        <f t="shared" si="2"/>
        <v>木</v>
      </c>
      <c r="E22" s="807">
        <v>0.0</v>
      </c>
      <c r="F22" s="807">
        <v>7.0</v>
      </c>
      <c r="G22" s="807">
        <v>5.0</v>
      </c>
      <c r="H22" s="807">
        <v>1.0</v>
      </c>
      <c r="I22" s="807">
        <v>4.0</v>
      </c>
      <c r="J22" s="807">
        <v>0.0</v>
      </c>
      <c r="K22" s="807">
        <v>0.0</v>
      </c>
      <c r="L22" s="807">
        <v>0.0</v>
      </c>
      <c r="M22" s="812">
        <v>0.0</v>
      </c>
      <c r="N22" s="813">
        <f t="shared" ref="N22:P22" si="19">if(E22="","",sum(E22,H22,K22))</f>
        <v>1</v>
      </c>
      <c r="O22" s="813">
        <f t="shared" si="19"/>
        <v>11</v>
      </c>
      <c r="P22" s="814">
        <f t="shared" si="19"/>
        <v>5</v>
      </c>
      <c r="Q22" s="815">
        <f t="shared" si="4"/>
        <v>17</v>
      </c>
      <c r="S22" s="816"/>
      <c r="T22" s="816"/>
    </row>
    <row r="23">
      <c r="B23" s="73"/>
      <c r="C23" s="805">
        <f t="shared" si="5"/>
        <v>46129</v>
      </c>
      <c r="D23" s="806" t="str">
        <f t="shared" si="2"/>
        <v>金</v>
      </c>
      <c r="E23" s="807">
        <v>0.0</v>
      </c>
      <c r="F23" s="807">
        <v>8.0</v>
      </c>
      <c r="G23" s="807">
        <v>0.0</v>
      </c>
      <c r="H23" s="807">
        <v>0.0</v>
      </c>
      <c r="I23" s="807">
        <v>2.0</v>
      </c>
      <c r="J23" s="807">
        <v>1.0</v>
      </c>
      <c r="K23" s="807">
        <v>0.0</v>
      </c>
      <c r="L23" s="807">
        <v>0.0</v>
      </c>
      <c r="M23" s="812">
        <v>0.0</v>
      </c>
      <c r="N23" s="813">
        <f t="shared" ref="N23:P23" si="20">if(E23="","",sum(E23,H23,K23))</f>
        <v>0</v>
      </c>
      <c r="O23" s="813">
        <f t="shared" si="20"/>
        <v>10</v>
      </c>
      <c r="P23" s="814">
        <f t="shared" si="20"/>
        <v>1</v>
      </c>
      <c r="Q23" s="815">
        <f t="shared" si="4"/>
        <v>11</v>
      </c>
      <c r="S23" s="816"/>
      <c r="T23" s="816"/>
    </row>
    <row r="24" ht="16.5" customHeight="1">
      <c r="B24" s="73"/>
      <c r="C24" s="805">
        <f t="shared" si="5"/>
        <v>46130</v>
      </c>
      <c r="D24" s="806" t="str">
        <f t="shared" si="2"/>
        <v>土</v>
      </c>
      <c r="E24" s="807">
        <v>5.0</v>
      </c>
      <c r="F24" s="807">
        <v>6.0</v>
      </c>
      <c r="G24" s="807">
        <v>0.0</v>
      </c>
      <c r="H24" s="807">
        <v>1.0</v>
      </c>
      <c r="I24" s="807">
        <v>2.0</v>
      </c>
      <c r="J24" s="807">
        <v>1.0</v>
      </c>
      <c r="K24" s="807">
        <v>0.0</v>
      </c>
      <c r="L24" s="807">
        <v>0.0</v>
      </c>
      <c r="M24" s="812">
        <v>0.0</v>
      </c>
      <c r="N24" s="813">
        <f t="shared" ref="N24:P24" si="21">if(E24="","",sum(E24,H24,K24))</f>
        <v>6</v>
      </c>
      <c r="O24" s="813">
        <f t="shared" si="21"/>
        <v>8</v>
      </c>
      <c r="P24" s="814">
        <f t="shared" si="21"/>
        <v>1</v>
      </c>
      <c r="Q24" s="815">
        <f t="shared" si="4"/>
        <v>15</v>
      </c>
      <c r="S24" s="816"/>
      <c r="T24" s="816"/>
    </row>
    <row r="25">
      <c r="B25" s="73"/>
      <c r="C25" s="805">
        <f t="shared" si="5"/>
        <v>46131</v>
      </c>
      <c r="D25" s="806" t="str">
        <f t="shared" si="2"/>
        <v>日</v>
      </c>
      <c r="E25" s="807">
        <v>4.0</v>
      </c>
      <c r="F25" s="807">
        <v>9.0</v>
      </c>
      <c r="G25" s="807">
        <v>0.0</v>
      </c>
      <c r="H25" s="807">
        <v>0.0</v>
      </c>
      <c r="I25" s="807">
        <v>3.0</v>
      </c>
      <c r="J25" s="807">
        <v>1.0</v>
      </c>
      <c r="K25" s="807">
        <v>0.0</v>
      </c>
      <c r="L25" s="807">
        <v>0.0</v>
      </c>
      <c r="M25" s="812">
        <v>0.0</v>
      </c>
      <c r="N25" s="813">
        <f t="shared" ref="N25:P25" si="22">if(E25="","",sum(E25,H25,K25))</f>
        <v>4</v>
      </c>
      <c r="O25" s="813">
        <f t="shared" si="22"/>
        <v>12</v>
      </c>
      <c r="P25" s="814">
        <f t="shared" si="22"/>
        <v>1</v>
      </c>
      <c r="Q25" s="815">
        <f t="shared" si="4"/>
        <v>17</v>
      </c>
      <c r="S25" s="816"/>
      <c r="T25" s="816"/>
    </row>
    <row r="26">
      <c r="B26" s="73"/>
      <c r="C26" s="805">
        <f t="shared" si="5"/>
        <v>46132</v>
      </c>
      <c r="D26" s="806" t="str">
        <f t="shared" si="2"/>
        <v>月</v>
      </c>
      <c r="E26" s="807">
        <v>0.0</v>
      </c>
      <c r="F26" s="807">
        <v>14.0</v>
      </c>
      <c r="G26" s="807">
        <v>0.0</v>
      </c>
      <c r="H26" s="807">
        <v>2.0</v>
      </c>
      <c r="I26" s="807">
        <v>3.0</v>
      </c>
      <c r="J26" s="807">
        <v>0.0</v>
      </c>
      <c r="K26" s="807">
        <v>2.0</v>
      </c>
      <c r="L26" s="807">
        <v>0.0</v>
      </c>
      <c r="M26" s="812">
        <v>0.0</v>
      </c>
      <c r="N26" s="813">
        <f t="shared" ref="N26:P26" si="23">if(E26="","",sum(E26,H26,K26))</f>
        <v>4</v>
      </c>
      <c r="O26" s="813">
        <f t="shared" si="23"/>
        <v>17</v>
      </c>
      <c r="P26" s="814">
        <f t="shared" si="23"/>
        <v>0</v>
      </c>
      <c r="Q26" s="815">
        <f t="shared" si="4"/>
        <v>21</v>
      </c>
      <c r="S26" s="816"/>
      <c r="T26" s="816"/>
    </row>
    <row r="27">
      <c r="B27" s="73"/>
      <c r="C27" s="805">
        <f t="shared" si="5"/>
        <v>46133</v>
      </c>
      <c r="D27" s="806" t="str">
        <f t="shared" si="2"/>
        <v>火</v>
      </c>
      <c r="E27" s="807">
        <v>0.0</v>
      </c>
      <c r="F27" s="809">
        <v>15.0</v>
      </c>
      <c r="G27" s="809">
        <v>1.0</v>
      </c>
      <c r="H27" s="807">
        <v>0.0</v>
      </c>
      <c r="I27" s="809">
        <v>2.0</v>
      </c>
      <c r="J27" s="809">
        <v>1.0</v>
      </c>
      <c r="K27" s="810">
        <v>0.0</v>
      </c>
      <c r="L27" s="810">
        <v>1.0</v>
      </c>
      <c r="M27" s="812">
        <v>0.0</v>
      </c>
      <c r="N27" s="813">
        <f t="shared" ref="N27:P27" si="24">if(E27="","",sum(E27,H27,K27))</f>
        <v>0</v>
      </c>
      <c r="O27" s="813">
        <f t="shared" si="24"/>
        <v>18</v>
      </c>
      <c r="P27" s="814">
        <f t="shared" si="24"/>
        <v>2</v>
      </c>
      <c r="Q27" s="815">
        <f t="shared" si="4"/>
        <v>20</v>
      </c>
      <c r="S27" s="816"/>
      <c r="T27" s="816"/>
    </row>
    <row r="28">
      <c r="B28" s="73"/>
      <c r="C28" s="805">
        <f t="shared" si="5"/>
        <v>46134</v>
      </c>
      <c r="D28" s="806" t="str">
        <f t="shared" si="2"/>
        <v>水</v>
      </c>
      <c r="E28" s="807">
        <v>0.0</v>
      </c>
      <c r="F28" s="818">
        <v>14.0</v>
      </c>
      <c r="G28" s="818">
        <v>1.0</v>
      </c>
      <c r="H28" s="807">
        <v>0.0</v>
      </c>
      <c r="I28" s="818">
        <v>2.0</v>
      </c>
      <c r="J28" s="818">
        <v>3.0</v>
      </c>
      <c r="K28" s="810">
        <v>0.0</v>
      </c>
      <c r="L28" s="810">
        <v>1.0</v>
      </c>
      <c r="M28" s="812">
        <v>1.0</v>
      </c>
      <c r="N28" s="813">
        <f t="shared" ref="N28:P28" si="25">if(E28="","",sum(E28,H28,K28))</f>
        <v>0</v>
      </c>
      <c r="O28" s="813">
        <f t="shared" si="25"/>
        <v>17</v>
      </c>
      <c r="P28" s="814">
        <f t="shared" si="25"/>
        <v>5</v>
      </c>
      <c r="Q28" s="815">
        <f t="shared" si="4"/>
        <v>22</v>
      </c>
      <c r="S28" s="816"/>
      <c r="T28" s="816"/>
    </row>
    <row r="29">
      <c r="B29" s="73"/>
      <c r="C29" s="805">
        <f t="shared" si="5"/>
        <v>46135</v>
      </c>
      <c r="D29" s="806" t="str">
        <f t="shared" si="2"/>
        <v>木</v>
      </c>
      <c r="E29" s="807">
        <v>0.0</v>
      </c>
      <c r="F29" s="812">
        <v>13.0</v>
      </c>
      <c r="G29" s="812">
        <v>0.0</v>
      </c>
      <c r="H29" s="807">
        <v>2.0</v>
      </c>
      <c r="I29" s="812">
        <v>1.0</v>
      </c>
      <c r="J29" s="812">
        <v>0.0</v>
      </c>
      <c r="K29" s="810">
        <v>0.0</v>
      </c>
      <c r="L29" s="810">
        <v>1.0</v>
      </c>
      <c r="M29" s="812">
        <v>0.0</v>
      </c>
      <c r="N29" s="813">
        <f t="shared" ref="N29:P29" si="26">if(E29="","",sum(E29,H29,K29))</f>
        <v>2</v>
      </c>
      <c r="O29" s="813">
        <f t="shared" si="26"/>
        <v>15</v>
      </c>
      <c r="P29" s="814">
        <f t="shared" si="26"/>
        <v>0</v>
      </c>
      <c r="Q29" s="815">
        <f t="shared" si="4"/>
        <v>17</v>
      </c>
      <c r="S29" s="816"/>
      <c r="T29" s="816"/>
    </row>
    <row r="30">
      <c r="B30" s="73"/>
      <c r="C30" s="805">
        <f t="shared" si="5"/>
        <v>46136</v>
      </c>
      <c r="D30" s="806" t="str">
        <f t="shared" si="2"/>
        <v>金</v>
      </c>
      <c r="E30" s="807">
        <v>2.0</v>
      </c>
      <c r="F30" s="807">
        <v>13.0</v>
      </c>
      <c r="G30" s="807">
        <v>0.0</v>
      </c>
      <c r="H30" s="807">
        <v>1.0</v>
      </c>
      <c r="I30" s="812">
        <v>2.0</v>
      </c>
      <c r="J30" s="812">
        <v>0.0</v>
      </c>
      <c r="K30" s="810">
        <v>0.0</v>
      </c>
      <c r="L30" s="810">
        <v>1.0</v>
      </c>
      <c r="M30" s="812">
        <v>0.0</v>
      </c>
      <c r="N30" s="813">
        <f t="shared" ref="N30:P30" si="27">if(E30="","",sum(E30,H30,K30))</f>
        <v>3</v>
      </c>
      <c r="O30" s="813">
        <f t="shared" si="27"/>
        <v>16</v>
      </c>
      <c r="P30" s="814">
        <f t="shared" si="27"/>
        <v>0</v>
      </c>
      <c r="Q30" s="815">
        <f t="shared" si="4"/>
        <v>19</v>
      </c>
      <c r="S30" s="816"/>
      <c r="T30" s="816"/>
    </row>
    <row r="31">
      <c r="B31" s="73"/>
      <c r="C31" s="805">
        <f t="shared" si="5"/>
        <v>46137</v>
      </c>
      <c r="D31" s="806" t="str">
        <f t="shared" si="2"/>
        <v>土</v>
      </c>
      <c r="E31" s="807">
        <v>0.0</v>
      </c>
      <c r="F31" s="807">
        <v>16.0</v>
      </c>
      <c r="G31" s="807">
        <v>0.0</v>
      </c>
      <c r="H31" s="807">
        <v>1.0</v>
      </c>
      <c r="I31" s="807">
        <v>2.0</v>
      </c>
      <c r="J31" s="812">
        <v>0.0</v>
      </c>
      <c r="K31" s="810">
        <v>1.0</v>
      </c>
      <c r="L31" s="810">
        <v>1.0</v>
      </c>
      <c r="M31" s="812">
        <v>0.0</v>
      </c>
      <c r="N31" s="813">
        <f t="shared" ref="N31:P31" si="28">if(E31="","",sum(E31,H31,K31))</f>
        <v>2</v>
      </c>
      <c r="O31" s="813">
        <f t="shared" si="28"/>
        <v>19</v>
      </c>
      <c r="P31" s="814">
        <f t="shared" si="28"/>
        <v>0</v>
      </c>
      <c r="Q31" s="815">
        <f t="shared" si="4"/>
        <v>21</v>
      </c>
      <c r="S31" s="816"/>
      <c r="T31" s="816"/>
    </row>
    <row r="32">
      <c r="B32" s="73"/>
      <c r="C32" s="805">
        <f t="shared" si="5"/>
        <v>46138</v>
      </c>
      <c r="D32" s="806" t="str">
        <f t="shared" si="2"/>
        <v>日</v>
      </c>
      <c r="E32" s="807">
        <v>0.0</v>
      </c>
      <c r="F32" s="807">
        <v>14.0</v>
      </c>
      <c r="G32" s="807">
        <v>1.0</v>
      </c>
      <c r="H32" s="807">
        <v>0.0</v>
      </c>
      <c r="I32" s="807">
        <v>1.0</v>
      </c>
      <c r="J32" s="807">
        <v>4.0</v>
      </c>
      <c r="K32" s="807">
        <v>0.0</v>
      </c>
      <c r="L32" s="807">
        <v>1.0</v>
      </c>
      <c r="M32" s="812">
        <v>1.0</v>
      </c>
      <c r="N32" s="813">
        <f t="shared" ref="N32:P32" si="29">if(E32="","",sum(E32,H32,K32))</f>
        <v>0</v>
      </c>
      <c r="O32" s="813">
        <f t="shared" si="29"/>
        <v>16</v>
      </c>
      <c r="P32" s="814">
        <f t="shared" si="29"/>
        <v>6</v>
      </c>
      <c r="Q32" s="815">
        <f t="shared" si="4"/>
        <v>22</v>
      </c>
      <c r="S32" s="816"/>
      <c r="T32" s="816"/>
    </row>
    <row r="33">
      <c r="B33" s="73"/>
      <c r="C33" s="805">
        <f t="shared" si="5"/>
        <v>46139</v>
      </c>
      <c r="D33" s="806" t="str">
        <f t="shared" si="2"/>
        <v>月</v>
      </c>
      <c r="E33" s="807">
        <v>0.0</v>
      </c>
      <c r="F33" s="807">
        <v>9.0</v>
      </c>
      <c r="G33" s="807">
        <v>5.0</v>
      </c>
      <c r="H33" s="807">
        <v>0.0</v>
      </c>
      <c r="I33" s="812">
        <v>1.0</v>
      </c>
      <c r="J33" s="812">
        <v>0.0</v>
      </c>
      <c r="K33" s="812">
        <v>0.0</v>
      </c>
      <c r="L33" s="812">
        <v>1.0</v>
      </c>
      <c r="M33" s="812">
        <v>0.0</v>
      </c>
      <c r="N33" s="813">
        <f t="shared" ref="N33:P33" si="30">if(E33="","",sum(E33,H33,K33))</f>
        <v>0</v>
      </c>
      <c r="O33" s="813">
        <f t="shared" si="30"/>
        <v>11</v>
      </c>
      <c r="P33" s="814">
        <f t="shared" si="30"/>
        <v>5</v>
      </c>
      <c r="Q33" s="815">
        <f t="shared" si="4"/>
        <v>16</v>
      </c>
      <c r="S33" s="816"/>
      <c r="T33" s="816"/>
    </row>
    <row r="34">
      <c r="B34" s="73"/>
      <c r="C34" s="805">
        <f t="shared" si="5"/>
        <v>46140</v>
      </c>
      <c r="D34" s="806" t="str">
        <f t="shared" si="2"/>
        <v>火</v>
      </c>
      <c r="E34" s="807">
        <v>0.0</v>
      </c>
      <c r="F34" s="807">
        <v>7.0</v>
      </c>
      <c r="G34" s="807">
        <v>0.0</v>
      </c>
      <c r="H34" s="807">
        <v>0.0</v>
      </c>
      <c r="I34" s="812">
        <v>0.0</v>
      </c>
      <c r="J34" s="812">
        <v>1.0</v>
      </c>
      <c r="K34" s="812">
        <v>0.0</v>
      </c>
      <c r="L34" s="812">
        <v>0.0</v>
      </c>
      <c r="M34" s="812">
        <v>1.0</v>
      </c>
      <c r="N34" s="813">
        <f t="shared" ref="N34:P34" si="31">if(E34="","",sum(E34,H34,K34))</f>
        <v>0</v>
      </c>
      <c r="O34" s="813">
        <f t="shared" si="31"/>
        <v>7</v>
      </c>
      <c r="P34" s="814">
        <f t="shared" si="31"/>
        <v>2</v>
      </c>
      <c r="Q34" s="815">
        <f t="shared" si="4"/>
        <v>9</v>
      </c>
      <c r="S34" s="816"/>
      <c r="T34" s="816"/>
    </row>
    <row r="35">
      <c r="B35" s="73"/>
      <c r="C35" s="805">
        <f t="shared" si="5"/>
        <v>46141</v>
      </c>
      <c r="D35" s="806" t="str">
        <f t="shared" si="2"/>
        <v>水</v>
      </c>
      <c r="E35" s="807">
        <v>2.0</v>
      </c>
      <c r="F35" s="807">
        <v>8.0</v>
      </c>
      <c r="G35" s="807">
        <v>1.0</v>
      </c>
      <c r="H35" s="807">
        <v>1.0</v>
      </c>
      <c r="I35" s="812">
        <v>0.0</v>
      </c>
      <c r="J35" s="812">
        <v>0.0</v>
      </c>
      <c r="K35" s="812">
        <v>0.0</v>
      </c>
      <c r="L35" s="812">
        <v>0.0</v>
      </c>
      <c r="M35" s="812">
        <v>0.0</v>
      </c>
      <c r="N35" s="813">
        <f t="shared" ref="N35:P35" si="32">if(E35="","",sum(E35,H35,K35))</f>
        <v>3</v>
      </c>
      <c r="O35" s="813">
        <f t="shared" si="32"/>
        <v>8</v>
      </c>
      <c r="P35" s="814">
        <f t="shared" si="32"/>
        <v>1</v>
      </c>
      <c r="Q35" s="815">
        <f t="shared" si="4"/>
        <v>12</v>
      </c>
      <c r="S35" s="816"/>
      <c r="T35" s="816"/>
    </row>
    <row r="36">
      <c r="B36" s="73"/>
      <c r="C36" s="805">
        <f t="shared" si="5"/>
        <v>46142</v>
      </c>
      <c r="D36" s="806" t="str">
        <f t="shared" si="2"/>
        <v>木</v>
      </c>
      <c r="E36" s="807">
        <v>0.0</v>
      </c>
      <c r="F36" s="807">
        <v>11.0</v>
      </c>
      <c r="G36" s="807">
        <v>2.0</v>
      </c>
      <c r="H36" s="807">
        <v>0.0</v>
      </c>
      <c r="I36" s="812">
        <v>1.0</v>
      </c>
      <c r="J36" s="812">
        <v>0.0</v>
      </c>
      <c r="K36" s="812">
        <v>0.0</v>
      </c>
      <c r="L36" s="812">
        <v>0.0</v>
      </c>
      <c r="M36" s="812">
        <v>0.0</v>
      </c>
      <c r="N36" s="813">
        <f t="shared" ref="N36:P36" si="33">if(E36="","",sum(E36,H36,K36))</f>
        <v>0</v>
      </c>
      <c r="O36" s="813">
        <f t="shared" si="33"/>
        <v>12</v>
      </c>
      <c r="P36" s="814">
        <f t="shared" si="33"/>
        <v>2</v>
      </c>
      <c r="Q36" s="815">
        <f t="shared" si="4"/>
        <v>14</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28</v>
      </c>
      <c r="F38" s="831">
        <f t="shared" si="35"/>
        <v>351</v>
      </c>
      <c r="G38" s="831">
        <f t="shared" si="35"/>
        <v>34</v>
      </c>
      <c r="H38" s="832">
        <f t="shared" si="35"/>
        <v>13</v>
      </c>
      <c r="I38" s="832">
        <f t="shared" si="35"/>
        <v>70</v>
      </c>
      <c r="J38" s="832">
        <f t="shared" si="35"/>
        <v>14</v>
      </c>
      <c r="K38" s="833">
        <f t="shared" si="35"/>
        <v>4</v>
      </c>
      <c r="L38" s="833">
        <f t="shared" si="35"/>
        <v>7</v>
      </c>
      <c r="M38" s="833">
        <f t="shared" si="35"/>
        <v>4</v>
      </c>
      <c r="N38" s="834">
        <f t="shared" si="35"/>
        <v>45</v>
      </c>
      <c r="O38" s="834">
        <f t="shared" si="35"/>
        <v>428</v>
      </c>
      <c r="P38" s="835">
        <f t="shared" si="35"/>
        <v>52</v>
      </c>
      <c r="Q38" s="836">
        <f>SUM(N38:P38)</f>
        <v>525</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656</v>
      </c>
      <c r="O2" s="431"/>
      <c r="P2" s="432"/>
      <c r="Q2" s="433"/>
      <c r="R2" s="433"/>
      <c r="S2" s="434"/>
      <c r="T2" s="433"/>
      <c r="U2" s="433"/>
      <c r="V2" s="433"/>
      <c r="W2" s="433"/>
      <c r="X2" s="433"/>
      <c r="Y2" s="435"/>
      <c r="Z2" s="406"/>
      <c r="AA2" s="406"/>
      <c r="AB2" s="406"/>
      <c r="AC2" s="406"/>
      <c r="AD2" s="406"/>
      <c r="AE2" s="406"/>
      <c r="AF2" s="436"/>
      <c r="AG2" s="437"/>
      <c r="AH2" s="438"/>
      <c r="AI2" s="439" t="s">
        <v>657</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46147</v>
      </c>
      <c r="C7" s="510"/>
      <c r="D7" s="426"/>
      <c r="E7" s="511">
        <f>today()+1</f>
        <v>46148</v>
      </c>
      <c r="F7" s="9"/>
      <c r="G7" s="426"/>
      <c r="H7" s="426"/>
      <c r="I7" s="512" t="s">
        <v>414</v>
      </c>
      <c r="J7" s="513" t="s">
        <v>415</v>
      </c>
      <c r="K7" s="514">
        <v>46113.0</v>
      </c>
      <c r="L7" s="515" t="s">
        <v>416</v>
      </c>
      <c r="M7" s="516" t="s">
        <v>417</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火</v>
      </c>
      <c r="D8" s="255"/>
      <c r="E8" s="525" t="s">
        <v>426</v>
      </c>
      <c r="F8" s="526" t="str">
        <f>TEXT(E7,"ddd")</f>
        <v>水</v>
      </c>
      <c r="G8" s="328"/>
      <c r="H8" s="328"/>
      <c r="I8" s="512"/>
      <c r="J8" s="527" t="s">
        <v>3</v>
      </c>
      <c r="K8" s="515" t="s">
        <v>427</v>
      </c>
      <c r="L8" s="528" t="s">
        <v>428</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09" t="b">
        <v>1</v>
      </c>
      <c r="J9" s="527"/>
      <c r="K9" s="534" t="s">
        <v>429</v>
      </c>
      <c r="L9" s="535" t="s">
        <v>430</v>
      </c>
      <c r="M9" s="536" t="s">
        <v>431</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1107"/>
      <c r="O11" s="543" t="s">
        <v>389</v>
      </c>
      <c r="P11" s="543" t="s">
        <v>389</v>
      </c>
      <c r="Q11" s="543" t="s">
        <v>403</v>
      </c>
      <c r="R11" s="1108" t="s">
        <v>389</v>
      </c>
      <c r="S11" s="543" t="s">
        <v>389</v>
      </c>
      <c r="T11" s="1107" t="s">
        <v>389</v>
      </c>
      <c r="U11" s="1107" t="s">
        <v>389</v>
      </c>
      <c r="V11" s="546"/>
      <c r="W11" s="543" t="s">
        <v>389</v>
      </c>
      <c r="X11" s="543"/>
      <c r="Y11" s="1108" t="s">
        <v>403</v>
      </c>
      <c r="Z11" s="1107" t="s">
        <v>389</v>
      </c>
      <c r="AA11" s="543" t="s">
        <v>389</v>
      </c>
      <c r="AB11" s="543" t="s">
        <v>389</v>
      </c>
      <c r="AC11" s="543"/>
      <c r="AD11" s="543" t="s">
        <v>389</v>
      </c>
      <c r="AE11" s="542"/>
      <c r="AF11" s="544" t="s">
        <v>389</v>
      </c>
      <c r="AG11" s="543" t="s">
        <v>389</v>
      </c>
      <c r="AH11" s="543" t="s">
        <v>389</v>
      </c>
      <c r="AI11" s="543"/>
      <c r="AJ11" s="543" t="s">
        <v>389</v>
      </c>
      <c r="AK11" s="543" t="s">
        <v>389</v>
      </c>
      <c r="AL11" s="543"/>
      <c r="AM11" s="1108" t="s">
        <v>389</v>
      </c>
      <c r="AN11" s="543" t="s">
        <v>389</v>
      </c>
      <c r="AO11" s="543" t="s">
        <v>389</v>
      </c>
      <c r="AP11" s="543"/>
      <c r="AQ11" s="543" t="s">
        <v>389</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t="s">
        <v>389</v>
      </c>
      <c r="T12" s="542"/>
      <c r="U12" s="543" t="s">
        <v>389</v>
      </c>
      <c r="V12" s="543" t="s">
        <v>389</v>
      </c>
      <c r="W12" s="543"/>
      <c r="X12" s="1109" t="s">
        <v>389</v>
      </c>
      <c r="Y12" s="1109" t="s">
        <v>389</v>
      </c>
      <c r="Z12" s="543" t="s">
        <v>389</v>
      </c>
      <c r="AA12" s="543" t="s">
        <v>389</v>
      </c>
      <c r="AB12" s="543"/>
      <c r="AC12" s="543" t="s">
        <v>389</v>
      </c>
      <c r="AD12" s="542" t="s">
        <v>403</v>
      </c>
      <c r="AE12" s="543" t="s">
        <v>389</v>
      </c>
      <c r="AF12" s="543" t="s">
        <v>389</v>
      </c>
      <c r="AG12" s="543" t="s">
        <v>389</v>
      </c>
      <c r="AH12" s="543"/>
      <c r="AI12" s="543" t="s">
        <v>389</v>
      </c>
      <c r="AJ12" s="543"/>
      <c r="AK12" s="543" t="s">
        <v>389</v>
      </c>
      <c r="AL12" s="543" t="s">
        <v>389</v>
      </c>
      <c r="AM12" s="543" t="s">
        <v>389</v>
      </c>
      <c r="AN12" s="543" t="s">
        <v>389</v>
      </c>
      <c r="AO12" s="543"/>
      <c r="AP12" s="543" t="s">
        <v>389</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t="s">
        <v>389</v>
      </c>
      <c r="O13" s="543" t="s">
        <v>389</v>
      </c>
      <c r="P13" s="543" t="s">
        <v>389</v>
      </c>
      <c r="Q13" s="543" t="s">
        <v>389</v>
      </c>
      <c r="R13" s="543"/>
      <c r="S13" s="543"/>
      <c r="T13" s="543" t="s">
        <v>389</v>
      </c>
      <c r="U13" s="543" t="s">
        <v>389</v>
      </c>
      <c r="V13" s="543" t="s">
        <v>389</v>
      </c>
      <c r="W13" s="543" t="s">
        <v>389</v>
      </c>
      <c r="X13" s="543" t="s">
        <v>389</v>
      </c>
      <c r="Y13" s="543" t="s">
        <v>389</v>
      </c>
      <c r="Z13" s="543"/>
      <c r="AA13" s="543" t="s">
        <v>409</v>
      </c>
      <c r="AB13" s="543" t="s">
        <v>389</v>
      </c>
      <c r="AC13" s="543" t="s">
        <v>389</v>
      </c>
      <c r="AD13" s="543" t="s">
        <v>389</v>
      </c>
      <c r="AE13" s="543" t="s">
        <v>389</v>
      </c>
      <c r="AF13" s="543"/>
      <c r="AG13" s="543"/>
      <c r="AH13" s="543" t="s">
        <v>389</v>
      </c>
      <c r="AI13" s="543" t="s">
        <v>389</v>
      </c>
      <c r="AJ13" s="543" t="s">
        <v>389</v>
      </c>
      <c r="AK13" s="543" t="s">
        <v>389</v>
      </c>
      <c r="AL13" s="543" t="s">
        <v>389</v>
      </c>
      <c r="AM13" s="543"/>
      <c r="AN13" s="543"/>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09" t="b">
        <v>0</v>
      </c>
      <c r="J14" s="513"/>
      <c r="K14" s="534" t="s">
        <v>437</v>
      </c>
      <c r="L14" s="535" t="s">
        <v>436</v>
      </c>
      <c r="M14" s="541"/>
      <c r="N14" s="543"/>
      <c r="O14" s="543" t="s">
        <v>409</v>
      </c>
      <c r="P14" s="543"/>
      <c r="Q14" s="543" t="s">
        <v>389</v>
      </c>
      <c r="R14" s="543"/>
      <c r="S14" s="543"/>
      <c r="T14" s="543" t="s">
        <v>389</v>
      </c>
      <c r="U14" s="543"/>
      <c r="V14" s="542" t="s">
        <v>389</v>
      </c>
      <c r="W14" s="543"/>
      <c r="X14" s="543" t="s">
        <v>409</v>
      </c>
      <c r="Y14" s="543"/>
      <c r="Z14" s="543"/>
      <c r="AA14" s="543" t="s">
        <v>389</v>
      </c>
      <c r="AB14" s="543"/>
      <c r="AC14" s="543" t="s">
        <v>389</v>
      </c>
      <c r="AD14" s="543" t="s">
        <v>405</v>
      </c>
      <c r="AE14" s="543" t="s">
        <v>389</v>
      </c>
      <c r="AF14" s="543"/>
      <c r="AG14" s="543"/>
      <c r="AH14" s="543" t="s">
        <v>389</v>
      </c>
      <c r="AI14" s="543" t="s">
        <v>389</v>
      </c>
      <c r="AJ14" s="543" t="s">
        <v>389</v>
      </c>
      <c r="AK14" s="543"/>
      <c r="AL14" s="543" t="s">
        <v>389</v>
      </c>
      <c r="AM14" s="543"/>
      <c r="AN14" s="543"/>
      <c r="AO14" s="543" t="s">
        <v>389</v>
      </c>
      <c r="AP14" s="543" t="s">
        <v>389</v>
      </c>
      <c r="AQ14" s="543" t="s">
        <v>389</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09" t="b">
        <v>0</v>
      </c>
      <c r="J15" s="513"/>
      <c r="K15" s="534" t="s">
        <v>438</v>
      </c>
      <c r="L15" s="535" t="s">
        <v>436</v>
      </c>
      <c r="M15" s="541"/>
      <c r="N15" s="543" t="s">
        <v>389</v>
      </c>
      <c r="O15" s="543" t="s">
        <v>389</v>
      </c>
      <c r="P15" s="543" t="s">
        <v>389</v>
      </c>
      <c r="Q15" s="543"/>
      <c r="R15" s="543" t="s">
        <v>389</v>
      </c>
      <c r="S15" s="543" t="s">
        <v>389</v>
      </c>
      <c r="T15" s="543"/>
      <c r="U15" s="543"/>
      <c r="V15" s="543"/>
      <c r="W15" s="543" t="s">
        <v>389</v>
      </c>
      <c r="X15" s="543" t="s">
        <v>389</v>
      </c>
      <c r="Y15" s="543" t="s">
        <v>389</v>
      </c>
      <c r="Z15" s="543" t="s">
        <v>389</v>
      </c>
      <c r="AA15" s="543"/>
      <c r="AB15" s="543" t="s">
        <v>389</v>
      </c>
      <c r="AC15" s="543"/>
      <c r="AD15" s="553" t="s">
        <v>389</v>
      </c>
      <c r="AE15" s="543"/>
      <c r="AF15" s="543"/>
      <c r="AG15" s="543" t="s">
        <v>389</v>
      </c>
      <c r="AH15" s="543"/>
      <c r="AI15" s="543"/>
      <c r="AJ15" s="543"/>
      <c r="AK15" s="543"/>
      <c r="AL15" s="543"/>
      <c r="AM15" s="543" t="s">
        <v>389</v>
      </c>
      <c r="AN15" s="543" t="s">
        <v>389</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c r="O16" s="543" t="s">
        <v>392</v>
      </c>
      <c r="P16" s="543"/>
      <c r="Q16" s="543" t="s">
        <v>405</v>
      </c>
      <c r="R16" s="543" t="s">
        <v>389</v>
      </c>
      <c r="S16" s="543"/>
      <c r="T16" s="543"/>
      <c r="U16" s="543"/>
      <c r="V16" s="543"/>
      <c r="W16" s="543"/>
      <c r="X16" s="543"/>
      <c r="Y16" s="543" t="s">
        <v>396</v>
      </c>
      <c r="Z16" s="543"/>
      <c r="AA16" s="543"/>
      <c r="AB16" s="543"/>
      <c r="AC16" s="543"/>
      <c r="AD16" s="543"/>
      <c r="AE16" s="543" t="s">
        <v>396</v>
      </c>
      <c r="AF16" s="543" t="s">
        <v>389</v>
      </c>
      <c r="AG16" s="543"/>
      <c r="AH16" s="543"/>
      <c r="AI16" s="543"/>
      <c r="AJ16" s="543"/>
      <c r="AK16" s="543"/>
      <c r="AL16" s="1109"/>
      <c r="AM16" s="543" t="s">
        <v>392</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09" t="b">
        <v>0</v>
      </c>
      <c r="J18" s="513"/>
      <c r="K18" s="534" t="s">
        <v>440</v>
      </c>
      <c r="L18" s="535" t="s">
        <v>430</v>
      </c>
      <c r="M18" s="541"/>
      <c r="N18" s="543"/>
      <c r="O18" s="543" t="s">
        <v>392</v>
      </c>
      <c r="P18" s="543"/>
      <c r="Q18" s="543"/>
      <c r="R18" s="543"/>
      <c r="S18" s="543"/>
      <c r="T18" s="543" t="s">
        <v>392</v>
      </c>
      <c r="U18" s="543"/>
      <c r="V18" s="543" t="s">
        <v>392</v>
      </c>
      <c r="W18" s="543"/>
      <c r="X18" s="543"/>
      <c r="Y18" s="543"/>
      <c r="Z18" s="543"/>
      <c r="AA18" s="543" t="s">
        <v>392</v>
      </c>
      <c r="AB18" s="543"/>
      <c r="AC18" s="543" t="s">
        <v>392</v>
      </c>
      <c r="AD18" s="543"/>
      <c r="AE18" s="543"/>
      <c r="AF18" s="543"/>
      <c r="AG18" s="543" t="s">
        <v>392</v>
      </c>
      <c r="AH18" s="543" t="s">
        <v>392</v>
      </c>
      <c r="AI18" s="543"/>
      <c r="AJ18" s="543" t="s">
        <v>392</v>
      </c>
      <c r="AK18" s="543"/>
      <c r="AL18" s="543"/>
      <c r="AM18" s="543"/>
      <c r="AN18" s="543" t="s">
        <v>392</v>
      </c>
      <c r="AO18" s="543" t="s">
        <v>392</v>
      </c>
      <c r="AP18" s="543"/>
      <c r="AQ18" s="543" t="s">
        <v>392</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09" t="b">
        <v>0</v>
      </c>
      <c r="J19" s="513"/>
      <c r="K19" s="534" t="s">
        <v>441</v>
      </c>
      <c r="L19" s="535" t="s">
        <v>430</v>
      </c>
      <c r="M19" s="541"/>
      <c r="N19" s="543"/>
      <c r="O19" s="543"/>
      <c r="P19" s="543"/>
      <c r="Q19" s="543" t="s">
        <v>392</v>
      </c>
      <c r="R19" s="543" t="s">
        <v>392</v>
      </c>
      <c r="S19" s="543" t="s">
        <v>392</v>
      </c>
      <c r="T19" s="543"/>
      <c r="U19" s="543"/>
      <c r="V19" s="537"/>
      <c r="W19" s="543"/>
      <c r="X19" s="543" t="s">
        <v>392</v>
      </c>
      <c r="Y19" s="543" t="s">
        <v>392</v>
      </c>
      <c r="Z19" s="543" t="s">
        <v>392</v>
      </c>
      <c r="AA19" s="543"/>
      <c r="AB19" s="543"/>
      <c r="AC19" s="537"/>
      <c r="AD19" s="543"/>
      <c r="AE19" s="543" t="s">
        <v>392</v>
      </c>
      <c r="AF19" s="543" t="s">
        <v>392</v>
      </c>
      <c r="AG19" s="537"/>
      <c r="AH19" s="543"/>
      <c r="AI19" s="543"/>
      <c r="AJ19" s="537"/>
      <c r="AK19" s="543"/>
      <c r="AL19" s="543" t="s">
        <v>407</v>
      </c>
      <c r="AM19" s="543" t="s">
        <v>407</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09" t="b">
        <v>0</v>
      </c>
      <c r="J40" s="513"/>
      <c r="K40" s="534" t="s">
        <v>442</v>
      </c>
      <c r="L40" s="535" t="s">
        <v>443</v>
      </c>
      <c r="M40" s="536" t="s">
        <v>303</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09" t="b">
        <v>0</v>
      </c>
      <c r="J41" s="513"/>
      <c r="K41" s="534" t="s">
        <v>444</v>
      </c>
      <c r="L41" s="535" t="s">
        <v>436</v>
      </c>
      <c r="M41" s="536" t="s">
        <v>392</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09" t="b">
        <v>0</v>
      </c>
      <c r="J44" s="513"/>
      <c r="K44" s="534" t="s">
        <v>81</v>
      </c>
      <c r="L44" s="535" t="s">
        <v>443</v>
      </c>
      <c r="M44" s="541"/>
      <c r="N44" s="543" t="s">
        <v>303</v>
      </c>
      <c r="O44" s="543"/>
      <c r="P44" s="543" t="s">
        <v>303</v>
      </c>
      <c r="Q44" s="543" t="s">
        <v>303</v>
      </c>
      <c r="R44" s="543" t="s">
        <v>303</v>
      </c>
      <c r="S44" s="543" t="s">
        <v>303</v>
      </c>
      <c r="T44" s="543" t="s">
        <v>303</v>
      </c>
      <c r="U44" s="543" t="s">
        <v>303</v>
      </c>
      <c r="V44" s="543"/>
      <c r="W44" s="543" t="s">
        <v>303</v>
      </c>
      <c r="X44" s="543" t="s">
        <v>303</v>
      </c>
      <c r="Y44" s="543" t="s">
        <v>303</v>
      </c>
      <c r="Z44" s="543" t="s">
        <v>303</v>
      </c>
      <c r="AA44" s="543" t="s">
        <v>303</v>
      </c>
      <c r="AB44" s="543" t="s">
        <v>303</v>
      </c>
      <c r="AC44" s="543"/>
      <c r="AD44" s="543" t="s">
        <v>303</v>
      </c>
      <c r="AE44" s="543" t="s">
        <v>303</v>
      </c>
      <c r="AF44" s="543" t="s">
        <v>303</v>
      </c>
      <c r="AG44" s="543" t="s">
        <v>303</v>
      </c>
      <c r="AH44" s="543" t="s">
        <v>303</v>
      </c>
      <c r="AI44" s="543" t="s">
        <v>303</v>
      </c>
      <c r="AJ44" s="543"/>
      <c r="AK44" s="543" t="s">
        <v>303</v>
      </c>
      <c r="AL44" s="543" t="s">
        <v>303</v>
      </c>
      <c r="AM44" s="543" t="s">
        <v>303</v>
      </c>
      <c r="AN44" s="543" t="s">
        <v>303</v>
      </c>
      <c r="AO44" s="543" t="s">
        <v>303</v>
      </c>
      <c r="AP44" s="543" t="s">
        <v>303</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09" t="b">
        <v>0</v>
      </c>
      <c r="J45" s="513"/>
      <c r="K45" s="534" t="s">
        <v>38</v>
      </c>
      <c r="L45" s="535" t="s">
        <v>443</v>
      </c>
      <c r="M45" s="541"/>
      <c r="N45" s="543" t="s">
        <v>303</v>
      </c>
      <c r="O45" s="543" t="s">
        <v>303</v>
      </c>
      <c r="P45" s="543" t="s">
        <v>303</v>
      </c>
      <c r="Q45" s="543" t="s">
        <v>303</v>
      </c>
      <c r="R45" s="543" t="s">
        <v>303</v>
      </c>
      <c r="S45" s="543"/>
      <c r="T45" s="543" t="s">
        <v>303</v>
      </c>
      <c r="U45" s="543" t="s">
        <v>303</v>
      </c>
      <c r="V45" s="543" t="s">
        <v>303</v>
      </c>
      <c r="W45" s="543" t="s">
        <v>303</v>
      </c>
      <c r="X45" s="543" t="s">
        <v>303</v>
      </c>
      <c r="Y45" s="543" t="s">
        <v>303</v>
      </c>
      <c r="Z45" s="543"/>
      <c r="AA45" s="543" t="s">
        <v>303</v>
      </c>
      <c r="AB45" s="543" t="s">
        <v>303</v>
      </c>
      <c r="AC45" s="543" t="s">
        <v>303</v>
      </c>
      <c r="AD45" s="543" t="s">
        <v>303</v>
      </c>
      <c r="AE45" s="543" t="s">
        <v>303</v>
      </c>
      <c r="AF45" s="543" t="s">
        <v>303</v>
      </c>
      <c r="AG45" s="543"/>
      <c r="AH45" s="543" t="s">
        <v>303</v>
      </c>
      <c r="AI45" s="543" t="s">
        <v>303</v>
      </c>
      <c r="AJ45" s="543" t="s">
        <v>303</v>
      </c>
      <c r="AK45" s="543" t="s">
        <v>303</v>
      </c>
      <c r="AL45" s="543" t="s">
        <v>303</v>
      </c>
      <c r="AM45" s="543" t="s">
        <v>303</v>
      </c>
      <c r="AN45" s="543"/>
      <c r="AO45" s="543" t="s">
        <v>303</v>
      </c>
      <c r="AP45" s="543" t="s">
        <v>303</v>
      </c>
      <c r="AQ45" s="543" t="s">
        <v>303</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09" t="b">
        <v>0</v>
      </c>
      <c r="J46" s="513"/>
      <c r="K46" s="534" t="s">
        <v>45</v>
      </c>
      <c r="L46" s="535" t="s">
        <v>443</v>
      </c>
      <c r="M46" s="541"/>
      <c r="N46" s="543" t="s">
        <v>303</v>
      </c>
      <c r="O46" s="543" t="s">
        <v>303</v>
      </c>
      <c r="P46" s="543" t="s">
        <v>303</v>
      </c>
      <c r="Q46" s="543" t="s">
        <v>303</v>
      </c>
      <c r="R46" s="543" t="s">
        <v>303</v>
      </c>
      <c r="S46" s="543"/>
      <c r="T46" s="543" t="s">
        <v>303</v>
      </c>
      <c r="U46" s="543" t="s">
        <v>303</v>
      </c>
      <c r="V46" s="543" t="s">
        <v>303</v>
      </c>
      <c r="W46" s="543" t="s">
        <v>303</v>
      </c>
      <c r="X46" s="543" t="s">
        <v>303</v>
      </c>
      <c r="Y46" s="543" t="s">
        <v>303</v>
      </c>
      <c r="Z46" s="543"/>
      <c r="AA46" s="543" t="s">
        <v>303</v>
      </c>
      <c r="AB46" s="543" t="s">
        <v>303</v>
      </c>
      <c r="AC46" s="543" t="s">
        <v>303</v>
      </c>
      <c r="AD46" s="543" t="s">
        <v>303</v>
      </c>
      <c r="AE46" s="543" t="s">
        <v>303</v>
      </c>
      <c r="AF46" s="543" t="s">
        <v>303</v>
      </c>
      <c r="AG46" s="543"/>
      <c r="AH46" s="543" t="s">
        <v>303</v>
      </c>
      <c r="AI46" s="543" t="s">
        <v>303</v>
      </c>
      <c r="AJ46" s="543" t="s">
        <v>303</v>
      </c>
      <c r="AK46" s="543" t="s">
        <v>303</v>
      </c>
      <c r="AL46" s="543" t="s">
        <v>303</v>
      </c>
      <c r="AM46" s="543" t="s">
        <v>303</v>
      </c>
      <c r="AN46" s="543"/>
      <c r="AO46" s="543" t="s">
        <v>303</v>
      </c>
      <c r="AP46" s="543" t="s">
        <v>303</v>
      </c>
      <c r="AQ46" s="543" t="s">
        <v>303</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09" t="b">
        <v>0</v>
      </c>
      <c r="J47" s="513"/>
      <c r="K47" s="534" t="s">
        <v>65</v>
      </c>
      <c r="L47" s="535" t="s">
        <v>443</v>
      </c>
      <c r="M47" s="541"/>
      <c r="N47" s="543" t="s">
        <v>303</v>
      </c>
      <c r="O47" s="543" t="s">
        <v>303</v>
      </c>
      <c r="P47" s="543" t="s">
        <v>303</v>
      </c>
      <c r="Q47" s="543"/>
      <c r="R47" s="543" t="s">
        <v>303</v>
      </c>
      <c r="S47" s="543" t="s">
        <v>303</v>
      </c>
      <c r="T47" s="543" t="s">
        <v>303</v>
      </c>
      <c r="U47" s="543" t="s">
        <v>303</v>
      </c>
      <c r="V47" s="543" t="s">
        <v>303</v>
      </c>
      <c r="W47" s="543" t="s">
        <v>303</v>
      </c>
      <c r="X47" s="543"/>
      <c r="Y47" s="543" t="s">
        <v>303</v>
      </c>
      <c r="Z47" s="543" t="s">
        <v>303</v>
      </c>
      <c r="AA47" s="543" t="s">
        <v>303</v>
      </c>
      <c r="AB47" s="543" t="s">
        <v>303</v>
      </c>
      <c r="AC47" s="543" t="s">
        <v>303</v>
      </c>
      <c r="AD47" s="543" t="s">
        <v>303</v>
      </c>
      <c r="AE47" s="543"/>
      <c r="AF47" s="543" t="s">
        <v>303</v>
      </c>
      <c r="AG47" s="543" t="s">
        <v>303</v>
      </c>
      <c r="AH47" s="543" t="s">
        <v>303</v>
      </c>
      <c r="AI47" s="543" t="s">
        <v>303</v>
      </c>
      <c r="AJ47" s="543" t="s">
        <v>303</v>
      </c>
      <c r="AK47" s="543" t="s">
        <v>303</v>
      </c>
      <c r="AL47" s="543"/>
      <c r="AM47" s="543" t="s">
        <v>303</v>
      </c>
      <c r="AN47" s="543" t="s">
        <v>303</v>
      </c>
      <c r="AO47" s="543" t="s">
        <v>303</v>
      </c>
      <c r="AP47" s="543" t="s">
        <v>303</v>
      </c>
      <c r="AQ47" s="543" t="s">
        <v>303</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09" t="b">
        <v>0</v>
      </c>
      <c r="J48" s="513"/>
      <c r="K48" s="534" t="s">
        <v>137</v>
      </c>
      <c r="L48" s="535" t="s">
        <v>443</v>
      </c>
      <c r="M48" s="541"/>
      <c r="N48" s="543" t="s">
        <v>303</v>
      </c>
      <c r="O48" s="543" t="s">
        <v>303</v>
      </c>
      <c r="P48" s="543"/>
      <c r="Q48" s="543" t="s">
        <v>303</v>
      </c>
      <c r="R48" s="543" t="s">
        <v>303</v>
      </c>
      <c r="S48" s="543" t="s">
        <v>303</v>
      </c>
      <c r="T48" s="543" t="s">
        <v>303</v>
      </c>
      <c r="U48" s="543" t="s">
        <v>409</v>
      </c>
      <c r="V48" s="543" t="s">
        <v>303</v>
      </c>
      <c r="W48" s="543"/>
      <c r="X48" s="543" t="s">
        <v>303</v>
      </c>
      <c r="Y48" s="543" t="s">
        <v>303</v>
      </c>
      <c r="Z48" s="543" t="s">
        <v>303</v>
      </c>
      <c r="AA48" s="543" t="s">
        <v>303</v>
      </c>
      <c r="AB48" s="543" t="s">
        <v>303</v>
      </c>
      <c r="AC48" s="543" t="s">
        <v>303</v>
      </c>
      <c r="AD48" s="543"/>
      <c r="AE48" s="543" t="s">
        <v>303</v>
      </c>
      <c r="AF48" s="543" t="s">
        <v>303</v>
      </c>
      <c r="AG48" s="543" t="s">
        <v>303</v>
      </c>
      <c r="AH48" s="543" t="s">
        <v>303</v>
      </c>
      <c r="AI48" s="543" t="s">
        <v>303</v>
      </c>
      <c r="AJ48" s="543" t="s">
        <v>303</v>
      </c>
      <c r="AK48" s="543"/>
      <c r="AL48" s="543" t="s">
        <v>303</v>
      </c>
      <c r="AM48" s="543" t="s">
        <v>303</v>
      </c>
      <c r="AN48" s="543" t="s">
        <v>303</v>
      </c>
      <c r="AO48" s="543" t="s">
        <v>303</v>
      </c>
      <c r="AP48" s="543" t="s">
        <v>303</v>
      </c>
      <c r="AQ48" s="543" t="s">
        <v>303</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09" t="b">
        <v>0</v>
      </c>
      <c r="J49" s="513"/>
      <c r="K49" s="534" t="s">
        <v>258</v>
      </c>
      <c r="L49" s="535" t="s">
        <v>443</v>
      </c>
      <c r="M49" s="541"/>
      <c r="N49" s="543" t="s">
        <v>303</v>
      </c>
      <c r="O49" s="543" t="s">
        <v>303</v>
      </c>
      <c r="P49" s="543" t="s">
        <v>303</v>
      </c>
      <c r="Q49" s="543" t="s">
        <v>303</v>
      </c>
      <c r="R49" s="543" t="s">
        <v>303</v>
      </c>
      <c r="S49" s="543" t="s">
        <v>303</v>
      </c>
      <c r="T49" s="543"/>
      <c r="U49" s="543" t="s">
        <v>303</v>
      </c>
      <c r="V49" s="543" t="s">
        <v>303</v>
      </c>
      <c r="W49" s="543" t="s">
        <v>303</v>
      </c>
      <c r="X49" s="543" t="s">
        <v>303</v>
      </c>
      <c r="Y49" s="543" t="s">
        <v>303</v>
      </c>
      <c r="Z49" s="543" t="s">
        <v>303</v>
      </c>
      <c r="AA49" s="543"/>
      <c r="AB49" s="543" t="s">
        <v>303</v>
      </c>
      <c r="AC49" s="543" t="s">
        <v>303</v>
      </c>
      <c r="AD49" s="543" t="s">
        <v>303</v>
      </c>
      <c r="AE49" s="543" t="s">
        <v>303</v>
      </c>
      <c r="AF49" s="543" t="s">
        <v>303</v>
      </c>
      <c r="AG49" s="543" t="s">
        <v>303</v>
      </c>
      <c r="AH49" s="543"/>
      <c r="AI49" s="543" t="s">
        <v>303</v>
      </c>
      <c r="AJ49" s="543" t="s">
        <v>303</v>
      </c>
      <c r="AK49" s="543" t="s">
        <v>303</v>
      </c>
      <c r="AL49" s="543" t="s">
        <v>303</v>
      </c>
      <c r="AM49" s="543" t="s">
        <v>303</v>
      </c>
      <c r="AN49" s="543" t="s">
        <v>303</v>
      </c>
      <c r="AO49" s="543"/>
      <c r="AP49" s="543" t="s">
        <v>303</v>
      </c>
      <c r="AQ49" s="543" t="s">
        <v>303</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09" t="b">
        <v>0</v>
      </c>
      <c r="J50" s="513"/>
      <c r="K50" s="534" t="s">
        <v>166</v>
      </c>
      <c r="L50" s="535" t="s">
        <v>443</v>
      </c>
      <c r="M50" s="541"/>
      <c r="N50" s="543"/>
      <c r="O50" s="543" t="s">
        <v>303</v>
      </c>
      <c r="P50" s="543" t="s">
        <v>303</v>
      </c>
      <c r="Q50" s="543" t="s">
        <v>303</v>
      </c>
      <c r="R50" s="543"/>
      <c r="S50" s="543" t="s">
        <v>303</v>
      </c>
      <c r="T50" s="543"/>
      <c r="U50" s="543"/>
      <c r="V50" s="543" t="s">
        <v>303</v>
      </c>
      <c r="W50" s="543" t="s">
        <v>303</v>
      </c>
      <c r="X50" s="543" t="s">
        <v>303</v>
      </c>
      <c r="Y50" s="543"/>
      <c r="Z50" s="543" t="s">
        <v>303</v>
      </c>
      <c r="AA50" s="543"/>
      <c r="AB50" s="543"/>
      <c r="AC50" s="543" t="s">
        <v>303</v>
      </c>
      <c r="AD50" s="543" t="s">
        <v>303</v>
      </c>
      <c r="AE50" s="543" t="s">
        <v>303</v>
      </c>
      <c r="AF50" s="543"/>
      <c r="AG50" s="543" t="s">
        <v>303</v>
      </c>
      <c r="AH50" s="543"/>
      <c r="AI50" s="543"/>
      <c r="AJ50" s="543" t="s">
        <v>303</v>
      </c>
      <c r="AK50" s="543" t="s">
        <v>303</v>
      </c>
      <c r="AL50" s="543" t="s">
        <v>303</v>
      </c>
      <c r="AM50" s="543"/>
      <c r="AN50" s="543" t="s">
        <v>303</v>
      </c>
      <c r="AO50" s="543"/>
      <c r="AP50" s="543"/>
      <c r="AQ50" s="543" t="s">
        <v>303</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658</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1.5" customHeight="1">
      <c r="A5" s="971"/>
      <c r="B5" s="983" t="s">
        <v>454</v>
      </c>
      <c r="C5" s="984"/>
      <c r="D5" s="985">
        <v>46113.0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4</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46113</v>
      </c>
      <c r="D9" s="1029" t="str">
        <f>TEXT(C9,"ddd")</f>
        <v>水</v>
      </c>
      <c r="E9" s="1030"/>
      <c r="F9" s="1031" t="s">
        <v>103</v>
      </c>
      <c r="G9" s="1032" t="s">
        <v>659</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46114</v>
      </c>
      <c r="D20" s="1053" t="str">
        <f>TEXT(C20,"ddd")</f>
        <v>木</v>
      </c>
      <c r="E20" s="1054"/>
      <c r="F20" s="1055" t="s">
        <v>251</v>
      </c>
      <c r="G20" s="1056" t="s">
        <v>660</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46115</v>
      </c>
      <c r="D31" s="1072" t="str">
        <f>TEXT(C31,"ddd")</f>
        <v>金</v>
      </c>
      <c r="E31" s="1073"/>
      <c r="F31" s="1074" t="s">
        <v>251</v>
      </c>
      <c r="G31" s="1075" t="s">
        <v>661</v>
      </c>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46116</v>
      </c>
      <c r="D42" s="1053" t="str">
        <f>TEXT(C42,"ddd")</f>
        <v>土</v>
      </c>
      <c r="E42" s="1054"/>
      <c r="F42" s="1083" t="s">
        <v>103</v>
      </c>
      <c r="G42" s="1084" t="s">
        <v>662</v>
      </c>
      <c r="H42" s="1085"/>
      <c r="I42" s="1085" t="s">
        <v>643</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46117</v>
      </c>
      <c r="D53" s="1072" t="str">
        <f>TEXT(C53,"ddd")</f>
        <v>日</v>
      </c>
      <c r="E53" s="1073"/>
      <c r="F53" s="1074" t="s">
        <v>103</v>
      </c>
      <c r="G53" s="1075" t="s">
        <v>663</v>
      </c>
      <c r="H53" s="1076"/>
      <c r="I53" s="1076" t="s">
        <v>664</v>
      </c>
      <c r="J53" s="1076">
        <v>6.0</v>
      </c>
      <c r="K53" s="1076">
        <v>4.0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651</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46118</v>
      </c>
      <c r="D65" s="1053" t="str">
        <f>TEXT(C65,"ddd")</f>
        <v>月</v>
      </c>
      <c r="E65" s="1054"/>
      <c r="F65" s="1083" t="s">
        <v>103</v>
      </c>
      <c r="G65" s="1084" t="s">
        <v>665</v>
      </c>
      <c r="H65" s="1085"/>
      <c r="I65" s="1085" t="s">
        <v>643</v>
      </c>
      <c r="J65" s="1085">
        <v>5.0</v>
      </c>
      <c r="K65" s="1085">
        <v>3.0</v>
      </c>
      <c r="L65" s="1063" t="s">
        <v>437</v>
      </c>
      <c r="M65" s="1063" t="s">
        <v>666</v>
      </c>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46119</v>
      </c>
      <c r="D76" s="1072" t="str">
        <f>TEXT(C76,"ddd")</f>
        <v>火</v>
      </c>
      <c r="E76" s="1073"/>
      <c r="F76" s="1074" t="s">
        <v>251</v>
      </c>
      <c r="G76" s="1075" t="s">
        <v>667</v>
      </c>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46120</v>
      </c>
      <c r="D87" s="1053" t="str">
        <f>TEXT(C87,"ddd")</f>
        <v>水</v>
      </c>
      <c r="E87" s="1054"/>
      <c r="F87" s="1083" t="s">
        <v>103</v>
      </c>
      <c r="G87" s="1084" t="s">
        <v>668</v>
      </c>
      <c r="H87" s="1085"/>
      <c r="I87" s="1085" t="s">
        <v>643</v>
      </c>
      <c r="J87" s="1085">
        <v>5.0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46121</v>
      </c>
      <c r="D98" s="1072" t="str">
        <f>TEXT(C98,"ddd")</f>
        <v>木</v>
      </c>
      <c r="E98" s="1073"/>
      <c r="F98" s="1074" t="s">
        <v>103</v>
      </c>
      <c r="G98" s="1075" t="s">
        <v>669</v>
      </c>
      <c r="H98" s="1076"/>
      <c r="I98" s="1076" t="s">
        <v>643</v>
      </c>
      <c r="J98" s="1076">
        <v>6.0</v>
      </c>
      <c r="K98" s="1076">
        <v>3.0</v>
      </c>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46122</v>
      </c>
      <c r="D109" s="1053" t="str">
        <f>TEXT(C109,"ddd")</f>
        <v>金</v>
      </c>
      <c r="E109" s="1054"/>
      <c r="F109" s="1083" t="s">
        <v>251</v>
      </c>
      <c r="G109" s="1084" t="s">
        <v>670</v>
      </c>
      <c r="H109" s="1085">
        <v>1.0</v>
      </c>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652</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46123</v>
      </c>
      <c r="D121" s="1072" t="str">
        <f>TEXT(C121,"ddd")</f>
        <v>土</v>
      </c>
      <c r="E121" s="1073"/>
      <c r="F121" s="1074" t="s">
        <v>103</v>
      </c>
      <c r="G121" s="1075" t="s">
        <v>671</v>
      </c>
      <c r="H121" s="1076"/>
      <c r="I121" s="1076" t="s">
        <v>643</v>
      </c>
      <c r="J121" s="1076">
        <v>6.0</v>
      </c>
      <c r="K121" s="1076">
        <v>3.0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46124</v>
      </c>
      <c r="D132" s="1053" t="str">
        <f>TEXT(C132,"ddd")</f>
        <v>日</v>
      </c>
      <c r="E132" s="1054"/>
      <c r="F132" s="1083" t="s">
        <v>103</v>
      </c>
      <c r="G132" s="1084" t="s">
        <v>672</v>
      </c>
      <c r="H132" s="1085">
        <v>1.0</v>
      </c>
      <c r="I132" s="1085"/>
      <c r="J132" s="1085">
        <v>6.0</v>
      </c>
      <c r="K132" s="1085">
        <v>4.0</v>
      </c>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46125</v>
      </c>
      <c r="D143" s="1072" t="str">
        <f>TEXT(C143,"ddd")</f>
        <v>月</v>
      </c>
      <c r="E143" s="1073"/>
      <c r="F143" s="1074" t="s">
        <v>251</v>
      </c>
      <c r="G143" s="1075" t="s">
        <v>673</v>
      </c>
      <c r="H143" s="1076">
        <v>1.0</v>
      </c>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46126</v>
      </c>
      <c r="D154" s="1053" t="str">
        <f>TEXT(C154,"ddd")</f>
        <v>火</v>
      </c>
      <c r="E154" s="1054"/>
      <c r="F154" s="1083" t="s">
        <v>103</v>
      </c>
      <c r="G154" s="1084" t="s">
        <v>674</v>
      </c>
      <c r="H154" s="1085"/>
      <c r="I154" s="1096">
        <v>0.625</v>
      </c>
      <c r="J154" s="1085">
        <v>5.0</v>
      </c>
      <c r="K154" s="1085">
        <v>3.0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46127</v>
      </c>
      <c r="D165" s="1072" t="str">
        <f>TEXT(C165,"ddd")</f>
        <v>水</v>
      </c>
      <c r="E165" s="1073"/>
      <c r="F165" s="1074" t="s">
        <v>251</v>
      </c>
      <c r="G165" s="1075" t="s">
        <v>675</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653</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46128</v>
      </c>
      <c r="D177" s="1053" t="str">
        <f>TEXT(C177,"ddd")</f>
        <v>木</v>
      </c>
      <c r="E177" s="1054"/>
      <c r="F177" s="1083" t="s">
        <v>103</v>
      </c>
      <c r="G177" s="1084" t="s">
        <v>676</v>
      </c>
      <c r="H177" s="1085"/>
      <c r="I177" s="1085" t="s">
        <v>664</v>
      </c>
      <c r="J177" s="1085">
        <v>6.0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46129</v>
      </c>
      <c r="D188" s="1072" t="str">
        <f>TEXT(C188,"ddd")</f>
        <v>金</v>
      </c>
      <c r="E188" s="1073"/>
      <c r="F188" s="1074" t="s">
        <v>251</v>
      </c>
      <c r="G188" s="1075" t="s">
        <v>677</v>
      </c>
      <c r="H188" s="1076"/>
      <c r="I188" s="1077">
        <v>0.0</v>
      </c>
      <c r="J188" s="1072"/>
      <c r="K188" s="1072"/>
      <c r="L188" s="1078" t="s">
        <v>437</v>
      </c>
      <c r="M188" s="1078" t="s">
        <v>678</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46130</v>
      </c>
      <c r="D199" s="1053" t="str">
        <f>TEXT(C199,"ddd")</f>
        <v>土</v>
      </c>
      <c r="E199" s="1054"/>
      <c r="F199" s="1083" t="s">
        <v>103</v>
      </c>
      <c r="G199" s="1084" t="s">
        <v>679</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46131</v>
      </c>
      <c r="D210" s="1072" t="str">
        <f>TEXT(C210,"ddd")</f>
        <v>日</v>
      </c>
      <c r="E210" s="1073"/>
      <c r="F210" s="1074" t="s">
        <v>251</v>
      </c>
      <c r="G210" s="1075" t="s">
        <v>680</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46132</v>
      </c>
      <c r="D221" s="1053" t="str">
        <f>TEXT(C221,"ddd")</f>
        <v>月</v>
      </c>
      <c r="E221" s="1054"/>
      <c r="F221" s="1083" t="s">
        <v>251</v>
      </c>
      <c r="G221" s="1084" t="s">
        <v>681</v>
      </c>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654</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46133</v>
      </c>
      <c r="D233" s="1072" t="str">
        <f>TEXT(C233,"ddd")</f>
        <v>火</v>
      </c>
      <c r="E233" s="1073"/>
      <c r="F233" s="1074" t="s">
        <v>251</v>
      </c>
      <c r="G233" s="1075" t="s">
        <v>682</v>
      </c>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t="19.5" customHeight="1" outlineLevel="1">
      <c r="A244" s="971"/>
      <c r="B244" s="1051"/>
      <c r="C244" s="1052">
        <f>IF(C233="","",IF(DAY(C233+1)=1,"",C233+1))</f>
        <v>46134</v>
      </c>
      <c r="D244" s="1053" t="str">
        <f>TEXT(C244,"ddd")</f>
        <v>水</v>
      </c>
      <c r="E244" s="1054"/>
      <c r="F244" s="1083" t="s">
        <v>103</v>
      </c>
      <c r="G244" s="1084" t="s">
        <v>683</v>
      </c>
      <c r="H244" s="1085"/>
      <c r="I244" s="1085" t="s">
        <v>643</v>
      </c>
      <c r="J244" s="1085">
        <v>6.0</v>
      </c>
      <c r="K244" s="1085">
        <v>3.0</v>
      </c>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t="19.5" customHeight="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t="19.5" customHeight="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t="19.5" customHeight="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t="19.5" customHeight="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t="19.5" customHeight="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t="19.5" customHeight="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t="19.5" customHeight="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t="19.5" customHeight="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t="19.5" customHeight="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46135</v>
      </c>
      <c r="D255" s="1072" t="str">
        <f>TEXT(C255,"ddd")</f>
        <v>木</v>
      </c>
      <c r="E255" s="1073"/>
      <c r="F255" s="1074" t="s">
        <v>251</v>
      </c>
      <c r="G255" s="1075" t="s">
        <v>684</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46136</v>
      </c>
      <c r="D266" s="1053" t="str">
        <f>TEXT(C266,"ddd")</f>
        <v>金</v>
      </c>
      <c r="E266" s="1054"/>
      <c r="F266" s="1083" t="s">
        <v>103</v>
      </c>
      <c r="G266" s="1084" t="s">
        <v>685</v>
      </c>
      <c r="H266" s="1085"/>
      <c r="I266" s="1085" t="s">
        <v>643</v>
      </c>
      <c r="J266" s="1085">
        <v>6.0</v>
      </c>
      <c r="K266" s="1085">
        <v>3.0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46137</v>
      </c>
      <c r="D277" s="1072" t="str">
        <f>TEXT(C277,"ddd")</f>
        <v>土</v>
      </c>
      <c r="E277" s="1073"/>
      <c r="F277" s="1074" t="s">
        <v>103</v>
      </c>
      <c r="G277" s="1075" t="s">
        <v>686</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655</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46138</v>
      </c>
      <c r="D289" s="1053" t="str">
        <f>TEXT(C289,"ddd")</f>
        <v>日</v>
      </c>
      <c r="E289" s="1054"/>
      <c r="F289" s="1083" t="s">
        <v>251</v>
      </c>
      <c r="G289" s="1084" t="s">
        <v>687</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46139</v>
      </c>
      <c r="D300" s="1072" t="str">
        <f>TEXT(C300,"ddd")</f>
        <v>月</v>
      </c>
      <c r="E300" s="1073"/>
      <c r="F300" s="1074" t="s">
        <v>103</v>
      </c>
      <c r="G300" s="1075" t="s">
        <v>688</v>
      </c>
      <c r="H300" s="1076"/>
      <c r="I300" s="1076" t="s">
        <v>643</v>
      </c>
      <c r="J300" s="1076">
        <v>5.0</v>
      </c>
      <c r="K300" s="1076">
        <v>3.0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46140</v>
      </c>
      <c r="D311" s="1053" t="str">
        <f>TEXT(C311,"ddd")</f>
        <v>火</v>
      </c>
      <c r="E311" s="1054"/>
      <c r="F311" s="1083" t="s">
        <v>103</v>
      </c>
      <c r="G311" s="1084" t="s">
        <v>689</v>
      </c>
      <c r="H311" s="1085"/>
      <c r="I311" s="1085" t="s">
        <v>643</v>
      </c>
      <c r="J311" s="1085">
        <v>5.0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46141</v>
      </c>
      <c r="D322" s="1072" t="str">
        <f>TEXT(C322,"ddd")</f>
        <v>水</v>
      </c>
      <c r="E322" s="1073"/>
      <c r="F322" s="1074" t="s">
        <v>251</v>
      </c>
      <c r="G322" s="1075" t="s">
        <v>690</v>
      </c>
      <c r="H322" s="1076">
        <v>1.0</v>
      </c>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46142</v>
      </c>
      <c r="D333" s="1053" t="str">
        <f>TEXT(C333,"ddd")</f>
        <v>木</v>
      </c>
      <c r="E333" s="1054"/>
      <c r="F333" s="1083" t="s">
        <v>251</v>
      </c>
      <c r="G333" s="1084" t="s">
        <v>691</v>
      </c>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650</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10</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"),"①R8_4集計")</f>
        <v>①R8_4集計</v>
      </c>
      <c r="F8" s="423"/>
      <c r="G8" s="351"/>
      <c r="H8" s="351"/>
      <c r="I8" s="328"/>
      <c r="J8" s="876"/>
      <c r="K8" s="860"/>
      <c r="L8" s="889" t="s">
        <v>692</v>
      </c>
      <c r="M8" s="374"/>
      <c r="N8" s="374"/>
      <c r="O8" s="374"/>
      <c r="P8" s="374"/>
      <c r="Q8" s="374"/>
      <c r="R8" s="374"/>
      <c r="S8" s="127"/>
      <c r="U8" s="889" t="s">
        <v>693</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0.2622638597</v>
      </c>
      <c r="D10" s="894">
        <f t="array" ref="D10">INDIRECT($E$8 &amp; "!E8")</f>
        <v>0.5244805942</v>
      </c>
      <c r="E10" s="894">
        <f t="array" ref="E10">INDIRECT($E$8 &amp; "!G8")</f>
        <v>0.7803357314</v>
      </c>
      <c r="F10" s="895">
        <f t="array" ref="F10">INDIRECT($E$8 &amp; "!H8")</f>
        <v>4615370</v>
      </c>
      <c r="G10" s="895">
        <f t="array" ref="G10">INDIRECT($E$8 &amp; "!K8")</f>
        <v>0</v>
      </c>
      <c r="H10" s="895">
        <f t="array" ref="H10">INDIRECT($E$8 &amp; "!M8")</f>
        <v>1210444.75</v>
      </c>
      <c r="I10" s="894">
        <f t="array" ref="I10">INDIRECT($E$8 &amp; "!AT7")</f>
        <v>0.0007194244604</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0.250898436</v>
      </c>
      <c r="D11" s="898"/>
      <c r="E11" s="899"/>
      <c r="F11" s="900">
        <f t="array" ref="F11">INDIRECT($E$8 &amp; "!H7")</f>
        <v>4595182.5</v>
      </c>
      <c r="G11" s="898"/>
      <c r="H11" s="901">
        <f t="array" ref="H11">INDIRECT($E$8 &amp; "!M7")</f>
        <v>1152924.103</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0.000921942225</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1</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3</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694</v>
      </c>
      <c r="M22" s="374"/>
      <c r="N22" s="374"/>
      <c r="O22" s="374"/>
      <c r="P22" s="374"/>
      <c r="Q22" s="374"/>
      <c r="R22" s="374"/>
      <c r="S22" s="127"/>
      <c r="U22" s="889" t="s">
        <v>695</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t="s">
        <v>696</v>
      </c>
      <c r="C26" s="933" t="s">
        <v>33</v>
      </c>
      <c r="D26" s="147"/>
      <c r="E26" s="933" t="s">
        <v>697</v>
      </c>
      <c r="F26" s="139"/>
      <c r="G26" s="139"/>
      <c r="H26" s="934" t="s">
        <v>698</v>
      </c>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699</v>
      </c>
      <c r="M36" s="374"/>
      <c r="N36" s="374"/>
      <c r="O36" s="374"/>
      <c r="P36" s="374"/>
      <c r="Q36" s="374"/>
      <c r="R36" s="374"/>
      <c r="S36" s="127"/>
      <c r="U36" s="889" t="s">
        <v>700</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46135.0</v>
      </c>
      <c r="C39" s="947" t="s">
        <v>701</v>
      </c>
      <c r="D39" s="944"/>
      <c r="E39" s="948" t="s">
        <v>702</v>
      </c>
      <c r="F39" s="944"/>
      <c r="G39" s="1111" t="s">
        <v>703</v>
      </c>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704</v>
      </c>
      <c r="M50" s="374"/>
      <c r="N50" s="374"/>
      <c r="O50" s="374"/>
      <c r="P50" s="374"/>
      <c r="Q50" s="374"/>
      <c r="R50" s="374"/>
      <c r="S50" s="127"/>
      <c r="U50" s="889" t="s">
        <v>705</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t="s">
        <v>706</v>
      </c>
      <c r="M64" s="374"/>
      <c r="N64" s="374"/>
      <c r="O64" s="374"/>
      <c r="P64" s="374"/>
      <c r="Q64" s="374"/>
      <c r="R64" s="374"/>
      <c r="S64" s="127"/>
      <c r="U64" s="889" t="s">
        <v>707</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708</v>
      </c>
      <c r="M78" s="374"/>
      <c r="N78" s="374"/>
      <c r="O78" s="374"/>
      <c r="P78" s="374"/>
      <c r="Q78" s="374"/>
      <c r="R78" s="374"/>
      <c r="S78" s="127"/>
      <c r="U78" s="889" t="s">
        <v>709</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710</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46082.0</v>
      </c>
      <c r="E5" s="213"/>
      <c r="F5" s="580" t="s">
        <v>455</v>
      </c>
      <c r="G5" s="581">
        <f>DAY(EOMONTH(D5,0))</f>
        <v>31</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472</v>
      </c>
      <c r="H7" s="605">
        <f t="array" ref="H7">xlookup($D$5,'🌟目標数値'!$A$3:$A$14,'🌟目標数値'!D$3:D14)</f>
        <v>4483530.75</v>
      </c>
      <c r="I7" s="605" t="s">
        <v>472</v>
      </c>
      <c r="J7" s="606" t="s">
        <v>472</v>
      </c>
      <c r="K7" s="607" t="s">
        <v>472</v>
      </c>
      <c r="L7" s="607" t="s">
        <v>472</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473</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4194270.702</v>
      </c>
      <c r="I9" s="631" t="s">
        <v>472</v>
      </c>
      <c r="J9" s="632" t="s">
        <v>472</v>
      </c>
      <c r="K9" s="633" t="s">
        <v>472</v>
      </c>
      <c r="L9" s="633" t="s">
        <v>472</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46082</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523</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541</v>
      </c>
      <c r="AZ30" s="705">
        <f>AS46</f>
        <v>3517360</v>
      </c>
      <c r="BA30" s="718" t="s">
        <v>472</v>
      </c>
      <c r="BB30" s="703">
        <f>SUM(AZ30:AZ36)</f>
        <v>4546150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46112</v>
      </c>
      <c r="D43" s="660" t="str">
        <f t="shared" si="2"/>
        <v>火</v>
      </c>
      <c r="E43" s="660">
        <f t="shared" si="3"/>
        <v>139</v>
      </c>
      <c r="F43" s="660">
        <f t="shared" si="4"/>
        <v>94</v>
      </c>
      <c r="G43" s="1112">
        <v>127.0</v>
      </c>
      <c r="H43" s="1113">
        <v>33.0</v>
      </c>
      <c r="I43" s="1113">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711</v>
      </c>
      <c r="O2" s="431"/>
      <c r="P2" s="432"/>
      <c r="Q2" s="433"/>
      <c r="R2" s="433"/>
      <c r="S2" s="434"/>
      <c r="T2" s="433"/>
      <c r="U2" s="433"/>
      <c r="V2" s="433"/>
      <c r="W2" s="433"/>
      <c r="X2" s="433"/>
      <c r="Y2" s="435"/>
      <c r="Z2" s="406"/>
      <c r="AA2" s="406"/>
      <c r="AB2" s="406"/>
      <c r="AC2" s="406"/>
      <c r="AD2" s="406"/>
      <c r="AE2" s="406"/>
      <c r="AF2" s="436"/>
      <c r="AG2" s="437"/>
      <c r="AH2" s="438"/>
      <c r="AI2" s="439" t="s">
        <v>712</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46147</v>
      </c>
      <c r="C7" s="510"/>
      <c r="D7" s="426"/>
      <c r="E7" s="511">
        <f>today()+1</f>
        <v>46148</v>
      </c>
      <c r="F7" s="9"/>
      <c r="G7" s="426"/>
      <c r="H7" s="426"/>
      <c r="I7" s="512" t="s">
        <v>414</v>
      </c>
      <c r="J7" s="513" t="s">
        <v>415</v>
      </c>
      <c r="K7" s="514">
        <v>46082.0</v>
      </c>
      <c r="L7" s="515" t="s">
        <v>416</v>
      </c>
      <c r="M7" s="516" t="s">
        <v>417</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火</v>
      </c>
      <c r="D8" s="255"/>
      <c r="E8" s="525" t="s">
        <v>426</v>
      </c>
      <c r="F8" s="526" t="str">
        <f>TEXT(E7,"ddd")</f>
        <v>水</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1</v>
      </c>
      <c r="J9" s="527"/>
      <c r="K9" s="534" t="s">
        <v>429</v>
      </c>
      <c r="L9" s="535" t="s">
        <v>430</v>
      </c>
      <c r="M9" s="536" t="s">
        <v>431</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389</v>
      </c>
      <c r="O11" s="543" t="s">
        <v>389</v>
      </c>
      <c r="P11" s="543" t="s">
        <v>389</v>
      </c>
      <c r="Q11" s="543"/>
      <c r="R11" s="1108"/>
      <c r="S11" s="543" t="s">
        <v>389</v>
      </c>
      <c r="T11" s="543"/>
      <c r="U11" s="543" t="s">
        <v>389</v>
      </c>
      <c r="V11" s="543" t="s">
        <v>389</v>
      </c>
      <c r="W11" s="543"/>
      <c r="X11" s="543" t="s">
        <v>389</v>
      </c>
      <c r="Y11" s="1108" t="s">
        <v>389</v>
      </c>
      <c r="Z11" s="542" t="s">
        <v>389</v>
      </c>
      <c r="AA11" s="543"/>
      <c r="AB11" s="543" t="s">
        <v>389</v>
      </c>
      <c r="AC11" s="543" t="s">
        <v>389</v>
      </c>
      <c r="AD11" s="543"/>
      <c r="AE11" s="542" t="s">
        <v>389</v>
      </c>
      <c r="AF11" s="544" t="s">
        <v>389</v>
      </c>
      <c r="AG11" s="543"/>
      <c r="AH11" s="543"/>
      <c r="AI11" s="543" t="s">
        <v>389</v>
      </c>
      <c r="AJ11" s="1109" t="s">
        <v>389</v>
      </c>
      <c r="AK11" s="543" t="s">
        <v>389</v>
      </c>
      <c r="AL11" s="543" t="s">
        <v>389</v>
      </c>
      <c r="AM11" s="1108" t="s">
        <v>389</v>
      </c>
      <c r="AN11" s="543" t="s">
        <v>389</v>
      </c>
      <c r="AO11" s="543"/>
      <c r="AP11" s="543" t="s">
        <v>389</v>
      </c>
      <c r="AQ11" s="543" t="s">
        <v>389</v>
      </c>
      <c r="AR11" s="1109" t="s">
        <v>389</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c r="T12" s="1114" t="s">
        <v>389</v>
      </c>
      <c r="U12" s="543" t="s">
        <v>389</v>
      </c>
      <c r="V12" s="543" t="s">
        <v>389</v>
      </c>
      <c r="W12" s="543" t="s">
        <v>389</v>
      </c>
      <c r="X12" s="1109" t="s">
        <v>389</v>
      </c>
      <c r="Y12" s="1109"/>
      <c r="Z12" s="543"/>
      <c r="AA12" s="543" t="s">
        <v>389</v>
      </c>
      <c r="AB12" s="543" t="s">
        <v>389</v>
      </c>
      <c r="AC12" s="543" t="s">
        <v>389</v>
      </c>
      <c r="AD12" s="543" t="s">
        <v>389</v>
      </c>
      <c r="AE12" s="543" t="s">
        <v>389</v>
      </c>
      <c r="AF12" s="543"/>
      <c r="AG12" s="543" t="s">
        <v>389</v>
      </c>
      <c r="AH12" s="543" t="s">
        <v>389</v>
      </c>
      <c r="AI12" s="543" t="s">
        <v>389</v>
      </c>
      <c r="AJ12" s="543" t="s">
        <v>389</v>
      </c>
      <c r="AK12" s="543" t="s">
        <v>389</v>
      </c>
      <c r="AL12" s="543"/>
      <c r="AM12" s="543"/>
      <c r="AN12" s="543"/>
      <c r="AO12" s="543" t="s">
        <v>389</v>
      </c>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c r="O13" s="543"/>
      <c r="P13" s="543" t="s">
        <v>389</v>
      </c>
      <c r="Q13" s="543" t="s">
        <v>389</v>
      </c>
      <c r="R13" s="543" t="s">
        <v>389</v>
      </c>
      <c r="S13" s="543" t="s">
        <v>389</v>
      </c>
      <c r="T13" s="543" t="s">
        <v>389</v>
      </c>
      <c r="U13" s="543"/>
      <c r="V13" s="543"/>
      <c r="W13" s="543" t="s">
        <v>389</v>
      </c>
      <c r="X13" s="543" t="s">
        <v>389</v>
      </c>
      <c r="Y13" s="543" t="s">
        <v>389</v>
      </c>
      <c r="Z13" s="543" t="s">
        <v>389</v>
      </c>
      <c r="AA13" s="543" t="s">
        <v>389</v>
      </c>
      <c r="AB13" s="543"/>
      <c r="AC13" s="543"/>
      <c r="AD13" s="543" t="s">
        <v>389</v>
      </c>
      <c r="AE13" s="543" t="s">
        <v>389</v>
      </c>
      <c r="AF13" s="543" t="s">
        <v>389</v>
      </c>
      <c r="AG13" s="543" t="s">
        <v>389</v>
      </c>
      <c r="AH13" s="543" t="s">
        <v>389</v>
      </c>
      <c r="AI13" s="543"/>
      <c r="AJ13" s="543"/>
      <c r="AK13" s="543" t="s">
        <v>389</v>
      </c>
      <c r="AL13" s="543" t="s">
        <v>389</v>
      </c>
      <c r="AM13" s="543" t="s">
        <v>389</v>
      </c>
      <c r="AN13" s="543" t="s">
        <v>389</v>
      </c>
      <c r="AO13" s="543" t="s">
        <v>389</v>
      </c>
      <c r="AP13" s="543"/>
      <c r="AQ13" s="543"/>
      <c r="AR13" s="543" t="s">
        <v>389</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09" t="b">
        <v>0</v>
      </c>
      <c r="J14" s="513"/>
      <c r="K14" s="534" t="s">
        <v>148</v>
      </c>
      <c r="L14" s="535" t="s">
        <v>436</v>
      </c>
      <c r="M14" s="541"/>
      <c r="N14" s="542" t="s">
        <v>389</v>
      </c>
      <c r="O14" s="542" t="s">
        <v>389</v>
      </c>
      <c r="P14" s="542" t="s">
        <v>389</v>
      </c>
      <c r="Q14" s="542" t="s">
        <v>389</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09" t="b">
        <v>0</v>
      </c>
      <c r="J15" s="513"/>
      <c r="K15" s="534" t="s">
        <v>437</v>
      </c>
      <c r="L15" s="535" t="s">
        <v>436</v>
      </c>
      <c r="M15" s="541"/>
      <c r="N15" s="543"/>
      <c r="O15" s="543"/>
      <c r="P15" s="543" t="s">
        <v>389</v>
      </c>
      <c r="Q15" s="543"/>
      <c r="R15" s="543" t="s">
        <v>389</v>
      </c>
      <c r="S15" s="543"/>
      <c r="T15" s="543" t="s">
        <v>389</v>
      </c>
      <c r="U15" s="543"/>
      <c r="V15" s="543"/>
      <c r="W15" s="543" t="s">
        <v>389</v>
      </c>
      <c r="X15" s="543"/>
      <c r="Y15" s="543" t="s">
        <v>389</v>
      </c>
      <c r="Z15" s="543"/>
      <c r="AA15" s="543" t="s">
        <v>389</v>
      </c>
      <c r="AB15" s="543"/>
      <c r="AC15" s="543"/>
      <c r="AD15" s="543" t="s">
        <v>405</v>
      </c>
      <c r="AE15" s="543"/>
      <c r="AF15" s="543" t="s">
        <v>405</v>
      </c>
      <c r="AG15" s="543"/>
      <c r="AH15" s="543" t="s">
        <v>405</v>
      </c>
      <c r="AI15" s="543"/>
      <c r="AJ15" s="543"/>
      <c r="AK15" s="543" t="s">
        <v>405</v>
      </c>
      <c r="AL15" s="543"/>
      <c r="AM15" s="543" t="s">
        <v>389</v>
      </c>
      <c r="AN15" s="543"/>
      <c r="AO15" s="543" t="s">
        <v>405</v>
      </c>
      <c r="AP15" s="543"/>
      <c r="AQ15" s="543"/>
      <c r="AR15" s="543" t="s">
        <v>389</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t="s">
        <v>409</v>
      </c>
      <c r="O16" s="543" t="s">
        <v>409</v>
      </c>
      <c r="P16" s="543"/>
      <c r="Q16" s="543" t="s">
        <v>389</v>
      </c>
      <c r="R16" s="543"/>
      <c r="S16" s="543" t="s">
        <v>389</v>
      </c>
      <c r="T16" s="543" t="s">
        <v>389</v>
      </c>
      <c r="U16" s="543"/>
      <c r="V16" s="543"/>
      <c r="W16" s="543"/>
      <c r="X16" s="543" t="s">
        <v>389</v>
      </c>
      <c r="Y16" s="543"/>
      <c r="Z16" s="543" t="s">
        <v>389</v>
      </c>
      <c r="AA16" s="543" t="s">
        <v>389</v>
      </c>
      <c r="AB16" s="543"/>
      <c r="AC16" s="543"/>
      <c r="AD16" s="543"/>
      <c r="AE16" s="543"/>
      <c r="AF16" s="543" t="s">
        <v>389</v>
      </c>
      <c r="AG16" s="543" t="s">
        <v>389</v>
      </c>
      <c r="AH16" s="543" t="s">
        <v>389</v>
      </c>
      <c r="AI16" s="543"/>
      <c r="AJ16" s="543" t="s">
        <v>389</v>
      </c>
      <c r="AK16" s="543" t="s">
        <v>389</v>
      </c>
      <c r="AL16" s="543"/>
      <c r="AM16" s="543"/>
      <c r="AN16" s="543" t="s">
        <v>389</v>
      </c>
      <c r="AO16" s="543" t="s">
        <v>389</v>
      </c>
      <c r="AP16" s="543" t="s">
        <v>389</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09" t="b">
        <v>0</v>
      </c>
      <c r="J17" s="513"/>
      <c r="K17" s="534" t="s">
        <v>438</v>
      </c>
      <c r="L17" s="535" t="s">
        <v>436</v>
      </c>
      <c r="M17" s="541"/>
      <c r="N17" s="543" t="s">
        <v>389</v>
      </c>
      <c r="O17" s="543" t="s">
        <v>389</v>
      </c>
      <c r="P17" s="543"/>
      <c r="Q17" s="543"/>
      <c r="R17" s="543"/>
      <c r="S17" s="543" t="s">
        <v>389</v>
      </c>
      <c r="T17" s="543"/>
      <c r="U17" s="543" t="s">
        <v>389</v>
      </c>
      <c r="V17" s="543" t="s">
        <v>389</v>
      </c>
      <c r="W17" s="543"/>
      <c r="X17" s="543"/>
      <c r="Y17" s="543"/>
      <c r="Z17" s="543" t="s">
        <v>389</v>
      </c>
      <c r="AA17" s="543"/>
      <c r="AB17" s="543" t="s">
        <v>389</v>
      </c>
      <c r="AC17" s="543" t="s">
        <v>389</v>
      </c>
      <c r="AD17" s="543" t="s">
        <v>389</v>
      </c>
      <c r="AE17" s="543"/>
      <c r="AF17" s="543"/>
      <c r="AG17" s="543" t="s">
        <v>389</v>
      </c>
      <c r="AH17" s="543"/>
      <c r="AI17" s="543" t="s">
        <v>389</v>
      </c>
      <c r="AJ17" s="543" t="s">
        <v>389</v>
      </c>
      <c r="AK17" s="543"/>
      <c r="AL17" s="1109" t="s">
        <v>389</v>
      </c>
      <c r="AM17" s="543"/>
      <c r="AN17" s="1109"/>
      <c r="AO17" s="543"/>
      <c r="AP17" s="543" t="s">
        <v>389</v>
      </c>
      <c r="AQ17" s="543" t="s">
        <v>389</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09" t="b">
        <v>0</v>
      </c>
      <c r="J18" s="513"/>
      <c r="K18" s="534" t="s">
        <v>49</v>
      </c>
      <c r="L18" s="535"/>
      <c r="M18" s="541"/>
      <c r="N18" s="543"/>
      <c r="O18" s="543"/>
      <c r="P18" s="543"/>
      <c r="Q18" s="543"/>
      <c r="R18" s="543"/>
      <c r="S18" s="543" t="s">
        <v>389</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09" t="b">
        <v>0</v>
      </c>
      <c r="J19" s="513"/>
      <c r="K19" s="534" t="s">
        <v>440</v>
      </c>
      <c r="L19" s="535" t="s">
        <v>430</v>
      </c>
      <c r="M19" s="541"/>
      <c r="N19" s="543"/>
      <c r="O19" s="543" t="s">
        <v>392</v>
      </c>
      <c r="P19" s="543" t="s">
        <v>392</v>
      </c>
      <c r="Q19" s="543"/>
      <c r="R19" s="543" t="s">
        <v>392</v>
      </c>
      <c r="S19" s="543"/>
      <c r="T19" s="543"/>
      <c r="U19" s="543"/>
      <c r="V19" s="543" t="s">
        <v>392</v>
      </c>
      <c r="W19" s="543" t="s">
        <v>392</v>
      </c>
      <c r="X19" s="543"/>
      <c r="Y19" s="543" t="s">
        <v>392</v>
      </c>
      <c r="Z19" s="543"/>
      <c r="AA19" s="543"/>
      <c r="AB19" s="543"/>
      <c r="AC19" s="543" t="s">
        <v>392</v>
      </c>
      <c r="AD19" s="543" t="s">
        <v>392</v>
      </c>
      <c r="AE19" s="543"/>
      <c r="AF19" s="543" t="s">
        <v>392</v>
      </c>
      <c r="AG19" s="543"/>
      <c r="AH19" s="543"/>
      <c r="AI19" s="543"/>
      <c r="AJ19" s="543" t="s">
        <v>392</v>
      </c>
      <c r="AK19" s="543" t="s">
        <v>392</v>
      </c>
      <c r="AL19" s="543"/>
      <c r="AM19" s="543" t="s">
        <v>392</v>
      </c>
      <c r="AN19" s="543"/>
      <c r="AO19" s="543"/>
      <c r="AP19" s="543"/>
      <c r="AQ19" s="543" t="s">
        <v>392</v>
      </c>
      <c r="AR19" s="543" t="s">
        <v>392</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09" t="b">
        <v>0</v>
      </c>
      <c r="J20" s="513"/>
      <c r="K20" s="534" t="s">
        <v>441</v>
      </c>
      <c r="L20" s="535" t="s">
        <v>430</v>
      </c>
      <c r="M20" s="541"/>
      <c r="N20" s="543" t="s">
        <v>392</v>
      </c>
      <c r="O20" s="543"/>
      <c r="P20" s="543"/>
      <c r="Q20" s="543"/>
      <c r="R20" s="537"/>
      <c r="S20" s="537"/>
      <c r="T20" s="543" t="s">
        <v>392</v>
      </c>
      <c r="U20" s="543" t="s">
        <v>392</v>
      </c>
      <c r="V20" s="537"/>
      <c r="W20" s="543"/>
      <c r="X20" s="543"/>
      <c r="Y20" s="537"/>
      <c r="Z20" s="537"/>
      <c r="AA20" s="543" t="s">
        <v>392</v>
      </c>
      <c r="AB20" s="543" t="s">
        <v>392</v>
      </c>
      <c r="AC20" s="537"/>
      <c r="AD20" s="543"/>
      <c r="AE20" s="543"/>
      <c r="AF20" s="537"/>
      <c r="AG20" s="537"/>
      <c r="AH20" s="543" t="s">
        <v>392</v>
      </c>
      <c r="AI20" s="543" t="s">
        <v>392</v>
      </c>
      <c r="AJ20" s="537"/>
      <c r="AK20" s="543"/>
      <c r="AL20" s="543"/>
      <c r="AM20" s="537"/>
      <c r="AN20" s="537"/>
      <c r="AO20" s="543" t="s">
        <v>392</v>
      </c>
      <c r="AP20" s="543" t="s">
        <v>392</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443</v>
      </c>
      <c r="M41" s="536" t="s">
        <v>303</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09" t="b">
        <v>0</v>
      </c>
      <c r="J45" s="513"/>
      <c r="K45" s="534" t="s">
        <v>81</v>
      </c>
      <c r="L45" s="535" t="s">
        <v>443</v>
      </c>
      <c r="M45" s="541"/>
      <c r="N45" s="543" t="s">
        <v>303</v>
      </c>
      <c r="O45" s="543" t="s">
        <v>303</v>
      </c>
      <c r="P45" s="543" t="s">
        <v>303</v>
      </c>
      <c r="Q45" s="543" t="s">
        <v>303</v>
      </c>
      <c r="R45" s="543"/>
      <c r="S45" s="543" t="s">
        <v>303</v>
      </c>
      <c r="T45" s="543" t="s">
        <v>303</v>
      </c>
      <c r="U45" s="543" t="s">
        <v>303</v>
      </c>
      <c r="V45" s="543" t="s">
        <v>303</v>
      </c>
      <c r="W45" s="543" t="s">
        <v>303</v>
      </c>
      <c r="X45" s="543" t="s">
        <v>303</v>
      </c>
      <c r="Y45" s="543"/>
      <c r="Z45" s="543" t="s">
        <v>303</v>
      </c>
      <c r="AA45" s="543" t="s">
        <v>303</v>
      </c>
      <c r="AB45" s="543" t="s">
        <v>303</v>
      </c>
      <c r="AC45" s="543" t="s">
        <v>303</v>
      </c>
      <c r="AD45" s="543" t="s">
        <v>303</v>
      </c>
      <c r="AE45" s="543" t="s">
        <v>303</v>
      </c>
      <c r="AF45" s="543"/>
      <c r="AG45" s="543" t="s">
        <v>303</v>
      </c>
      <c r="AH45" s="543" t="s">
        <v>303</v>
      </c>
      <c r="AI45" s="543" t="s">
        <v>303</v>
      </c>
      <c r="AJ45" s="543" t="s">
        <v>303</v>
      </c>
      <c r="AK45" s="543" t="s">
        <v>303</v>
      </c>
      <c r="AL45" s="543" t="s">
        <v>303</v>
      </c>
      <c r="AM45" s="543" t="s">
        <v>303</v>
      </c>
      <c r="AN45" s="543" t="s">
        <v>303</v>
      </c>
      <c r="AO45" s="543" t="s">
        <v>303</v>
      </c>
      <c r="AP45" s="543" t="s">
        <v>303</v>
      </c>
      <c r="AQ45" s="543" t="s">
        <v>303</v>
      </c>
      <c r="AR45" s="543" t="s">
        <v>303</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09" t="b">
        <v>0</v>
      </c>
      <c r="J46" s="513"/>
      <c r="K46" s="534" t="s">
        <v>38</v>
      </c>
      <c r="L46" s="535" t="s">
        <v>443</v>
      </c>
      <c r="M46" s="541"/>
      <c r="N46" s="543" t="s">
        <v>303</v>
      </c>
      <c r="O46" s="543" t="s">
        <v>303</v>
      </c>
      <c r="P46" s="543" t="s">
        <v>303</v>
      </c>
      <c r="Q46" s="543" t="s">
        <v>303</v>
      </c>
      <c r="R46" s="543" t="s">
        <v>303</v>
      </c>
      <c r="S46" s="543" t="s">
        <v>303</v>
      </c>
      <c r="T46" s="543" t="s">
        <v>303</v>
      </c>
      <c r="U46" s="543" t="s">
        <v>303</v>
      </c>
      <c r="V46" s="543"/>
      <c r="W46" s="543" t="s">
        <v>303</v>
      </c>
      <c r="X46" s="543" t="s">
        <v>303</v>
      </c>
      <c r="Y46" s="543" t="s">
        <v>303</v>
      </c>
      <c r="Z46" s="543" t="s">
        <v>303</v>
      </c>
      <c r="AA46" s="543" t="s">
        <v>303</v>
      </c>
      <c r="AB46" s="543" t="s">
        <v>303</v>
      </c>
      <c r="AC46" s="543"/>
      <c r="AD46" s="543" t="s">
        <v>303</v>
      </c>
      <c r="AE46" s="543" t="s">
        <v>303</v>
      </c>
      <c r="AF46" s="543"/>
      <c r="AG46" s="543" t="s">
        <v>303</v>
      </c>
      <c r="AH46" s="543" t="s">
        <v>303</v>
      </c>
      <c r="AI46" s="543" t="s">
        <v>303</v>
      </c>
      <c r="AJ46" s="543" t="s">
        <v>303</v>
      </c>
      <c r="AK46" s="543" t="s">
        <v>303</v>
      </c>
      <c r="AL46" s="543" t="s">
        <v>303</v>
      </c>
      <c r="AM46" s="543" t="s">
        <v>303</v>
      </c>
      <c r="AN46" s="543" t="s">
        <v>303</v>
      </c>
      <c r="AO46" s="543" t="s">
        <v>303</v>
      </c>
      <c r="AP46" s="543" t="s">
        <v>303</v>
      </c>
      <c r="AQ46" s="543"/>
      <c r="AR46" s="543" t="s">
        <v>303</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09" t="b">
        <v>0</v>
      </c>
      <c r="J47" s="513"/>
      <c r="K47" s="534" t="s">
        <v>45</v>
      </c>
      <c r="L47" s="535" t="s">
        <v>443</v>
      </c>
      <c r="M47" s="541"/>
      <c r="N47" s="543" t="s">
        <v>303</v>
      </c>
      <c r="O47" s="543"/>
      <c r="P47" s="543" t="s">
        <v>303</v>
      </c>
      <c r="Q47" s="543" t="s">
        <v>303</v>
      </c>
      <c r="R47" s="543" t="s">
        <v>303</v>
      </c>
      <c r="S47" s="543" t="s">
        <v>303</v>
      </c>
      <c r="T47" s="543" t="s">
        <v>303</v>
      </c>
      <c r="U47" s="543" t="s">
        <v>303</v>
      </c>
      <c r="V47" s="543"/>
      <c r="W47" s="543" t="s">
        <v>303</v>
      </c>
      <c r="X47" s="543" t="s">
        <v>303</v>
      </c>
      <c r="Y47" s="543" t="s">
        <v>303</v>
      </c>
      <c r="Z47" s="543" t="s">
        <v>303</v>
      </c>
      <c r="AA47" s="543" t="s">
        <v>303</v>
      </c>
      <c r="AB47" s="543" t="s">
        <v>303</v>
      </c>
      <c r="AC47" s="543"/>
      <c r="AD47" s="543" t="s">
        <v>303</v>
      </c>
      <c r="AE47" s="543" t="s">
        <v>303</v>
      </c>
      <c r="AF47" s="543" t="s">
        <v>303</v>
      </c>
      <c r="AG47" s="543" t="s">
        <v>303</v>
      </c>
      <c r="AH47" s="543" t="s">
        <v>303</v>
      </c>
      <c r="AI47" s="543" t="s">
        <v>303</v>
      </c>
      <c r="AJ47" s="543"/>
      <c r="AK47" s="543" t="s">
        <v>303</v>
      </c>
      <c r="AL47" s="543" t="s">
        <v>303</v>
      </c>
      <c r="AM47" s="543" t="s">
        <v>303</v>
      </c>
      <c r="AN47" s="543" t="s">
        <v>303</v>
      </c>
      <c r="AO47" s="543" t="s">
        <v>303</v>
      </c>
      <c r="AP47" s="543" t="s">
        <v>303</v>
      </c>
      <c r="AQ47" s="543"/>
      <c r="AR47" s="543" t="s">
        <v>303</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09" t="b">
        <v>0</v>
      </c>
      <c r="J48" s="513"/>
      <c r="K48" s="534" t="s">
        <v>65</v>
      </c>
      <c r="L48" s="535" t="s">
        <v>443</v>
      </c>
      <c r="M48" s="541"/>
      <c r="N48" s="543" t="s">
        <v>303</v>
      </c>
      <c r="O48" s="543" t="s">
        <v>303</v>
      </c>
      <c r="P48" s="543" t="s">
        <v>303</v>
      </c>
      <c r="Q48" s="543" t="s">
        <v>303</v>
      </c>
      <c r="R48" s="543" t="s">
        <v>303</v>
      </c>
      <c r="S48" s="543" t="s">
        <v>303</v>
      </c>
      <c r="T48" s="543"/>
      <c r="U48" s="543" t="s">
        <v>303</v>
      </c>
      <c r="V48" s="543" t="s">
        <v>303</v>
      </c>
      <c r="W48" s="543" t="s">
        <v>303</v>
      </c>
      <c r="X48" s="543" t="s">
        <v>303</v>
      </c>
      <c r="Y48" s="543" t="s">
        <v>303</v>
      </c>
      <c r="Z48" s="543" t="s">
        <v>303</v>
      </c>
      <c r="AA48" s="543"/>
      <c r="AB48" s="543" t="s">
        <v>303</v>
      </c>
      <c r="AC48" s="543" t="s">
        <v>303</v>
      </c>
      <c r="AD48" s="543" t="s">
        <v>303</v>
      </c>
      <c r="AE48" s="543" t="s">
        <v>303</v>
      </c>
      <c r="AF48" s="543" t="s">
        <v>303</v>
      </c>
      <c r="AG48" s="543" t="s">
        <v>303</v>
      </c>
      <c r="AH48" s="543"/>
      <c r="AI48" s="543" t="s">
        <v>405</v>
      </c>
      <c r="AJ48" s="543" t="s">
        <v>405</v>
      </c>
      <c r="AK48" s="543" t="s">
        <v>405</v>
      </c>
      <c r="AL48" s="543" t="s">
        <v>405</v>
      </c>
      <c r="AM48" s="543" t="s">
        <v>405</v>
      </c>
      <c r="AN48" s="543" t="s">
        <v>405</v>
      </c>
      <c r="AO48" s="543"/>
      <c r="AP48" s="543" t="s">
        <v>405</v>
      </c>
      <c r="AQ48" s="543" t="s">
        <v>303</v>
      </c>
      <c r="AR48" s="543" t="s">
        <v>303</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09" t="b">
        <v>0</v>
      </c>
      <c r="J49" s="513"/>
      <c r="K49" s="534" t="s">
        <v>137</v>
      </c>
      <c r="L49" s="535" t="s">
        <v>443</v>
      </c>
      <c r="M49" s="541"/>
      <c r="N49" s="543" t="s">
        <v>303</v>
      </c>
      <c r="O49" s="543" t="s">
        <v>303</v>
      </c>
      <c r="P49" s="543" t="s">
        <v>303</v>
      </c>
      <c r="Q49" s="543" t="s">
        <v>303</v>
      </c>
      <c r="R49" s="543" t="s">
        <v>303</v>
      </c>
      <c r="S49" s="543"/>
      <c r="T49" s="543" t="s">
        <v>303</v>
      </c>
      <c r="U49" s="543" t="s">
        <v>303</v>
      </c>
      <c r="V49" s="543" t="s">
        <v>303</v>
      </c>
      <c r="W49" s="543" t="s">
        <v>303</v>
      </c>
      <c r="X49" s="543" t="s">
        <v>303</v>
      </c>
      <c r="Y49" s="543" t="s">
        <v>303</v>
      </c>
      <c r="Z49" s="543"/>
      <c r="AA49" s="543" t="s">
        <v>303</v>
      </c>
      <c r="AB49" s="543" t="s">
        <v>303</v>
      </c>
      <c r="AC49" s="543" t="s">
        <v>303</v>
      </c>
      <c r="AD49" s="543" t="s">
        <v>303</v>
      </c>
      <c r="AE49" s="543" t="s">
        <v>303</v>
      </c>
      <c r="AF49" s="543" t="s">
        <v>303</v>
      </c>
      <c r="AG49" s="543"/>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09" t="b">
        <v>0</v>
      </c>
      <c r="J50" s="513"/>
      <c r="K50" s="534" t="s">
        <v>258</v>
      </c>
      <c r="L50" s="535" t="s">
        <v>443</v>
      </c>
      <c r="M50" s="541"/>
      <c r="N50" s="543" t="s">
        <v>303</v>
      </c>
      <c r="O50" s="543" t="s">
        <v>303</v>
      </c>
      <c r="P50" s="543"/>
      <c r="Q50" s="543" t="s">
        <v>303</v>
      </c>
      <c r="R50" s="543" t="s">
        <v>303</v>
      </c>
      <c r="S50" s="543" t="s">
        <v>303</v>
      </c>
      <c r="T50" s="543" t="s">
        <v>409</v>
      </c>
      <c r="U50" s="543" t="s">
        <v>303</v>
      </c>
      <c r="V50" s="543" t="s">
        <v>303</v>
      </c>
      <c r="W50" s="543"/>
      <c r="X50" s="543" t="s">
        <v>303</v>
      </c>
      <c r="Y50" s="543" t="s">
        <v>303</v>
      </c>
      <c r="Z50" s="543" t="s">
        <v>303</v>
      </c>
      <c r="AA50" s="543" t="s">
        <v>303</v>
      </c>
      <c r="AB50" s="543" t="s">
        <v>303</v>
      </c>
      <c r="AC50" s="543" t="s">
        <v>303</v>
      </c>
      <c r="AD50" s="543"/>
      <c r="AE50" s="543" t="s">
        <v>303</v>
      </c>
      <c r="AF50" s="543" t="s">
        <v>303</v>
      </c>
      <c r="AG50" s="543" t="s">
        <v>303</v>
      </c>
      <c r="AH50" s="543" t="s">
        <v>303</v>
      </c>
      <c r="AI50" s="543" t="s">
        <v>303</v>
      </c>
      <c r="AJ50" s="543" t="s">
        <v>303</v>
      </c>
      <c r="AK50" s="543"/>
      <c r="AL50" s="543" t="s">
        <v>303</v>
      </c>
      <c r="AM50" s="543" t="s">
        <v>303</v>
      </c>
      <c r="AN50" s="543" t="s">
        <v>303</v>
      </c>
      <c r="AO50" s="543" t="s">
        <v>303</v>
      </c>
      <c r="AP50" s="543" t="s">
        <v>303</v>
      </c>
      <c r="AQ50" s="543" t="s">
        <v>303</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09" t="b">
        <v>0</v>
      </c>
      <c r="J51" s="513"/>
      <c r="K51" s="534" t="s">
        <v>166</v>
      </c>
      <c r="L51" s="535" t="s">
        <v>443</v>
      </c>
      <c r="M51" s="541"/>
      <c r="N51" s="543"/>
      <c r="O51" s="543" t="s">
        <v>303</v>
      </c>
      <c r="P51" s="543"/>
      <c r="Q51" s="543"/>
      <c r="R51" s="543" t="s">
        <v>303</v>
      </c>
      <c r="S51" s="543" t="s">
        <v>303</v>
      </c>
      <c r="T51" s="543" t="s">
        <v>303</v>
      </c>
      <c r="U51" s="543"/>
      <c r="V51" s="543" t="s">
        <v>303</v>
      </c>
      <c r="W51" s="543"/>
      <c r="X51" s="543"/>
      <c r="Y51" s="543" t="s">
        <v>303</v>
      </c>
      <c r="Z51" s="543" t="s">
        <v>303</v>
      </c>
      <c r="AA51" s="543" t="s">
        <v>303</v>
      </c>
      <c r="AB51" s="543"/>
      <c r="AC51" s="543" t="s">
        <v>303</v>
      </c>
      <c r="AD51" s="543"/>
      <c r="AE51" s="543"/>
      <c r="AF51" s="543" t="s">
        <v>303</v>
      </c>
      <c r="AG51" s="543" t="s">
        <v>303</v>
      </c>
      <c r="AH51" s="543" t="s">
        <v>303</v>
      </c>
      <c r="AI51" s="543"/>
      <c r="AJ51" s="543" t="s">
        <v>303</v>
      </c>
      <c r="AK51" s="543"/>
      <c r="AL51" s="543"/>
      <c r="AM51" s="543" t="s">
        <v>303</v>
      </c>
      <c r="AN51" s="543" t="s">
        <v>303</v>
      </c>
      <c r="AO51" s="543" t="s">
        <v>303</v>
      </c>
      <c r="AP51" s="543"/>
      <c r="AQ51" s="543" t="s">
        <v>303</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713</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46082.0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ht="1.5" customHeight="1">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3</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ヤン</v>
      </c>
      <c r="W8" s="1025"/>
      <c r="X8" s="1026">
        <v>46054.0</v>
      </c>
      <c r="Y8" s="971"/>
      <c r="Z8" s="971"/>
    </row>
    <row r="9" outlineLevel="1">
      <c r="A9" s="971"/>
      <c r="B9" s="1027"/>
      <c r="C9" s="1028">
        <f>D5</f>
        <v>46082</v>
      </c>
      <c r="D9" s="1029" t="str">
        <f>TEXT(C9,"ddd")</f>
        <v>日</v>
      </c>
      <c r="E9" s="1030"/>
      <c r="F9" s="1031" t="s">
        <v>103</v>
      </c>
      <c r="G9" s="1032" t="s">
        <v>714</v>
      </c>
      <c r="H9" s="1033"/>
      <c r="I9" s="1033" t="s">
        <v>715</v>
      </c>
      <c r="J9" s="1033">
        <v>6.0</v>
      </c>
      <c r="K9" s="1033">
        <v>3.0</v>
      </c>
      <c r="L9" s="1034" t="s">
        <v>148</v>
      </c>
      <c r="M9" s="1034" t="s">
        <v>716</v>
      </c>
      <c r="N9" s="1033"/>
      <c r="O9" s="1035"/>
      <c r="Q9" s="1036"/>
      <c r="R9" s="970"/>
      <c r="S9" s="356" t="str">
        <f t="array" ref="S9">IFERROR(INDEX('💻シート作成'!$D$6:$D1001, MATCH(T9, '💻シート作成'!$E$6:$E1001, 0)), "")</f>
        <v/>
      </c>
      <c r="T9" s="307" t="str">
        <f>IFERROR(__xludf.DUMMYFUNCTION("""COMPUTED_VALUE"""),"🔵クレーム")</f>
        <v>🔵クレーム</v>
      </c>
      <c r="U9" s="978"/>
      <c r="V9" s="1024" t="s">
        <v>162</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437</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439</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65" t="s">
        <v>438</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440</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441</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45</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65</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81</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38</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137</v>
      </c>
      <c r="W19" s="1025"/>
      <c r="X19" s="1026">
        <v>46388.0</v>
      </c>
      <c r="Y19" s="971"/>
      <c r="Z19" s="971"/>
    </row>
    <row r="20" outlineLevel="1">
      <c r="A20" s="971"/>
      <c r="B20" s="1051"/>
      <c r="C20" s="1052">
        <f>IF(C9="","",IF(DAY(C9+1)=1,"",C9+1))</f>
        <v>46083</v>
      </c>
      <c r="D20" s="1053" t="str">
        <f>TEXT(C20,"ddd")</f>
        <v>月</v>
      </c>
      <c r="E20" s="1054"/>
      <c r="F20" s="1055" t="s">
        <v>251</v>
      </c>
      <c r="G20" s="1056" t="s">
        <v>717</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258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166</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65" t="s">
        <v>103</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t="s">
        <v>646</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146</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46084</v>
      </c>
      <c r="D31" s="1072" t="str">
        <f>TEXT(C31,"ddd")</f>
        <v>火</v>
      </c>
      <c r="E31" s="1073"/>
      <c r="F31" s="1074" t="s">
        <v>251</v>
      </c>
      <c r="G31" s="1075" t="s">
        <v>718</v>
      </c>
      <c r="H31" s="1076">
        <v>1.0</v>
      </c>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46085</v>
      </c>
      <c r="D42" s="1053" t="str">
        <f>TEXT(C42,"ddd")</f>
        <v>水</v>
      </c>
      <c r="E42" s="1054"/>
      <c r="F42" s="1083" t="s">
        <v>103</v>
      </c>
      <c r="G42" s="1084" t="s">
        <v>719</v>
      </c>
      <c r="H42" s="1085"/>
      <c r="I42" s="1085" t="s">
        <v>643</v>
      </c>
      <c r="J42" s="1085">
        <v>6.0</v>
      </c>
      <c r="K42" s="1085">
        <v>4.0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46086</v>
      </c>
      <c r="D53" s="1072" t="str">
        <f>TEXT(C53,"ddd")</f>
        <v>木</v>
      </c>
      <c r="E53" s="1073"/>
      <c r="F53" s="1074" t="s">
        <v>103</v>
      </c>
      <c r="G53" s="1075" t="s">
        <v>720</v>
      </c>
      <c r="H53" s="1076"/>
      <c r="I53" s="1076" t="s">
        <v>643</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651</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46087</v>
      </c>
      <c r="D65" s="1053" t="str">
        <f>TEXT(C65,"ddd")</f>
        <v>金</v>
      </c>
      <c r="E65" s="1054"/>
      <c r="F65" s="1083" t="s">
        <v>251</v>
      </c>
      <c r="G65" s="1084" t="s">
        <v>721</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46088</v>
      </c>
      <c r="D76" s="1072" t="str">
        <f>TEXT(C76,"ddd")</f>
        <v>土</v>
      </c>
      <c r="E76" s="1073"/>
      <c r="F76" s="1074" t="s">
        <v>103</v>
      </c>
      <c r="G76" s="1075" t="s">
        <v>722</v>
      </c>
      <c r="H76" s="1076"/>
      <c r="I76" s="1077">
        <v>0.6388888888888888</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46089</v>
      </c>
      <c r="D87" s="1053" t="str">
        <f>TEXT(C87,"ddd")</f>
        <v>日</v>
      </c>
      <c r="E87" s="1054"/>
      <c r="F87" s="1083" t="s">
        <v>251</v>
      </c>
      <c r="G87" s="1084" t="s">
        <v>723</v>
      </c>
      <c r="H87" s="1085"/>
      <c r="I87" s="1096">
        <v>0.625</v>
      </c>
      <c r="J87" s="1085">
        <v>6.0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46090</v>
      </c>
      <c r="D98" s="1072" t="str">
        <f>TEXT(C98,"ddd")</f>
        <v>月</v>
      </c>
      <c r="E98" s="1073"/>
      <c r="F98" s="1074" t="s">
        <v>103</v>
      </c>
      <c r="G98" s="1075" t="s">
        <v>724</v>
      </c>
      <c r="H98" s="1076"/>
      <c r="I98" s="1076" t="s">
        <v>725</v>
      </c>
      <c r="J98" s="1076">
        <v>5.0</v>
      </c>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46091</v>
      </c>
      <c r="D109" s="1053" t="str">
        <f>TEXT(C109,"ddd")</f>
        <v>火</v>
      </c>
      <c r="E109" s="1054"/>
      <c r="F109" s="1083" t="s">
        <v>103</v>
      </c>
      <c r="G109" s="1084" t="s">
        <v>726</v>
      </c>
      <c r="H109" s="1085">
        <v>1.0</v>
      </c>
      <c r="I109" s="1085" t="s">
        <v>643</v>
      </c>
      <c r="J109" s="1085">
        <v>5.0</v>
      </c>
      <c r="K109" s="1085">
        <v>3.0</v>
      </c>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652</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46092</v>
      </c>
      <c r="D121" s="1072" t="str">
        <f>TEXT(C121,"ddd")</f>
        <v>水</v>
      </c>
      <c r="E121" s="1073"/>
      <c r="F121" s="1074" t="s">
        <v>103</v>
      </c>
      <c r="G121" s="1075" t="s">
        <v>727</v>
      </c>
      <c r="H121" s="1076"/>
      <c r="I121" s="1077">
        <v>0.625</v>
      </c>
      <c r="J121" s="1076">
        <v>6.0</v>
      </c>
      <c r="K121" s="1076">
        <v>4.0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46093</v>
      </c>
      <c r="D132" s="1053" t="str">
        <f>TEXT(C132,"ddd")</f>
        <v>木</v>
      </c>
      <c r="E132" s="1054"/>
      <c r="F132" s="1083" t="s">
        <v>251</v>
      </c>
      <c r="G132" s="1084" t="s">
        <v>728</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46094</v>
      </c>
      <c r="D143" s="1072" t="str">
        <f>TEXT(C143,"ddd")</f>
        <v>金</v>
      </c>
      <c r="E143" s="1073"/>
      <c r="F143" s="1074" t="s">
        <v>251</v>
      </c>
      <c r="G143" s="1075" t="s">
        <v>729</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46095</v>
      </c>
      <c r="D154" s="1053" t="str">
        <f>TEXT(C154,"ddd")</f>
        <v>土</v>
      </c>
      <c r="E154" s="1054"/>
      <c r="F154" s="1083" t="s">
        <v>103</v>
      </c>
      <c r="G154" s="1084" t="s">
        <v>730</v>
      </c>
      <c r="H154" s="1085"/>
      <c r="I154" s="1085" t="s">
        <v>731</v>
      </c>
      <c r="J154" s="1085">
        <v>6.0</v>
      </c>
      <c r="K154" s="1085">
        <v>4.0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46096</v>
      </c>
      <c r="D165" s="1072" t="str">
        <f>TEXT(C165,"ddd")</f>
        <v>日</v>
      </c>
      <c r="E165" s="1073"/>
      <c r="F165" s="1074" t="s">
        <v>103</v>
      </c>
      <c r="G165" s="1075" t="s">
        <v>732</v>
      </c>
      <c r="H165" s="1076"/>
      <c r="I165" s="1076" t="s">
        <v>643</v>
      </c>
      <c r="J165" s="1076">
        <v>6.0</v>
      </c>
      <c r="K165" s="1076">
        <v>3.0</v>
      </c>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653</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46097</v>
      </c>
      <c r="D177" s="1053" t="str">
        <f>TEXT(C177,"ddd")</f>
        <v>月</v>
      </c>
      <c r="E177" s="1054"/>
      <c r="F177" s="1083" t="s">
        <v>103</v>
      </c>
      <c r="G177" s="1084" t="s">
        <v>733</v>
      </c>
      <c r="H177" s="1085"/>
      <c r="I177" s="1085" t="s">
        <v>643</v>
      </c>
      <c r="J177" s="1085">
        <v>5.0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46098</v>
      </c>
      <c r="D188" s="1072" t="str">
        <f>TEXT(C188,"ddd")</f>
        <v>火</v>
      </c>
      <c r="E188" s="1073"/>
      <c r="F188" s="1074" t="s">
        <v>103</v>
      </c>
      <c r="G188" s="1075" t="s">
        <v>734</v>
      </c>
      <c r="H188" s="1076"/>
      <c r="I188" s="1076" t="s">
        <v>643</v>
      </c>
      <c r="J188" s="1076">
        <v>5.0</v>
      </c>
      <c r="K188" s="1076">
        <v>3.0</v>
      </c>
      <c r="L188" s="1078" t="s">
        <v>437</v>
      </c>
      <c r="M188" s="1078" t="s">
        <v>735</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46099</v>
      </c>
      <c r="D199" s="1053" t="str">
        <f>TEXT(C199,"ddd")</f>
        <v>水</v>
      </c>
      <c r="E199" s="1054"/>
      <c r="F199" s="1083" t="s">
        <v>103</v>
      </c>
      <c r="G199" s="1084" t="s">
        <v>736</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46100</v>
      </c>
      <c r="D210" s="1072" t="str">
        <f>TEXT(C210,"ddd")</f>
        <v>木</v>
      </c>
      <c r="E210" s="1073"/>
      <c r="F210" s="1074" t="s">
        <v>251</v>
      </c>
      <c r="G210" s="1075" t="s">
        <v>737</v>
      </c>
      <c r="H210" s="1076"/>
      <c r="I210" s="1077">
        <v>0.0</v>
      </c>
      <c r="J210" s="1072"/>
      <c r="K210" s="1072"/>
      <c r="L210" s="1078" t="s">
        <v>437</v>
      </c>
      <c r="M210" s="1078" t="s">
        <v>738</v>
      </c>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t="17.25" customHeight="1" outlineLevel="1">
      <c r="A221" s="971"/>
      <c r="B221" s="1051"/>
      <c r="C221" s="1052">
        <f>IF(C210="","",IF(DAY(C210+1)=1,"",C210+1))</f>
        <v>46101</v>
      </c>
      <c r="D221" s="1053" t="str">
        <f>TEXT(C221,"ddd")</f>
        <v>金</v>
      </c>
      <c r="E221" s="1054"/>
      <c r="F221" s="1083" t="s">
        <v>103</v>
      </c>
      <c r="G221" s="1084" t="s">
        <v>739</v>
      </c>
      <c r="H221" s="1085"/>
      <c r="I221" s="1085" t="s">
        <v>731</v>
      </c>
      <c r="J221" s="1085">
        <v>6.0</v>
      </c>
      <c r="K221" s="1085">
        <v>4.0</v>
      </c>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t="17.25" customHeight="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t="17.25" customHeight="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t="17.25" customHeight="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t="17.25" customHeight="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t="17.25" customHeight="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t="17.25" customHeight="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t="17.25" customHeight="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t="17.25" customHeight="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t="17.25" customHeight="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654</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46102</v>
      </c>
      <c r="D233" s="1072" t="str">
        <f>TEXT(C233,"ddd")</f>
        <v>土</v>
      </c>
      <c r="E233" s="1073"/>
      <c r="F233" s="1074" t="s">
        <v>103</v>
      </c>
      <c r="G233" s="1075" t="s">
        <v>740</v>
      </c>
      <c r="H233" s="1076"/>
      <c r="I233" s="1076" t="s">
        <v>741</v>
      </c>
      <c r="J233" s="1076">
        <v>6.0</v>
      </c>
      <c r="K233" s="1076">
        <v>3.0</v>
      </c>
      <c r="L233" s="1078" t="s">
        <v>437</v>
      </c>
      <c r="M233" s="1078" t="s">
        <v>742</v>
      </c>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46103</v>
      </c>
      <c r="D244" s="1053" t="str">
        <f>TEXT(C244,"ddd")</f>
        <v>日</v>
      </c>
      <c r="E244" s="1054"/>
      <c r="F244" s="1083" t="s">
        <v>103</v>
      </c>
      <c r="G244" s="1084" t="s">
        <v>743</v>
      </c>
      <c r="H244" s="1085"/>
      <c r="I244" s="1096">
        <v>0.6458333333333334</v>
      </c>
      <c r="J244" s="1085">
        <v>5.0</v>
      </c>
      <c r="K244" s="1085">
        <v>3.0</v>
      </c>
      <c r="L244" s="1063" t="s">
        <v>65</v>
      </c>
      <c r="M244" s="1063" t="s">
        <v>742</v>
      </c>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46104</v>
      </c>
      <c r="D255" s="1072" t="str">
        <f>TEXT(C255,"ddd")</f>
        <v>月</v>
      </c>
      <c r="E255" s="1073"/>
      <c r="F255" s="1074" t="s">
        <v>103</v>
      </c>
      <c r="G255" s="1075" t="s">
        <v>744</v>
      </c>
      <c r="H255" s="1076"/>
      <c r="I255" s="1076" t="s">
        <v>643</v>
      </c>
      <c r="J255" s="1076">
        <v>5.0</v>
      </c>
      <c r="K255" s="1076">
        <v>4.0</v>
      </c>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46105</v>
      </c>
      <c r="D266" s="1053" t="str">
        <f>TEXT(C266,"ddd")</f>
        <v>火</v>
      </c>
      <c r="E266" s="1054"/>
      <c r="F266" s="1083" t="s">
        <v>103</v>
      </c>
      <c r="G266" s="1084" t="s">
        <v>745</v>
      </c>
      <c r="H266" s="1085"/>
      <c r="I266" s="1096">
        <v>0.625</v>
      </c>
      <c r="J266" s="1085">
        <v>5.0</v>
      </c>
      <c r="K266" s="1085">
        <v>5.0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46106</v>
      </c>
      <c r="D277" s="1072" t="str">
        <f>TEXT(C277,"ddd")</f>
        <v>水</v>
      </c>
      <c r="E277" s="1073"/>
      <c r="F277" s="1074" t="s">
        <v>251</v>
      </c>
      <c r="G277" s="1075" t="s">
        <v>746</v>
      </c>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655</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46107</v>
      </c>
      <c r="D289" s="1053" t="str">
        <f>TEXT(C289,"ddd")</f>
        <v>木</v>
      </c>
      <c r="E289" s="1054"/>
      <c r="F289" s="1083" t="s">
        <v>251</v>
      </c>
      <c r="G289" s="1084" t="s">
        <v>747</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46108</v>
      </c>
      <c r="D300" s="1072" t="str">
        <f>TEXT(C300,"ddd")</f>
        <v>金</v>
      </c>
      <c r="E300" s="1073"/>
      <c r="F300" s="1074" t="s">
        <v>251</v>
      </c>
      <c r="G300" s="1075" t="s">
        <v>748</v>
      </c>
      <c r="H300" s="1076"/>
      <c r="I300" s="1077">
        <v>0.0</v>
      </c>
      <c r="J300" s="1072"/>
      <c r="K300" s="1072"/>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46109</v>
      </c>
      <c r="D311" s="1053" t="str">
        <f>TEXT(C311,"ddd")</f>
        <v>土</v>
      </c>
      <c r="E311" s="1054"/>
      <c r="F311" s="1083" t="s">
        <v>103</v>
      </c>
      <c r="G311" s="1084" t="s">
        <v>749</v>
      </c>
      <c r="H311" s="1085"/>
      <c r="I311" s="1085" t="s">
        <v>643</v>
      </c>
      <c r="J311" s="1085">
        <v>6.0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46110</v>
      </c>
      <c r="D322" s="1072" t="str">
        <f>TEXT(C322,"ddd")</f>
        <v>日</v>
      </c>
      <c r="E322" s="1073"/>
      <c r="F322" s="1074" t="s">
        <v>103</v>
      </c>
      <c r="G322" s="1075" t="s">
        <v>750</v>
      </c>
      <c r="H322" s="1076"/>
      <c r="I322" s="1077">
        <v>0.6458333333333334</v>
      </c>
      <c r="J322" s="1076">
        <v>6.0</v>
      </c>
      <c r="K322" s="1076">
        <v>4.0</v>
      </c>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46111</v>
      </c>
      <c r="D333" s="1053" t="str">
        <f>TEXT(C333,"ddd")</f>
        <v>月</v>
      </c>
      <c r="E333" s="1054"/>
      <c r="F333" s="1083" t="s">
        <v>103</v>
      </c>
      <c r="G333" s="1084" t="s">
        <v>751</v>
      </c>
      <c r="H333" s="1085"/>
      <c r="I333" s="1096">
        <v>0.625</v>
      </c>
      <c r="J333" s="1085">
        <v>5.0</v>
      </c>
      <c r="K333" s="1085">
        <v>3.0</v>
      </c>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f>IF(C333="","",IF(DAY(C333+1)=1,"",C333+1))</f>
        <v>46112</v>
      </c>
      <c r="D344" s="1072" t="str">
        <f>TEXT(C344,"ddd")</f>
        <v>火</v>
      </c>
      <c r="E344" s="1073"/>
      <c r="F344" s="1074" t="s">
        <v>103</v>
      </c>
      <c r="G344" s="1075" t="s">
        <v>752</v>
      </c>
      <c r="H344" s="1076"/>
      <c r="I344" s="1076" t="s">
        <v>643</v>
      </c>
      <c r="J344" s="1076">
        <v>5.0</v>
      </c>
      <c r="K344" s="1076">
        <v>4.0</v>
      </c>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9</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"),"①R8_3集計")</f>
        <v>①R8_3集計</v>
      </c>
      <c r="F8" s="423"/>
      <c r="G8" s="351"/>
      <c r="H8" s="351"/>
      <c r="I8" s="328"/>
      <c r="J8" s="876"/>
      <c r="K8" s="860"/>
      <c r="L8" s="1115" t="s">
        <v>753</v>
      </c>
      <c r="M8" s="374"/>
      <c r="N8" s="374"/>
      <c r="O8" s="374"/>
      <c r="P8" s="374"/>
      <c r="Q8" s="374"/>
      <c r="R8" s="374"/>
      <c r="S8" s="127"/>
      <c r="U8" s="1115" t="s">
        <v>754</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0.2479445428</v>
      </c>
      <c r="D10" s="894">
        <f t="array" ref="D10">INDIRECT($E$8 &amp; "!E8")</f>
        <v>0.5365374364</v>
      </c>
      <c r="E10" s="894">
        <f t="array" ref="E10">INDIRECT($E$8 &amp; "!G8")</f>
        <v>0.7398468322</v>
      </c>
      <c r="F10" s="895">
        <f t="array" ref="F10">INDIRECT($E$8 &amp; "!H8")</f>
        <v>4546150</v>
      </c>
      <c r="G10" s="895">
        <f t="array" ref="G10">INDIRECT($E$8 &amp; "!K8")</f>
        <v>0</v>
      </c>
      <c r="H10" s="895">
        <f t="array" ref="H10">INDIRECT($E$8 &amp; "!M8")</f>
        <v>1127193.083</v>
      </c>
      <c r="I10" s="894">
        <f t="array" ref="I10">INDIRECT($E$8 &amp; "!AT7")</f>
        <v>0.0006273525721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0.2544956777</v>
      </c>
      <c r="D11" s="898"/>
      <c r="E11" s="899"/>
      <c r="F11" s="900">
        <f t="array" ref="F11">INDIRECT($E$8 &amp; "!H7")</f>
        <v>4483530.75</v>
      </c>
      <c r="G11" s="898"/>
      <c r="H11" s="901">
        <f t="array" ref="H11">INDIRECT($E$8 &amp; "!M7")</f>
        <v>1141039.197</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0.0006273525721</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1</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755</v>
      </c>
      <c r="M22" s="374"/>
      <c r="N22" s="374"/>
      <c r="O22" s="374"/>
      <c r="P22" s="374"/>
      <c r="Q22" s="374"/>
      <c r="R22" s="374"/>
      <c r="S22" s="127"/>
      <c r="U22" s="889" t="s">
        <v>756</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757</v>
      </c>
      <c r="M36" s="374"/>
      <c r="N36" s="374"/>
      <c r="O36" s="374"/>
      <c r="P36" s="374"/>
      <c r="Q36" s="374"/>
      <c r="R36" s="374"/>
      <c r="S36" s="127"/>
      <c r="U36" s="889" t="s">
        <v>758</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759</v>
      </c>
      <c r="M50" s="374"/>
      <c r="N50" s="374"/>
      <c r="O50" s="374"/>
      <c r="P50" s="374"/>
      <c r="Q50" s="374"/>
      <c r="R50" s="374"/>
      <c r="S50" s="127"/>
      <c r="U50" s="889" t="s">
        <v>760</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1</v>
      </c>
      <c r="E64" s="921"/>
      <c r="F64" s="921"/>
      <c r="G64" s="921"/>
      <c r="H64" s="921"/>
      <c r="I64" s="921"/>
      <c r="J64" s="861"/>
      <c r="K64" s="860"/>
      <c r="L64" s="889" t="s">
        <v>761</v>
      </c>
      <c r="M64" s="374"/>
      <c r="N64" s="374"/>
      <c r="O64" s="374"/>
      <c r="P64" s="374"/>
      <c r="Q64" s="374"/>
      <c r="R64" s="374"/>
      <c r="S64" s="127"/>
      <c r="U64" s="1115" t="s">
        <v>762</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1784.0</v>
      </c>
      <c r="C66" s="947" t="s">
        <v>148</v>
      </c>
      <c r="D66" s="944"/>
      <c r="E66" s="1117">
        <v>46085.0</v>
      </c>
      <c r="F66" s="1111" t="s">
        <v>763</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1115" t="s">
        <v>764</v>
      </c>
      <c r="M78" s="374"/>
      <c r="N78" s="374"/>
      <c r="O78" s="374"/>
      <c r="P78" s="374"/>
      <c r="Q78" s="374"/>
      <c r="R78" s="374"/>
      <c r="S78" s="127"/>
      <c r="U78" s="889" t="s">
        <v>765</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1115" t="s">
        <v>766</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42.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46082.0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46082</v>
      </c>
      <c r="D7" s="806" t="str">
        <f t="shared" ref="D7:D37" si="2">TEXT(C7,"ddd")</f>
        <v>日</v>
      </c>
      <c r="E7" s="807">
        <v>1.0</v>
      </c>
      <c r="F7" s="808">
        <v>12.0</v>
      </c>
      <c r="G7" s="809">
        <v>3.0</v>
      </c>
      <c r="H7" s="807">
        <v>0.0</v>
      </c>
      <c r="I7" s="808">
        <v>2.0</v>
      </c>
      <c r="J7" s="809">
        <v>3.0</v>
      </c>
      <c r="K7" s="810">
        <v>0.0</v>
      </c>
      <c r="L7" s="811">
        <v>0.0</v>
      </c>
      <c r="M7" s="812">
        <v>0.0</v>
      </c>
      <c r="N7" s="813">
        <f t="shared" ref="N7:P7" si="1">if(E7="","",sum(E7,H7,K7))</f>
        <v>1</v>
      </c>
      <c r="O7" s="813">
        <f t="shared" si="1"/>
        <v>14</v>
      </c>
      <c r="P7" s="814">
        <f t="shared" si="1"/>
        <v>6</v>
      </c>
      <c r="Q7" s="815">
        <f t="shared" ref="Q7:Q37" si="4">if(N7="","",SUM(N7:P7))</f>
        <v>21</v>
      </c>
      <c r="S7" s="816"/>
      <c r="T7" s="816"/>
    </row>
    <row r="8">
      <c r="B8" s="73"/>
      <c r="C8" s="805">
        <f t="shared" ref="C8:C37" si="5">IF(C7="","",IF(DAY(C7+1)=1,"",C7+1))</f>
        <v>46083</v>
      </c>
      <c r="D8" s="806" t="str">
        <f t="shared" si="2"/>
        <v>月</v>
      </c>
      <c r="E8" s="807">
        <v>1.0</v>
      </c>
      <c r="F8" s="817">
        <v>12.0</v>
      </c>
      <c r="G8" s="818">
        <v>0.0</v>
      </c>
      <c r="H8" s="807">
        <v>0.0</v>
      </c>
      <c r="I8" s="817">
        <v>1.0</v>
      </c>
      <c r="J8" s="818">
        <v>0.0</v>
      </c>
      <c r="K8" s="810">
        <v>0.0</v>
      </c>
      <c r="L8" s="811">
        <v>0.0</v>
      </c>
      <c r="M8" s="812">
        <v>0.0</v>
      </c>
      <c r="N8" s="813">
        <f t="shared" ref="N8:P8" si="3">if(E8="","",sum(E8,H8,K8))</f>
        <v>1</v>
      </c>
      <c r="O8" s="813">
        <f t="shared" si="3"/>
        <v>13</v>
      </c>
      <c r="P8" s="814">
        <f t="shared" si="3"/>
        <v>0</v>
      </c>
      <c r="Q8" s="815">
        <f t="shared" si="4"/>
        <v>14</v>
      </c>
      <c r="S8" s="816"/>
      <c r="T8" s="816"/>
    </row>
    <row r="9">
      <c r="B9" s="73"/>
      <c r="C9" s="805">
        <f t="shared" si="5"/>
        <v>46084</v>
      </c>
      <c r="D9" s="806" t="str">
        <f t="shared" si="2"/>
        <v>火</v>
      </c>
      <c r="E9" s="807">
        <v>3.0</v>
      </c>
      <c r="F9" s="819">
        <v>13.0</v>
      </c>
      <c r="G9" s="818">
        <v>0.0</v>
      </c>
      <c r="H9" s="807">
        <v>0.0</v>
      </c>
      <c r="I9" s="819">
        <v>1.0</v>
      </c>
      <c r="J9" s="818">
        <v>0.0</v>
      </c>
      <c r="K9" s="810">
        <v>0.0</v>
      </c>
      <c r="L9" s="811">
        <v>0.0</v>
      </c>
      <c r="M9" s="812">
        <v>0.0</v>
      </c>
      <c r="N9" s="813">
        <f t="shared" ref="N9:P9" si="6">if(E9="","",sum(E9,H9,K9))</f>
        <v>3</v>
      </c>
      <c r="O9" s="813">
        <f t="shared" si="6"/>
        <v>14</v>
      </c>
      <c r="P9" s="814">
        <f t="shared" si="6"/>
        <v>0</v>
      </c>
      <c r="Q9" s="815">
        <f t="shared" si="4"/>
        <v>17</v>
      </c>
      <c r="S9" s="816"/>
      <c r="T9" s="816"/>
    </row>
    <row r="10">
      <c r="B10" s="73"/>
      <c r="C10" s="805">
        <f t="shared" si="5"/>
        <v>46085</v>
      </c>
      <c r="D10" s="806" t="str">
        <f t="shared" si="2"/>
        <v>水</v>
      </c>
      <c r="E10" s="807">
        <v>0.0</v>
      </c>
      <c r="F10" s="819">
        <v>13.0</v>
      </c>
      <c r="G10" s="818">
        <v>2.0</v>
      </c>
      <c r="H10" s="807">
        <v>0.0</v>
      </c>
      <c r="I10" s="819">
        <v>0.0</v>
      </c>
      <c r="J10" s="818">
        <v>1.0</v>
      </c>
      <c r="K10" s="810">
        <v>0.0</v>
      </c>
      <c r="L10" s="811">
        <v>0.0</v>
      </c>
      <c r="M10" s="812">
        <v>0.0</v>
      </c>
      <c r="N10" s="813">
        <f t="shared" ref="N10:P10" si="7">if(E10="","",sum(E10,H10,K10))</f>
        <v>0</v>
      </c>
      <c r="O10" s="813">
        <f t="shared" si="7"/>
        <v>13</v>
      </c>
      <c r="P10" s="814">
        <f t="shared" si="7"/>
        <v>3</v>
      </c>
      <c r="Q10" s="815">
        <f t="shared" si="4"/>
        <v>16</v>
      </c>
      <c r="S10" s="816"/>
      <c r="T10" s="816"/>
    </row>
    <row r="11">
      <c r="B11" s="73"/>
      <c r="C11" s="805">
        <f t="shared" si="5"/>
        <v>46086</v>
      </c>
      <c r="D11" s="806" t="str">
        <f t="shared" si="2"/>
        <v>木</v>
      </c>
      <c r="E11" s="807">
        <v>0.0</v>
      </c>
      <c r="F11" s="819">
        <v>12.0</v>
      </c>
      <c r="G11" s="818">
        <v>3.0</v>
      </c>
      <c r="H11" s="807">
        <v>0.0</v>
      </c>
      <c r="I11" s="819">
        <v>1.0</v>
      </c>
      <c r="J11" s="818">
        <v>0.0</v>
      </c>
      <c r="K11" s="810">
        <v>0.0</v>
      </c>
      <c r="L11" s="811">
        <v>0.0</v>
      </c>
      <c r="M11" s="812">
        <v>0.0</v>
      </c>
      <c r="N11" s="813">
        <f t="shared" ref="N11:P11" si="8">if(E11="","",sum(E11,H11,K11))</f>
        <v>0</v>
      </c>
      <c r="O11" s="813">
        <f t="shared" si="8"/>
        <v>13</v>
      </c>
      <c r="P11" s="814">
        <f t="shared" si="8"/>
        <v>3</v>
      </c>
      <c r="Q11" s="815">
        <f t="shared" si="4"/>
        <v>16</v>
      </c>
      <c r="S11" s="816"/>
      <c r="T11" s="816"/>
    </row>
    <row r="12">
      <c r="B12" s="73"/>
      <c r="C12" s="805">
        <f t="shared" si="5"/>
        <v>46087</v>
      </c>
      <c r="D12" s="806" t="str">
        <f t="shared" si="2"/>
        <v>金</v>
      </c>
      <c r="E12" s="807">
        <v>3.0</v>
      </c>
      <c r="F12" s="819">
        <v>10.0</v>
      </c>
      <c r="G12" s="818">
        <v>0.0</v>
      </c>
      <c r="H12" s="807">
        <v>0.0</v>
      </c>
      <c r="I12" s="819">
        <v>0.0</v>
      </c>
      <c r="J12" s="818">
        <v>0.0</v>
      </c>
      <c r="K12" s="810">
        <v>0.0</v>
      </c>
      <c r="L12" s="811">
        <v>0.0</v>
      </c>
      <c r="M12" s="812">
        <v>0.0</v>
      </c>
      <c r="N12" s="813">
        <f t="shared" ref="N12:P12" si="9">if(E12="","",sum(E12,H12,K12))</f>
        <v>3</v>
      </c>
      <c r="O12" s="813">
        <f t="shared" si="9"/>
        <v>10</v>
      </c>
      <c r="P12" s="814">
        <f t="shared" si="9"/>
        <v>0</v>
      </c>
      <c r="Q12" s="815">
        <f t="shared" si="4"/>
        <v>13</v>
      </c>
      <c r="S12" s="816"/>
      <c r="T12" s="816"/>
    </row>
    <row r="13">
      <c r="A13" s="447"/>
      <c r="B13" s="73"/>
      <c r="C13" s="805">
        <f t="shared" si="5"/>
        <v>46088</v>
      </c>
      <c r="D13" s="806" t="str">
        <f t="shared" si="2"/>
        <v>土</v>
      </c>
      <c r="E13" s="807">
        <v>2.0</v>
      </c>
      <c r="F13" s="819">
        <v>13.0</v>
      </c>
      <c r="G13" s="818">
        <v>0.0</v>
      </c>
      <c r="H13" s="807">
        <v>5.0</v>
      </c>
      <c r="I13" s="819">
        <v>1.0</v>
      </c>
      <c r="J13" s="818">
        <v>0.0</v>
      </c>
      <c r="K13" s="810">
        <v>1.0</v>
      </c>
      <c r="L13" s="811">
        <v>0.0</v>
      </c>
      <c r="M13" s="812">
        <v>0.0</v>
      </c>
      <c r="N13" s="813">
        <f t="shared" ref="N13:P13" si="10">if(E13="","",sum(E13,H13,K13))</f>
        <v>8</v>
      </c>
      <c r="O13" s="813">
        <f t="shared" si="10"/>
        <v>14</v>
      </c>
      <c r="P13" s="814">
        <f t="shared" si="10"/>
        <v>0</v>
      </c>
      <c r="Q13" s="815">
        <f t="shared" si="4"/>
        <v>22</v>
      </c>
      <c r="S13" s="816"/>
      <c r="T13" s="816"/>
    </row>
    <row r="14">
      <c r="B14" s="73"/>
      <c r="C14" s="805">
        <f t="shared" si="5"/>
        <v>46089</v>
      </c>
      <c r="D14" s="806" t="str">
        <f t="shared" si="2"/>
        <v>日</v>
      </c>
      <c r="E14" s="807">
        <v>0.0</v>
      </c>
      <c r="F14" s="819">
        <v>15.0</v>
      </c>
      <c r="G14" s="818">
        <v>1.0</v>
      </c>
      <c r="H14" s="807">
        <v>0.0</v>
      </c>
      <c r="I14" s="819">
        <v>2.0</v>
      </c>
      <c r="J14" s="818">
        <v>3.0</v>
      </c>
      <c r="K14" s="810">
        <v>0.0</v>
      </c>
      <c r="L14" s="811">
        <v>0.0</v>
      </c>
      <c r="M14" s="812">
        <v>0.0</v>
      </c>
      <c r="N14" s="813">
        <f t="shared" ref="N14:P14" si="11">if(E14="","",sum(E14,H14,K14))</f>
        <v>0</v>
      </c>
      <c r="O14" s="813">
        <f t="shared" si="11"/>
        <v>17</v>
      </c>
      <c r="P14" s="814">
        <f t="shared" si="11"/>
        <v>4</v>
      </c>
      <c r="Q14" s="815">
        <f t="shared" si="4"/>
        <v>21</v>
      </c>
      <c r="S14" s="816"/>
      <c r="T14" s="816"/>
    </row>
    <row r="15">
      <c r="B15" s="73"/>
      <c r="C15" s="805">
        <f t="shared" si="5"/>
        <v>46090</v>
      </c>
      <c r="D15" s="806" t="str">
        <f t="shared" si="2"/>
        <v>月</v>
      </c>
      <c r="E15" s="807">
        <v>0.0</v>
      </c>
      <c r="F15" s="819">
        <v>16.0</v>
      </c>
      <c r="G15" s="818">
        <v>0.0</v>
      </c>
      <c r="H15" s="807">
        <v>0.0</v>
      </c>
      <c r="I15" s="819">
        <v>2.0</v>
      </c>
      <c r="J15" s="818">
        <v>0.0</v>
      </c>
      <c r="K15" s="810">
        <v>0.0</v>
      </c>
      <c r="L15" s="811">
        <v>0.0</v>
      </c>
      <c r="M15" s="812">
        <v>1.0</v>
      </c>
      <c r="N15" s="813">
        <f t="shared" ref="N15:P15" si="12">if(E15="","",sum(E15,H15,K15))</f>
        <v>0</v>
      </c>
      <c r="O15" s="813">
        <f t="shared" si="12"/>
        <v>18</v>
      </c>
      <c r="P15" s="814">
        <f t="shared" si="12"/>
        <v>1</v>
      </c>
      <c r="Q15" s="815">
        <f t="shared" si="4"/>
        <v>19</v>
      </c>
      <c r="S15" s="816"/>
      <c r="T15" s="816"/>
    </row>
    <row r="16">
      <c r="B16" s="73"/>
      <c r="C16" s="805">
        <f t="shared" si="5"/>
        <v>46091</v>
      </c>
      <c r="D16" s="806" t="str">
        <f t="shared" si="2"/>
        <v>火</v>
      </c>
      <c r="E16" s="807">
        <v>1.0</v>
      </c>
      <c r="F16" s="809">
        <v>14.0</v>
      </c>
      <c r="G16" s="809">
        <v>0.0</v>
      </c>
      <c r="H16" s="809">
        <v>2.0</v>
      </c>
      <c r="I16" s="809">
        <v>1.0</v>
      </c>
      <c r="J16" s="809">
        <v>0.0</v>
      </c>
      <c r="K16" s="809">
        <v>0.0</v>
      </c>
      <c r="L16" s="809">
        <v>0.0</v>
      </c>
      <c r="M16" s="812">
        <v>0.0</v>
      </c>
      <c r="N16" s="813">
        <f t="shared" ref="N16:P16" si="13">if(E16="","",sum(E16,H16,K16))</f>
        <v>3</v>
      </c>
      <c r="O16" s="813">
        <f t="shared" si="13"/>
        <v>15</v>
      </c>
      <c r="P16" s="814">
        <f t="shared" si="13"/>
        <v>0</v>
      </c>
      <c r="Q16" s="815">
        <f t="shared" si="4"/>
        <v>18</v>
      </c>
      <c r="S16" s="816"/>
      <c r="T16" s="816"/>
    </row>
    <row r="17">
      <c r="B17" s="73"/>
      <c r="C17" s="805">
        <f t="shared" si="5"/>
        <v>46092</v>
      </c>
      <c r="D17" s="806" t="str">
        <f t="shared" si="2"/>
        <v>水</v>
      </c>
      <c r="E17" s="807">
        <v>0.0</v>
      </c>
      <c r="F17" s="818">
        <v>9.0</v>
      </c>
      <c r="G17" s="818">
        <v>4.0</v>
      </c>
      <c r="H17" s="818">
        <v>0.0</v>
      </c>
      <c r="I17" s="818">
        <v>0.0</v>
      </c>
      <c r="J17" s="818">
        <v>2.0</v>
      </c>
      <c r="K17" s="818">
        <v>0.0</v>
      </c>
      <c r="L17" s="818">
        <v>0.0</v>
      </c>
      <c r="M17" s="812">
        <v>0.0</v>
      </c>
      <c r="N17" s="813">
        <f t="shared" ref="N17:P17" si="14">if(E17="","",sum(E17,H17,K17))</f>
        <v>0</v>
      </c>
      <c r="O17" s="813">
        <f t="shared" si="14"/>
        <v>9</v>
      </c>
      <c r="P17" s="814">
        <f t="shared" si="14"/>
        <v>6</v>
      </c>
      <c r="Q17" s="815">
        <f t="shared" si="4"/>
        <v>15</v>
      </c>
      <c r="S17" s="816"/>
      <c r="T17" s="816"/>
    </row>
    <row r="18">
      <c r="B18" s="73"/>
      <c r="C18" s="805">
        <f t="shared" si="5"/>
        <v>46093</v>
      </c>
      <c r="D18" s="806" t="str">
        <f t="shared" si="2"/>
        <v>木</v>
      </c>
      <c r="E18" s="807">
        <v>0.0</v>
      </c>
      <c r="F18" s="807">
        <v>9.0</v>
      </c>
      <c r="G18" s="807">
        <v>1.0</v>
      </c>
      <c r="H18" s="807">
        <v>2.0</v>
      </c>
      <c r="I18" s="807">
        <v>2.0</v>
      </c>
      <c r="J18" s="807">
        <v>0.0</v>
      </c>
      <c r="K18" s="807">
        <v>0.0</v>
      </c>
      <c r="L18" s="807">
        <v>0.0</v>
      </c>
      <c r="M18" s="812">
        <v>0.0</v>
      </c>
      <c r="N18" s="813">
        <f t="shared" ref="N18:P18" si="15">if(E18="","",sum(E18,H18,K18))</f>
        <v>2</v>
      </c>
      <c r="O18" s="813">
        <f t="shared" si="15"/>
        <v>11</v>
      </c>
      <c r="P18" s="814">
        <f t="shared" si="15"/>
        <v>1</v>
      </c>
      <c r="Q18" s="815">
        <f t="shared" si="4"/>
        <v>14</v>
      </c>
      <c r="S18" s="816"/>
      <c r="T18" s="816"/>
    </row>
    <row r="19">
      <c r="B19" s="73"/>
      <c r="C19" s="805">
        <f t="shared" si="5"/>
        <v>46094</v>
      </c>
      <c r="D19" s="806" t="str">
        <f t="shared" si="2"/>
        <v>金</v>
      </c>
      <c r="E19" s="807">
        <v>3.0</v>
      </c>
      <c r="F19" s="807">
        <v>11.0</v>
      </c>
      <c r="G19" s="807">
        <v>0.0</v>
      </c>
      <c r="H19" s="807">
        <v>0.0</v>
      </c>
      <c r="I19" s="807">
        <v>1.0</v>
      </c>
      <c r="J19" s="807">
        <v>0.0</v>
      </c>
      <c r="K19" s="807">
        <v>0.0</v>
      </c>
      <c r="L19" s="807">
        <v>0.0</v>
      </c>
      <c r="M19" s="812">
        <v>0.0</v>
      </c>
      <c r="N19" s="813">
        <f t="shared" ref="N19:P19" si="16">if(E19="","",sum(E19,H19,K19))</f>
        <v>3</v>
      </c>
      <c r="O19" s="813">
        <f t="shared" si="16"/>
        <v>12</v>
      </c>
      <c r="P19" s="814">
        <f t="shared" si="16"/>
        <v>0</v>
      </c>
      <c r="Q19" s="815">
        <f t="shared" si="4"/>
        <v>15</v>
      </c>
      <c r="S19" s="816"/>
      <c r="T19" s="816"/>
    </row>
    <row r="20">
      <c r="B20" s="73"/>
      <c r="C20" s="805">
        <f t="shared" si="5"/>
        <v>46095</v>
      </c>
      <c r="D20" s="806" t="str">
        <f t="shared" si="2"/>
        <v>土</v>
      </c>
      <c r="E20" s="807">
        <v>0.0</v>
      </c>
      <c r="F20" s="812">
        <v>14.0</v>
      </c>
      <c r="G20" s="812">
        <v>0.0</v>
      </c>
      <c r="H20" s="812">
        <v>1.0</v>
      </c>
      <c r="I20" s="812">
        <v>3.0</v>
      </c>
      <c r="J20" s="812">
        <v>0.0</v>
      </c>
      <c r="K20" s="812">
        <v>0.0</v>
      </c>
      <c r="L20" s="812">
        <v>0.0</v>
      </c>
      <c r="M20" s="812">
        <v>0.0</v>
      </c>
      <c r="N20" s="813">
        <f t="shared" ref="N20:P20" si="17">if(E20="","",sum(E20,H20,K20))</f>
        <v>1</v>
      </c>
      <c r="O20" s="813">
        <f t="shared" si="17"/>
        <v>17</v>
      </c>
      <c r="P20" s="814">
        <f t="shared" si="17"/>
        <v>0</v>
      </c>
      <c r="Q20" s="815">
        <f t="shared" si="4"/>
        <v>18</v>
      </c>
      <c r="S20" s="816"/>
      <c r="T20" s="816"/>
    </row>
    <row r="21">
      <c r="B21" s="73"/>
      <c r="C21" s="805">
        <f t="shared" si="5"/>
        <v>46096</v>
      </c>
      <c r="D21" s="806" t="str">
        <f t="shared" si="2"/>
        <v>日</v>
      </c>
      <c r="E21" s="807">
        <v>1.0</v>
      </c>
      <c r="F21" s="812">
        <v>14.0</v>
      </c>
      <c r="G21" s="812">
        <v>0.0</v>
      </c>
      <c r="H21" s="807">
        <v>0.0</v>
      </c>
      <c r="I21" s="812">
        <v>3.0</v>
      </c>
      <c r="J21" s="812">
        <v>0.0</v>
      </c>
      <c r="K21" s="810">
        <v>0.0</v>
      </c>
      <c r="L21" s="810">
        <v>0.0</v>
      </c>
      <c r="M21" s="812">
        <v>0.0</v>
      </c>
      <c r="N21" s="813">
        <f t="shared" ref="N21:P21" si="18">if(E21="","",sum(E21,H21,K21))</f>
        <v>1</v>
      </c>
      <c r="O21" s="813">
        <f t="shared" si="18"/>
        <v>17</v>
      </c>
      <c r="P21" s="814">
        <f t="shared" si="18"/>
        <v>0</v>
      </c>
      <c r="Q21" s="815">
        <f t="shared" si="4"/>
        <v>18</v>
      </c>
      <c r="S21" s="816"/>
      <c r="T21" s="816"/>
    </row>
    <row r="22">
      <c r="B22" s="73"/>
      <c r="C22" s="805">
        <f t="shared" si="5"/>
        <v>46097</v>
      </c>
      <c r="D22" s="806" t="str">
        <f t="shared" si="2"/>
        <v>月</v>
      </c>
      <c r="E22" s="807">
        <v>0.0</v>
      </c>
      <c r="F22" s="807">
        <v>13.0</v>
      </c>
      <c r="G22" s="807">
        <v>1.0</v>
      </c>
      <c r="H22" s="807">
        <v>0.0</v>
      </c>
      <c r="I22" s="807">
        <v>1.0</v>
      </c>
      <c r="J22" s="807">
        <v>2.0</v>
      </c>
      <c r="K22" s="807">
        <v>1.0</v>
      </c>
      <c r="L22" s="807">
        <v>0.0</v>
      </c>
      <c r="M22" s="812">
        <v>0.0</v>
      </c>
      <c r="N22" s="813">
        <f t="shared" ref="N22:P22" si="19">if(E22="","",sum(E22,H22,K22))</f>
        <v>1</v>
      </c>
      <c r="O22" s="813">
        <f t="shared" si="19"/>
        <v>14</v>
      </c>
      <c r="P22" s="814">
        <f t="shared" si="19"/>
        <v>3</v>
      </c>
      <c r="Q22" s="815">
        <f t="shared" si="4"/>
        <v>18</v>
      </c>
      <c r="S22" s="816"/>
      <c r="T22" s="816"/>
    </row>
    <row r="23">
      <c r="B23" s="73"/>
      <c r="C23" s="805">
        <f t="shared" si="5"/>
        <v>46098</v>
      </c>
      <c r="D23" s="806" t="str">
        <f t="shared" si="2"/>
        <v>火</v>
      </c>
      <c r="E23" s="807">
        <v>0.0</v>
      </c>
      <c r="F23" s="807">
        <v>13.0</v>
      </c>
      <c r="G23" s="807">
        <v>0.0</v>
      </c>
      <c r="H23" s="807">
        <v>0.0</v>
      </c>
      <c r="I23" s="807">
        <v>1.0</v>
      </c>
      <c r="J23" s="807">
        <v>0.0</v>
      </c>
      <c r="K23" s="807">
        <v>0.0</v>
      </c>
      <c r="L23" s="807">
        <v>1.0</v>
      </c>
      <c r="M23" s="812">
        <v>0.0</v>
      </c>
      <c r="N23" s="813">
        <f t="shared" ref="N23:P23" si="20">if(E23="","",sum(E23,H23,K23))</f>
        <v>0</v>
      </c>
      <c r="O23" s="813">
        <f t="shared" si="20"/>
        <v>15</v>
      </c>
      <c r="P23" s="814">
        <f t="shared" si="20"/>
        <v>0</v>
      </c>
      <c r="Q23" s="815">
        <f t="shared" si="4"/>
        <v>15</v>
      </c>
      <c r="S23" s="816"/>
      <c r="T23" s="816"/>
    </row>
    <row r="24" ht="16.5" customHeight="1">
      <c r="B24" s="73"/>
      <c r="C24" s="805">
        <f t="shared" si="5"/>
        <v>46099</v>
      </c>
      <c r="D24" s="806" t="str">
        <f t="shared" si="2"/>
        <v>水</v>
      </c>
      <c r="E24" s="807">
        <v>2.0</v>
      </c>
      <c r="F24" s="807">
        <v>13.0</v>
      </c>
      <c r="G24" s="807">
        <v>0.0</v>
      </c>
      <c r="H24" s="807">
        <v>0.0</v>
      </c>
      <c r="I24" s="807">
        <v>3.0</v>
      </c>
      <c r="J24" s="807">
        <v>0.0</v>
      </c>
      <c r="K24" s="807">
        <v>0.0</v>
      </c>
      <c r="L24" s="807">
        <v>0.0</v>
      </c>
      <c r="M24" s="812">
        <v>1.0</v>
      </c>
      <c r="N24" s="813">
        <f t="shared" ref="N24:P24" si="21">if(E24="","",sum(E24,H24,K24))</f>
        <v>2</v>
      </c>
      <c r="O24" s="813">
        <f t="shared" si="21"/>
        <v>16</v>
      </c>
      <c r="P24" s="814">
        <f t="shared" si="21"/>
        <v>1</v>
      </c>
      <c r="Q24" s="815">
        <f t="shared" si="4"/>
        <v>19</v>
      </c>
      <c r="S24" s="816"/>
      <c r="T24" s="816"/>
    </row>
    <row r="25">
      <c r="B25" s="73"/>
      <c r="C25" s="805">
        <f t="shared" si="5"/>
        <v>46100</v>
      </c>
      <c r="D25" s="806" t="str">
        <f t="shared" si="2"/>
        <v>木</v>
      </c>
      <c r="E25" s="807">
        <v>0.0</v>
      </c>
      <c r="F25" s="807">
        <v>14.0</v>
      </c>
      <c r="G25" s="807">
        <v>0.0</v>
      </c>
      <c r="H25" s="807">
        <v>0.0</v>
      </c>
      <c r="I25" s="807">
        <v>2.0</v>
      </c>
      <c r="J25" s="807">
        <v>0.0</v>
      </c>
      <c r="K25" s="807">
        <v>0.0</v>
      </c>
      <c r="L25" s="807">
        <v>0.0</v>
      </c>
      <c r="M25" s="812">
        <v>0.0</v>
      </c>
      <c r="N25" s="813">
        <f t="shared" ref="N25:P25" si="22">if(E25="","",sum(E25,H25,K25))</f>
        <v>0</v>
      </c>
      <c r="O25" s="813">
        <f t="shared" si="22"/>
        <v>16</v>
      </c>
      <c r="P25" s="814">
        <f t="shared" si="22"/>
        <v>0</v>
      </c>
      <c r="Q25" s="815">
        <f t="shared" si="4"/>
        <v>16</v>
      </c>
      <c r="S25" s="816"/>
      <c r="T25" s="816"/>
    </row>
    <row r="26">
      <c r="B26" s="73"/>
      <c r="C26" s="805">
        <f t="shared" si="5"/>
        <v>46101</v>
      </c>
      <c r="D26" s="806" t="str">
        <f t="shared" si="2"/>
        <v>金</v>
      </c>
      <c r="E26" s="807">
        <v>0.0</v>
      </c>
      <c r="F26" s="807">
        <v>17.0</v>
      </c>
      <c r="G26" s="807">
        <v>0.0</v>
      </c>
      <c r="H26" s="807">
        <v>2.0</v>
      </c>
      <c r="I26" s="807">
        <v>3.0</v>
      </c>
      <c r="J26" s="807">
        <v>0.0</v>
      </c>
      <c r="K26" s="807">
        <v>0.0</v>
      </c>
      <c r="L26" s="807">
        <v>0.0</v>
      </c>
      <c r="M26" s="812">
        <v>0.0</v>
      </c>
      <c r="N26" s="813">
        <f t="shared" ref="N26:P26" si="23">if(E26="","",sum(E26,H26,K26))</f>
        <v>2</v>
      </c>
      <c r="O26" s="813">
        <f t="shared" si="23"/>
        <v>20</v>
      </c>
      <c r="P26" s="814">
        <f t="shared" si="23"/>
        <v>0</v>
      </c>
      <c r="Q26" s="815">
        <f t="shared" si="4"/>
        <v>22</v>
      </c>
      <c r="S26" s="816"/>
      <c r="T26" s="816"/>
    </row>
    <row r="27">
      <c r="B27" s="73"/>
      <c r="C27" s="805">
        <f t="shared" si="5"/>
        <v>46102</v>
      </c>
      <c r="D27" s="806" t="str">
        <f t="shared" si="2"/>
        <v>土</v>
      </c>
      <c r="E27" s="807">
        <v>0.0</v>
      </c>
      <c r="F27" s="809">
        <v>14.0</v>
      </c>
      <c r="G27" s="809">
        <v>4.0</v>
      </c>
      <c r="H27" s="807">
        <v>0.0</v>
      </c>
      <c r="I27" s="809">
        <v>4.0</v>
      </c>
      <c r="J27" s="809">
        <v>0.0</v>
      </c>
      <c r="K27" s="810">
        <v>0.0</v>
      </c>
      <c r="L27" s="810">
        <v>0.0</v>
      </c>
      <c r="M27" s="812">
        <v>0.0</v>
      </c>
      <c r="N27" s="813">
        <f t="shared" ref="N27:P27" si="24">if(E27="","",sum(E27,H27,K27))</f>
        <v>0</v>
      </c>
      <c r="O27" s="813">
        <f t="shared" si="24"/>
        <v>18</v>
      </c>
      <c r="P27" s="814">
        <f t="shared" si="24"/>
        <v>4</v>
      </c>
      <c r="Q27" s="815">
        <f t="shared" si="4"/>
        <v>22</v>
      </c>
      <c r="S27" s="816"/>
      <c r="T27" s="816"/>
    </row>
    <row r="28">
      <c r="B28" s="73"/>
      <c r="C28" s="805">
        <f t="shared" si="5"/>
        <v>46103</v>
      </c>
      <c r="D28" s="806" t="str">
        <f t="shared" si="2"/>
        <v>日</v>
      </c>
      <c r="E28" s="807">
        <v>0.0</v>
      </c>
      <c r="F28" s="818">
        <v>12.0</v>
      </c>
      <c r="G28" s="818">
        <v>0.0</v>
      </c>
      <c r="H28" s="807">
        <v>0.0</v>
      </c>
      <c r="I28" s="818">
        <v>4.0</v>
      </c>
      <c r="J28" s="818">
        <v>0.0</v>
      </c>
      <c r="K28" s="810">
        <v>0.0</v>
      </c>
      <c r="L28" s="810">
        <v>0.0</v>
      </c>
      <c r="M28" s="812">
        <v>0.0</v>
      </c>
      <c r="N28" s="813">
        <f t="shared" ref="N28:P28" si="25">if(E28="","",sum(E28,H28,K28))</f>
        <v>0</v>
      </c>
      <c r="O28" s="813">
        <f t="shared" si="25"/>
        <v>16</v>
      </c>
      <c r="P28" s="814">
        <f t="shared" si="25"/>
        <v>0</v>
      </c>
      <c r="Q28" s="815">
        <f t="shared" si="4"/>
        <v>16</v>
      </c>
      <c r="S28" s="816"/>
      <c r="T28" s="816"/>
    </row>
    <row r="29">
      <c r="B29" s="73"/>
      <c r="C29" s="805">
        <f t="shared" si="5"/>
        <v>46104</v>
      </c>
      <c r="D29" s="806" t="str">
        <f t="shared" si="2"/>
        <v>月</v>
      </c>
      <c r="E29" s="807">
        <v>0.0</v>
      </c>
      <c r="F29" s="812">
        <v>10.0</v>
      </c>
      <c r="G29" s="812">
        <v>2.0</v>
      </c>
      <c r="H29" s="807">
        <v>0.0</v>
      </c>
      <c r="I29" s="812">
        <v>3.0</v>
      </c>
      <c r="J29" s="812">
        <v>0.0</v>
      </c>
      <c r="K29" s="810">
        <v>0.0</v>
      </c>
      <c r="L29" s="810">
        <v>0.0</v>
      </c>
      <c r="M29" s="812">
        <v>0.0</v>
      </c>
      <c r="N29" s="813">
        <f t="shared" ref="N29:P29" si="26">if(E29="","",sum(E29,H29,K29))</f>
        <v>0</v>
      </c>
      <c r="O29" s="813">
        <f t="shared" si="26"/>
        <v>13</v>
      </c>
      <c r="P29" s="814">
        <f t="shared" si="26"/>
        <v>2</v>
      </c>
      <c r="Q29" s="815">
        <f t="shared" si="4"/>
        <v>15</v>
      </c>
      <c r="S29" s="816"/>
      <c r="T29" s="816"/>
    </row>
    <row r="30">
      <c r="B30" s="73"/>
      <c r="C30" s="805">
        <f t="shared" si="5"/>
        <v>46105</v>
      </c>
      <c r="D30" s="806" t="str">
        <f t="shared" si="2"/>
        <v>火</v>
      </c>
      <c r="E30" s="807">
        <v>3.0</v>
      </c>
      <c r="F30" s="807">
        <v>8.0</v>
      </c>
      <c r="G30" s="807">
        <v>1.0</v>
      </c>
      <c r="H30" s="807">
        <v>1.0</v>
      </c>
      <c r="I30" s="812">
        <v>2.0</v>
      </c>
      <c r="J30" s="812">
        <v>0.0</v>
      </c>
      <c r="K30" s="810">
        <v>0.0</v>
      </c>
      <c r="L30" s="810">
        <v>0.0</v>
      </c>
      <c r="M30" s="812">
        <v>0.0</v>
      </c>
      <c r="N30" s="813">
        <f t="shared" ref="N30:P30" si="27">if(E30="","",sum(E30,H30,K30))</f>
        <v>4</v>
      </c>
      <c r="O30" s="813">
        <f t="shared" si="27"/>
        <v>10</v>
      </c>
      <c r="P30" s="814">
        <f t="shared" si="27"/>
        <v>1</v>
      </c>
      <c r="Q30" s="815">
        <f t="shared" si="4"/>
        <v>15</v>
      </c>
      <c r="S30" s="816"/>
      <c r="T30" s="816"/>
    </row>
    <row r="31">
      <c r="B31" s="73"/>
      <c r="C31" s="805">
        <f t="shared" si="5"/>
        <v>46106</v>
      </c>
      <c r="D31" s="806" t="str">
        <f t="shared" si="2"/>
        <v>水</v>
      </c>
      <c r="E31" s="807">
        <v>0.0</v>
      </c>
      <c r="F31" s="807">
        <v>10.0</v>
      </c>
      <c r="G31" s="807">
        <v>0.0</v>
      </c>
      <c r="H31" s="807">
        <v>0.0</v>
      </c>
      <c r="I31" s="807">
        <v>0.0</v>
      </c>
      <c r="J31" s="812">
        <v>2.0</v>
      </c>
      <c r="K31" s="810">
        <v>1.0</v>
      </c>
      <c r="L31" s="810">
        <v>0.0</v>
      </c>
      <c r="M31" s="812">
        <v>0.0</v>
      </c>
      <c r="N31" s="813">
        <f t="shared" ref="N31:P31" si="28">if(E31="","",sum(E31,H31,K31))</f>
        <v>1</v>
      </c>
      <c r="O31" s="813">
        <f t="shared" si="28"/>
        <v>10</v>
      </c>
      <c r="P31" s="814">
        <f t="shared" si="28"/>
        <v>2</v>
      </c>
      <c r="Q31" s="815">
        <f t="shared" si="4"/>
        <v>13</v>
      </c>
      <c r="S31" s="816"/>
      <c r="T31" s="816"/>
    </row>
    <row r="32">
      <c r="B32" s="73"/>
      <c r="C32" s="805">
        <f t="shared" si="5"/>
        <v>46107</v>
      </c>
      <c r="D32" s="806" t="str">
        <f t="shared" si="2"/>
        <v>木</v>
      </c>
      <c r="E32" s="807">
        <v>2.0</v>
      </c>
      <c r="F32" s="807">
        <v>13.0</v>
      </c>
      <c r="G32" s="807">
        <v>0.0</v>
      </c>
      <c r="H32" s="807">
        <v>0.0</v>
      </c>
      <c r="I32" s="807">
        <v>3.0</v>
      </c>
      <c r="J32" s="807">
        <v>0.0</v>
      </c>
      <c r="K32" s="807">
        <v>1.0</v>
      </c>
      <c r="L32" s="807">
        <v>1.0</v>
      </c>
      <c r="M32" s="812">
        <v>0.0</v>
      </c>
      <c r="N32" s="813">
        <f t="shared" ref="N32:P32" si="29">if(E32="","",sum(E32,H32,K32))</f>
        <v>3</v>
      </c>
      <c r="O32" s="813">
        <f t="shared" si="29"/>
        <v>17</v>
      </c>
      <c r="P32" s="814">
        <f t="shared" si="29"/>
        <v>0</v>
      </c>
      <c r="Q32" s="815">
        <f t="shared" si="4"/>
        <v>20</v>
      </c>
      <c r="S32" s="816"/>
      <c r="T32" s="816"/>
    </row>
    <row r="33">
      <c r="B33" s="73"/>
      <c r="C33" s="805">
        <f t="shared" si="5"/>
        <v>46108</v>
      </c>
      <c r="D33" s="806" t="str">
        <f t="shared" si="2"/>
        <v>金</v>
      </c>
      <c r="E33" s="807">
        <v>1.0</v>
      </c>
      <c r="F33" s="807">
        <v>14.0</v>
      </c>
      <c r="G33" s="807">
        <v>0.0</v>
      </c>
      <c r="H33" s="807">
        <v>1.0</v>
      </c>
      <c r="I33" s="812">
        <v>3.0</v>
      </c>
      <c r="J33" s="812">
        <v>0.0</v>
      </c>
      <c r="K33" s="812">
        <v>1.0</v>
      </c>
      <c r="L33" s="812">
        <v>1.0</v>
      </c>
      <c r="M33" s="812">
        <v>1.0</v>
      </c>
      <c r="N33" s="813">
        <f t="shared" ref="N33:P33" si="30">if(E33="","",sum(E33,H33,K33))</f>
        <v>3</v>
      </c>
      <c r="O33" s="813">
        <f t="shared" si="30"/>
        <v>18</v>
      </c>
      <c r="P33" s="814">
        <f t="shared" si="30"/>
        <v>1</v>
      </c>
      <c r="Q33" s="815">
        <f t="shared" si="4"/>
        <v>22</v>
      </c>
      <c r="S33" s="816"/>
      <c r="T33" s="816"/>
    </row>
    <row r="34">
      <c r="B34" s="73"/>
      <c r="C34" s="805">
        <f t="shared" si="5"/>
        <v>46109</v>
      </c>
      <c r="D34" s="806" t="str">
        <f t="shared" si="2"/>
        <v>土</v>
      </c>
      <c r="E34" s="807">
        <v>0.0</v>
      </c>
      <c r="F34" s="807">
        <v>12.0</v>
      </c>
      <c r="G34" s="807">
        <v>0.0</v>
      </c>
      <c r="H34" s="807">
        <v>0.0</v>
      </c>
      <c r="I34" s="812">
        <v>3.0</v>
      </c>
      <c r="J34" s="812">
        <v>0.0</v>
      </c>
      <c r="K34" s="812">
        <v>0.0</v>
      </c>
      <c r="L34" s="812">
        <v>1.0</v>
      </c>
      <c r="M34" s="812">
        <v>1.0</v>
      </c>
      <c r="N34" s="813">
        <f t="shared" ref="N34:P34" si="31">if(E34="","",sum(E34,H34,K34))</f>
        <v>0</v>
      </c>
      <c r="O34" s="813">
        <f t="shared" si="31"/>
        <v>16</v>
      </c>
      <c r="P34" s="814">
        <f t="shared" si="31"/>
        <v>1</v>
      </c>
      <c r="Q34" s="815">
        <f t="shared" si="4"/>
        <v>17</v>
      </c>
      <c r="S34" s="816"/>
      <c r="T34" s="816"/>
    </row>
    <row r="35">
      <c r="B35" s="73"/>
      <c r="C35" s="805">
        <f t="shared" si="5"/>
        <v>46110</v>
      </c>
      <c r="D35" s="806" t="str">
        <f t="shared" si="2"/>
        <v>日</v>
      </c>
      <c r="E35" s="807">
        <v>0.0</v>
      </c>
      <c r="F35" s="807">
        <v>13.0</v>
      </c>
      <c r="G35" s="807">
        <v>0.0</v>
      </c>
      <c r="H35" s="807">
        <v>0.0</v>
      </c>
      <c r="I35" s="812">
        <v>1.0</v>
      </c>
      <c r="J35" s="812">
        <v>2.0</v>
      </c>
      <c r="K35" s="812">
        <v>0.0</v>
      </c>
      <c r="L35" s="812">
        <v>0.0</v>
      </c>
      <c r="M35" s="812">
        <v>1.0</v>
      </c>
      <c r="N35" s="813">
        <f t="shared" ref="N35:P35" si="32">if(E35="","",sum(E35,H35,K35))</f>
        <v>0</v>
      </c>
      <c r="O35" s="813">
        <f t="shared" si="32"/>
        <v>14</v>
      </c>
      <c r="P35" s="814">
        <f t="shared" si="32"/>
        <v>3</v>
      </c>
      <c r="Q35" s="815">
        <f t="shared" si="4"/>
        <v>17</v>
      </c>
      <c r="S35" s="816"/>
      <c r="T35" s="816"/>
    </row>
    <row r="36">
      <c r="B36" s="73"/>
      <c r="C36" s="805">
        <f t="shared" si="5"/>
        <v>46111</v>
      </c>
      <c r="D36" s="806" t="str">
        <f t="shared" si="2"/>
        <v>月</v>
      </c>
      <c r="E36" s="807">
        <v>0.0</v>
      </c>
      <c r="F36" s="807">
        <v>12.0</v>
      </c>
      <c r="G36" s="807">
        <v>0.0</v>
      </c>
      <c r="H36" s="807">
        <v>0.0</v>
      </c>
      <c r="I36" s="812">
        <v>2.0</v>
      </c>
      <c r="J36" s="812">
        <v>0.0</v>
      </c>
      <c r="K36" s="812">
        <v>0.0</v>
      </c>
      <c r="L36" s="812">
        <v>0.0</v>
      </c>
      <c r="M36" s="812">
        <v>0.0</v>
      </c>
      <c r="N36" s="813">
        <f t="shared" ref="N36:P36" si="33">if(E36="","",sum(E36,H36,K36))</f>
        <v>0</v>
      </c>
      <c r="O36" s="813">
        <f t="shared" si="33"/>
        <v>14</v>
      </c>
      <c r="P36" s="814">
        <f t="shared" si="33"/>
        <v>0</v>
      </c>
      <c r="Q36" s="815">
        <f t="shared" si="4"/>
        <v>14</v>
      </c>
      <c r="S36" s="816"/>
      <c r="T36" s="816"/>
    </row>
    <row r="37">
      <c r="B37" s="73"/>
      <c r="C37" s="1118">
        <f t="shared" si="5"/>
        <v>46112</v>
      </c>
      <c r="D37" s="822" t="str">
        <f t="shared" si="2"/>
        <v>火</v>
      </c>
      <c r="E37" s="823">
        <v>0.0</v>
      </c>
      <c r="F37" s="823">
        <v>12.0</v>
      </c>
      <c r="G37" s="823">
        <v>0.0</v>
      </c>
      <c r="H37" s="823">
        <v>0.0</v>
      </c>
      <c r="I37" s="824">
        <v>1.0</v>
      </c>
      <c r="J37" s="824">
        <v>0.0</v>
      </c>
      <c r="K37" s="824">
        <v>0.0</v>
      </c>
      <c r="L37" s="824">
        <v>0.0</v>
      </c>
      <c r="M37" s="824">
        <v>0.0</v>
      </c>
      <c r="N37" s="825">
        <f t="shared" ref="N37:P37" si="34">if(E37="","",sum(E37,H37,K37))</f>
        <v>0</v>
      </c>
      <c r="O37" s="825">
        <f t="shared" si="34"/>
        <v>13</v>
      </c>
      <c r="P37" s="826">
        <f t="shared" si="34"/>
        <v>0</v>
      </c>
      <c r="Q37" s="827">
        <f t="shared" si="4"/>
        <v>13</v>
      </c>
      <c r="S37" s="816"/>
      <c r="T37" s="816"/>
    </row>
    <row r="38">
      <c r="B38" s="828"/>
      <c r="C38" s="829" t="s">
        <v>572</v>
      </c>
      <c r="D38" s="249"/>
      <c r="E38" s="830">
        <f t="shared" ref="E38:P38" si="35">SUM(E7:E37)</f>
        <v>23</v>
      </c>
      <c r="F38" s="831">
        <f t="shared" si="35"/>
        <v>387</v>
      </c>
      <c r="G38" s="831">
        <f t="shared" si="35"/>
        <v>22</v>
      </c>
      <c r="H38" s="832">
        <f t="shared" si="35"/>
        <v>14</v>
      </c>
      <c r="I38" s="832">
        <f t="shared" si="35"/>
        <v>56</v>
      </c>
      <c r="J38" s="832">
        <f t="shared" si="35"/>
        <v>15</v>
      </c>
      <c r="K38" s="833">
        <f t="shared" si="35"/>
        <v>5</v>
      </c>
      <c r="L38" s="833">
        <f t="shared" si="35"/>
        <v>4</v>
      </c>
      <c r="M38" s="833">
        <f t="shared" si="35"/>
        <v>5</v>
      </c>
      <c r="N38" s="834">
        <f t="shared" si="35"/>
        <v>42</v>
      </c>
      <c r="O38" s="834">
        <f t="shared" si="35"/>
        <v>447</v>
      </c>
      <c r="P38" s="835">
        <f t="shared" si="35"/>
        <v>42</v>
      </c>
      <c r="Q38" s="836">
        <f>SUM(N38:P38)</f>
        <v>531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473</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4253312</v>
      </c>
      <c r="I9" s="631" t="s">
        <v>472</v>
      </c>
      <c r="J9" s="632" t="s">
        <v>472</v>
      </c>
      <c r="K9" s="633" t="s">
        <v>472</v>
      </c>
      <c r="L9" s="633" t="s">
        <v>472</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541</v>
      </c>
      <c r="AZ30" s="705">
        <f>AS46</f>
        <v>3281820</v>
      </c>
      <c r="BA30" s="718" t="s">
        <v>472</v>
      </c>
      <c r="BB30" s="703">
        <f>SUM(AZ30:AZ36)</f>
        <v>4310610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545</v>
      </c>
      <c r="AZ31" s="705">
        <f t="shared" ref="AZ31:AZ34" si="10">BA31/$G$5*COUNTIFS($E$13:$E$43,"&gt;0")</f>
        <v>350000</v>
      </c>
      <c r="BA31" s="723">
        <v>350000.0</v>
      </c>
      <c r="BB31" s="706"/>
      <c r="BC31" s="573"/>
      <c r="BD31" s="724" t="s">
        <v>546</v>
      </c>
      <c r="BE31" s="725">
        <v>2000.0</v>
      </c>
      <c r="BF31" s="726"/>
      <c r="BG31" s="705">
        <f t="shared" ref="BG31:BG35" si="11">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547</v>
      </c>
      <c r="AZ32" s="705">
        <f t="shared" si="10"/>
        <v>150000</v>
      </c>
      <c r="BA32" s="723">
        <v>150000.0</v>
      </c>
      <c r="BB32" s="706"/>
      <c r="BC32" s="573"/>
      <c r="BD32" s="724" t="s">
        <v>548</v>
      </c>
      <c r="BE32" s="725">
        <v>2500.0</v>
      </c>
      <c r="BF32" s="726"/>
      <c r="BG32" s="705">
        <f t="shared" si="11"/>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549</v>
      </c>
      <c r="AZ33" s="705">
        <f t="shared" si="10"/>
        <v>152000</v>
      </c>
      <c r="BA33" s="723">
        <v>152000.0</v>
      </c>
      <c r="BB33" s="706"/>
      <c r="BC33" s="573"/>
      <c r="BD33" s="727" t="s">
        <v>550</v>
      </c>
      <c r="BE33" s="726"/>
      <c r="BF33" s="726"/>
      <c r="BG33" s="705">
        <f t="shared" si="11"/>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551</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3" t="s">
        <v>558</v>
      </c>
      <c r="AZ40" s="723">
        <v>41700.0</v>
      </c>
      <c r="BA40" s="734" t="s">
        <v>559</v>
      </c>
      <c r="BB40" s="703">
        <f>SUM(AZ40:AZ45)</f>
        <v>90350</v>
      </c>
      <c r="BC40" s="573"/>
      <c r="BD40" s="733"/>
      <c r="BE40" s="723"/>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9"/>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1120" t="s">
        <v>561</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463</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767</v>
      </c>
      <c r="O2" s="431"/>
      <c r="P2" s="432"/>
      <c r="Q2" s="433"/>
      <c r="R2" s="433"/>
      <c r="S2" s="434"/>
      <c r="T2" s="433"/>
      <c r="U2" s="433"/>
      <c r="V2" s="433"/>
      <c r="W2" s="433"/>
      <c r="X2" s="433"/>
      <c r="Y2" s="435"/>
      <c r="Z2" s="406"/>
      <c r="AA2" s="406"/>
      <c r="AB2" s="406"/>
      <c r="AC2" s="406"/>
      <c r="AD2" s="406"/>
      <c r="AE2" s="406"/>
      <c r="AF2" s="436"/>
      <c r="AG2" s="437"/>
      <c r="AH2" s="438"/>
      <c r="AI2" s="439" t="s">
        <v>768</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46147</v>
      </c>
      <c r="C7" s="510"/>
      <c r="D7" s="426"/>
      <c r="E7" s="511">
        <f>today()+1</f>
        <v>46148</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火</v>
      </c>
      <c r="D8" s="255"/>
      <c r="E8" s="525" t="s">
        <v>426</v>
      </c>
      <c r="F8" s="526" t="str">
        <f>TEXT(E7,"ddd")</f>
        <v>水</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09" t="b">
        <v>0</v>
      </c>
      <c r="J9" s="527"/>
      <c r="K9" s="534" t="s">
        <v>429</v>
      </c>
      <c r="L9" s="535" t="s">
        <v>430</v>
      </c>
      <c r="M9" s="536" t="s">
        <v>431</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430</v>
      </c>
      <c r="AT9" s="538" t="s">
        <v>430</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430</v>
      </c>
      <c r="AT10" s="538" t="s">
        <v>430</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387</v>
      </c>
      <c r="O11" s="543" t="s">
        <v>387</v>
      </c>
      <c r="P11" s="543" t="s">
        <v>387</v>
      </c>
      <c r="Q11" s="543" t="s">
        <v>387</v>
      </c>
      <c r="R11" s="543" t="s">
        <v>387</v>
      </c>
      <c r="S11" s="543" t="s">
        <v>387</v>
      </c>
      <c r="T11" s="543"/>
      <c r="U11" s="543" t="s">
        <v>387</v>
      </c>
      <c r="V11" s="543" t="s">
        <v>387</v>
      </c>
      <c r="W11" s="543" t="s">
        <v>387</v>
      </c>
      <c r="X11" s="543"/>
      <c r="Y11" s="543" t="s">
        <v>387</v>
      </c>
      <c r="Z11" s="543" t="s">
        <v>387</v>
      </c>
      <c r="AA11" s="543"/>
      <c r="AB11" s="543" t="s">
        <v>387</v>
      </c>
      <c r="AC11" s="543" t="s">
        <v>387</v>
      </c>
      <c r="AD11" s="543"/>
      <c r="AE11" s="543" t="s">
        <v>387</v>
      </c>
      <c r="AF11" s="543" t="s">
        <v>387</v>
      </c>
      <c r="AG11" s="543" t="s">
        <v>387</v>
      </c>
      <c r="AH11" s="543"/>
      <c r="AI11" s="543" t="s">
        <v>387</v>
      </c>
      <c r="AJ11" s="543" t="s">
        <v>387</v>
      </c>
      <c r="AK11" s="543"/>
      <c r="AL11" s="543"/>
      <c r="AM11" s="543" t="s">
        <v>387</v>
      </c>
      <c r="AN11" s="543" t="s">
        <v>387</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09" t="b">
        <v>0</v>
      </c>
      <c r="J12" s="513"/>
      <c r="K12" s="534" t="s">
        <v>49</v>
      </c>
      <c r="L12" s="535" t="s">
        <v>435</v>
      </c>
      <c r="M12" s="541"/>
      <c r="N12" s="543" t="s">
        <v>387</v>
      </c>
      <c r="O12" s="543"/>
      <c r="P12" s="543"/>
      <c r="Q12" s="543"/>
      <c r="R12" s="543"/>
      <c r="S12" s="543"/>
      <c r="T12" s="543" t="s">
        <v>387</v>
      </c>
      <c r="U12" s="543" t="s">
        <v>387</v>
      </c>
      <c r="V12" s="543"/>
      <c r="W12" s="543"/>
      <c r="X12" s="543"/>
      <c r="Y12" s="543"/>
      <c r="Z12" s="543"/>
      <c r="AA12" s="543" t="s">
        <v>387</v>
      </c>
      <c r="AB12" s="543" t="s">
        <v>387</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09" t="b">
        <v>0</v>
      </c>
      <c r="J13" s="513"/>
      <c r="K13" s="534" t="s">
        <v>103</v>
      </c>
      <c r="L13" s="535" t="s">
        <v>769</v>
      </c>
      <c r="M13" s="541"/>
      <c r="N13" s="543" t="s">
        <v>387</v>
      </c>
      <c r="O13" s="543" t="s">
        <v>387</v>
      </c>
      <c r="P13" s="543"/>
      <c r="Q13" s="543" t="s">
        <v>387</v>
      </c>
      <c r="R13" s="543" t="s">
        <v>387</v>
      </c>
      <c r="S13" s="543" t="s">
        <v>387</v>
      </c>
      <c r="T13" s="543" t="s">
        <v>387</v>
      </c>
      <c r="U13" s="543" t="s">
        <v>409</v>
      </c>
      <c r="V13" s="543" t="s">
        <v>387</v>
      </c>
      <c r="W13" s="543"/>
      <c r="X13" s="543" t="s">
        <v>387</v>
      </c>
      <c r="Y13" s="543" t="s">
        <v>387</v>
      </c>
      <c r="Z13" s="543" t="s">
        <v>387</v>
      </c>
      <c r="AA13" s="543" t="s">
        <v>409</v>
      </c>
      <c r="AB13" s="543" t="s">
        <v>409</v>
      </c>
      <c r="AC13" s="543" t="s">
        <v>387</v>
      </c>
      <c r="AD13" s="543" t="s">
        <v>387</v>
      </c>
      <c r="AE13" s="543"/>
      <c r="AF13" s="543" t="s">
        <v>409</v>
      </c>
      <c r="AG13" s="543" t="s">
        <v>387</v>
      </c>
      <c r="AH13" s="543" t="s">
        <v>387</v>
      </c>
      <c r="AI13" s="543" t="s">
        <v>387</v>
      </c>
      <c r="AJ13" s="543"/>
      <c r="AK13" s="543" t="s">
        <v>387</v>
      </c>
      <c r="AL13" s="543" t="s">
        <v>387</v>
      </c>
      <c r="AM13" s="543" t="s">
        <v>387</v>
      </c>
      <c r="AN13" s="543" t="s">
        <v>387</v>
      </c>
      <c r="AO13" s="543" t="s">
        <v>387</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09" t="b">
        <v>0</v>
      </c>
      <c r="J14" s="513"/>
      <c r="K14" s="534" t="s">
        <v>162</v>
      </c>
      <c r="L14" s="535" t="s">
        <v>436</v>
      </c>
      <c r="M14" s="541"/>
      <c r="N14" s="543"/>
      <c r="O14" s="543"/>
      <c r="P14" s="543" t="s">
        <v>389</v>
      </c>
      <c r="Q14" s="543" t="s">
        <v>389</v>
      </c>
      <c r="R14" s="543" t="s">
        <v>389</v>
      </c>
      <c r="S14" s="543" t="s">
        <v>389</v>
      </c>
      <c r="T14" s="543" t="s">
        <v>389</v>
      </c>
      <c r="U14" s="543"/>
      <c r="V14" s="543"/>
      <c r="W14" s="543" t="s">
        <v>409</v>
      </c>
      <c r="X14" s="543" t="s">
        <v>389</v>
      </c>
      <c r="Y14" s="543" t="s">
        <v>389</v>
      </c>
      <c r="Z14" s="543" t="s">
        <v>389</v>
      </c>
      <c r="AA14" s="543" t="s">
        <v>389</v>
      </c>
      <c r="AB14" s="543"/>
      <c r="AC14" s="543"/>
      <c r="AD14" s="543" t="s">
        <v>389</v>
      </c>
      <c r="AE14" s="543" t="s">
        <v>389</v>
      </c>
      <c r="AF14" s="543" t="s">
        <v>389</v>
      </c>
      <c r="AG14" s="543" t="s">
        <v>389</v>
      </c>
      <c r="AH14" s="543" t="s">
        <v>389</v>
      </c>
      <c r="AI14" s="543"/>
      <c r="AJ14" s="543"/>
      <c r="AK14" s="543" t="s">
        <v>389</v>
      </c>
      <c r="AL14" s="543" t="s">
        <v>389</v>
      </c>
      <c r="AM14" s="543" t="s">
        <v>405</v>
      </c>
      <c r="AN14" s="543" t="s">
        <v>389</v>
      </c>
      <c r="AO14" s="543" t="s">
        <v>389</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09" t="b">
        <v>0</v>
      </c>
      <c r="J15" s="513"/>
      <c r="K15" s="534" t="s">
        <v>148</v>
      </c>
      <c r="L15" s="535" t="s">
        <v>436</v>
      </c>
      <c r="M15" s="541"/>
      <c r="N15" s="543"/>
      <c r="O15" s="543" t="s">
        <v>389</v>
      </c>
      <c r="P15" s="543" t="s">
        <v>389</v>
      </c>
      <c r="Q15" s="543" t="s">
        <v>389</v>
      </c>
      <c r="R15" s="543"/>
      <c r="S15" s="543"/>
      <c r="T15" s="543"/>
      <c r="U15" s="543"/>
      <c r="V15" s="543" t="s">
        <v>405</v>
      </c>
      <c r="W15" s="543" t="s">
        <v>389</v>
      </c>
      <c r="X15" s="543" t="s">
        <v>389</v>
      </c>
      <c r="Y15" s="543"/>
      <c r="Z15" s="543"/>
      <c r="AA15" s="543" t="s">
        <v>389</v>
      </c>
      <c r="AB15" s="543"/>
      <c r="AC15" s="543" t="s">
        <v>389</v>
      </c>
      <c r="AD15" s="543" t="s">
        <v>389</v>
      </c>
      <c r="AE15" s="543" t="s">
        <v>389</v>
      </c>
      <c r="AF15" s="543"/>
      <c r="AG15" s="543"/>
      <c r="AH15" s="543"/>
      <c r="AI15" s="543"/>
      <c r="AJ15" s="543" t="s">
        <v>389</v>
      </c>
      <c r="AK15" s="543" t="s">
        <v>389</v>
      </c>
      <c r="AL15" s="543" t="s">
        <v>389</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09" t="b">
        <v>0</v>
      </c>
      <c r="J16" s="513"/>
      <c r="K16" s="534" t="s">
        <v>770</v>
      </c>
      <c r="L16" s="535" t="s">
        <v>436</v>
      </c>
      <c r="M16" s="541"/>
      <c r="N16" s="543" t="s">
        <v>405</v>
      </c>
      <c r="O16" s="543" t="s">
        <v>405</v>
      </c>
      <c r="P16" s="543"/>
      <c r="Q16" s="543" t="s">
        <v>405</v>
      </c>
      <c r="R16" s="543"/>
      <c r="S16" s="543" t="s">
        <v>405</v>
      </c>
      <c r="T16" s="543"/>
      <c r="U16" s="543" t="s">
        <v>389</v>
      </c>
      <c r="V16" s="543" t="s">
        <v>389</v>
      </c>
      <c r="W16" s="543"/>
      <c r="X16" s="543" t="s">
        <v>405</v>
      </c>
      <c r="Y16" s="543"/>
      <c r="Z16" s="543" t="s">
        <v>405</v>
      </c>
      <c r="AA16" s="543"/>
      <c r="AB16" s="543" t="s">
        <v>389</v>
      </c>
      <c r="AC16" s="543" t="s">
        <v>389</v>
      </c>
      <c r="AD16" s="543"/>
      <c r="AE16" s="543" t="s">
        <v>409</v>
      </c>
      <c r="AF16" s="543"/>
      <c r="AG16" s="543" t="s">
        <v>405</v>
      </c>
      <c r="AH16" s="543" t="s">
        <v>405</v>
      </c>
      <c r="AI16" s="543" t="s">
        <v>405</v>
      </c>
      <c r="AJ16" s="543" t="s">
        <v>405</v>
      </c>
      <c r="AK16" s="543"/>
      <c r="AL16" s="543" t="s">
        <v>389</v>
      </c>
      <c r="AM16" s="543"/>
      <c r="AN16" s="543" t="s">
        <v>389</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09" t="b">
        <v>0</v>
      </c>
      <c r="J17" s="513"/>
      <c r="K17" s="534" t="s">
        <v>437</v>
      </c>
      <c r="L17" s="535" t="s">
        <v>436</v>
      </c>
      <c r="M17" s="541"/>
      <c r="N17" s="543"/>
      <c r="O17" s="543"/>
      <c r="P17" s="543" t="s">
        <v>389</v>
      </c>
      <c r="Q17" s="543"/>
      <c r="R17" s="543" t="s">
        <v>389</v>
      </c>
      <c r="S17" s="543"/>
      <c r="T17" s="543" t="s">
        <v>389</v>
      </c>
      <c r="U17" s="543"/>
      <c r="V17" s="543"/>
      <c r="W17" s="543" t="s">
        <v>389</v>
      </c>
      <c r="X17" s="543"/>
      <c r="Y17" s="543" t="s">
        <v>405</v>
      </c>
      <c r="Z17" s="543"/>
      <c r="AA17" s="543" t="s">
        <v>409</v>
      </c>
      <c r="AB17" s="543"/>
      <c r="AC17" s="543"/>
      <c r="AD17" s="543" t="s">
        <v>389</v>
      </c>
      <c r="AE17" s="543"/>
      <c r="AF17" s="543" t="s">
        <v>389</v>
      </c>
      <c r="AG17" s="543"/>
      <c r="AH17" s="543" t="s">
        <v>389</v>
      </c>
      <c r="AI17" s="543"/>
      <c r="AJ17" s="543"/>
      <c r="AK17" s="543" t="s">
        <v>389</v>
      </c>
      <c r="AL17" s="543"/>
      <c r="AM17" s="543" t="s">
        <v>405</v>
      </c>
      <c r="AN17" s="543"/>
      <c r="AO17" s="543" t="s">
        <v>389</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09" t="b">
        <v>0</v>
      </c>
      <c r="J18" s="513"/>
      <c r="K18" s="534" t="s">
        <v>439</v>
      </c>
      <c r="L18" s="535" t="s">
        <v>436</v>
      </c>
      <c r="M18" s="541"/>
      <c r="N18" s="543"/>
      <c r="O18" s="543"/>
      <c r="P18" s="543"/>
      <c r="Q18" s="543"/>
      <c r="R18" s="543"/>
      <c r="S18" s="543"/>
      <c r="T18" s="543"/>
      <c r="U18" s="543"/>
      <c r="V18" s="543"/>
      <c r="W18" s="543"/>
      <c r="X18" s="543"/>
      <c r="Y18" s="543"/>
      <c r="Z18" s="543"/>
      <c r="AA18" s="543"/>
      <c r="AB18" s="543"/>
      <c r="AC18" s="543"/>
      <c r="AD18" s="543"/>
      <c r="AE18" s="543" t="s">
        <v>389</v>
      </c>
      <c r="AF18" s="543"/>
      <c r="AG18" s="543" t="s">
        <v>389</v>
      </c>
      <c r="AH18" s="543" t="s">
        <v>389</v>
      </c>
      <c r="AI18" s="543" t="s">
        <v>409</v>
      </c>
      <c r="AJ18" s="543" t="s">
        <v>389</v>
      </c>
      <c r="AK18" s="543"/>
      <c r="AL18" s="543" t="s">
        <v>389</v>
      </c>
      <c r="AM18" s="543" t="s">
        <v>389</v>
      </c>
      <c r="AN18" s="543"/>
      <c r="AO18" s="543" t="s">
        <v>389</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09" t="b">
        <v>0</v>
      </c>
      <c r="J19" s="513"/>
      <c r="K19" s="534" t="s">
        <v>771</v>
      </c>
      <c r="L19" s="535"/>
      <c r="M19" s="541"/>
      <c r="N19" s="543"/>
      <c r="O19" s="543"/>
      <c r="P19" s="543"/>
      <c r="Q19" s="543"/>
      <c r="R19" s="543"/>
      <c r="S19" s="543"/>
      <c r="T19" s="543"/>
      <c r="U19" s="543"/>
      <c r="V19" s="543"/>
      <c r="W19" s="543" t="s">
        <v>387</v>
      </c>
      <c r="X19" s="543"/>
      <c r="Y19" s="543"/>
      <c r="Z19" s="543"/>
      <c r="AA19" s="543"/>
      <c r="AB19" s="543"/>
      <c r="AC19" s="543"/>
      <c r="AD19" s="543"/>
      <c r="AE19" s="543"/>
      <c r="AF19" s="543" t="s">
        <v>387</v>
      </c>
      <c r="AG19" s="543"/>
      <c r="AH19" s="543"/>
      <c r="AI19" s="543"/>
      <c r="AJ19" s="543" t="s">
        <v>387</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09"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09"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389</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09" t="b">
        <v>0</v>
      </c>
      <c r="J21" s="513"/>
      <c r="K21" s="534" t="s">
        <v>440</v>
      </c>
      <c r="L21" s="535" t="s">
        <v>446</v>
      </c>
      <c r="M21" s="541"/>
      <c r="N21" s="543"/>
      <c r="O21" s="543" t="s">
        <v>392</v>
      </c>
      <c r="P21" s="543" t="s">
        <v>392</v>
      </c>
      <c r="Q21" s="543" t="s">
        <v>392</v>
      </c>
      <c r="R21" s="543" t="s">
        <v>392</v>
      </c>
      <c r="S21" s="543"/>
      <c r="T21" s="543"/>
      <c r="U21" s="543"/>
      <c r="V21" s="543" t="s">
        <v>392</v>
      </c>
      <c r="W21" s="543" t="s">
        <v>392</v>
      </c>
      <c r="X21" s="543"/>
      <c r="Y21" s="543" t="s">
        <v>392</v>
      </c>
      <c r="Z21" s="543"/>
      <c r="AA21" s="543"/>
      <c r="AB21" s="543"/>
      <c r="AC21" s="543" t="s">
        <v>392</v>
      </c>
      <c r="AD21" s="543" t="s">
        <v>392</v>
      </c>
      <c r="AE21" s="543"/>
      <c r="AF21" s="543" t="s">
        <v>392</v>
      </c>
      <c r="AG21" s="543"/>
      <c r="AH21" s="543"/>
      <c r="AI21" s="543"/>
      <c r="AJ21" s="543" t="s">
        <v>392</v>
      </c>
      <c r="AK21" s="543" t="s">
        <v>392</v>
      </c>
      <c r="AL21" s="543"/>
      <c r="AM21" s="543" t="s">
        <v>392</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09" t="b">
        <v>0</v>
      </c>
      <c r="J22" s="513"/>
      <c r="K22" s="534" t="s">
        <v>146</v>
      </c>
      <c r="L22" s="535" t="s">
        <v>446</v>
      </c>
      <c r="M22" s="541"/>
      <c r="N22" s="543" t="s">
        <v>392</v>
      </c>
      <c r="O22" s="537"/>
      <c r="P22" s="543"/>
      <c r="Q22" s="543"/>
      <c r="R22" s="537"/>
      <c r="S22" s="537"/>
      <c r="T22" s="543" t="s">
        <v>392</v>
      </c>
      <c r="U22" s="543" t="s">
        <v>392</v>
      </c>
      <c r="V22" s="537"/>
      <c r="W22" s="543"/>
      <c r="X22" s="543"/>
      <c r="Y22" s="537"/>
      <c r="Z22" s="537"/>
      <c r="AA22" s="543" t="s">
        <v>392</v>
      </c>
      <c r="AB22" s="543" t="s">
        <v>392</v>
      </c>
      <c r="AC22" s="537"/>
      <c r="AD22" s="543"/>
      <c r="AE22" s="543"/>
      <c r="AF22" s="537"/>
      <c r="AG22" s="537"/>
      <c r="AH22" s="543" t="s">
        <v>392</v>
      </c>
      <c r="AI22" s="543" t="s">
        <v>392</v>
      </c>
      <c r="AJ22" s="537"/>
      <c r="AK22" s="543"/>
      <c r="AL22" s="543"/>
      <c r="AM22" s="537"/>
      <c r="AN22" s="537"/>
      <c r="AO22" s="543" t="s">
        <v>392</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09"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09" t="b">
        <v>0</v>
      </c>
      <c r="J32" s="513"/>
      <c r="K32" s="534" t="s">
        <v>441</v>
      </c>
      <c r="L32" s="535" t="s">
        <v>446</v>
      </c>
      <c r="M32" s="541"/>
      <c r="N32" s="543" t="s">
        <v>392</v>
      </c>
      <c r="O32" s="543"/>
      <c r="P32" s="543"/>
      <c r="Q32" s="543"/>
      <c r="R32" s="543"/>
      <c r="S32" s="543"/>
      <c r="T32" s="543" t="s">
        <v>392</v>
      </c>
      <c r="U32" s="543" t="s">
        <v>392</v>
      </c>
      <c r="V32" s="543" t="s">
        <v>392</v>
      </c>
      <c r="W32" s="543"/>
      <c r="X32" s="543"/>
      <c r="Y32" s="543"/>
      <c r="Z32" s="543"/>
      <c r="AA32" s="543" t="s">
        <v>392</v>
      </c>
      <c r="AB32" s="543" t="s">
        <v>392</v>
      </c>
      <c r="AC32" s="543" t="s">
        <v>392</v>
      </c>
      <c r="AD32" s="543"/>
      <c r="AE32" s="543"/>
      <c r="AF32" s="543"/>
      <c r="AG32" s="543"/>
      <c r="AH32" s="543" t="s">
        <v>392</v>
      </c>
      <c r="AI32" s="543" t="s">
        <v>392</v>
      </c>
      <c r="AJ32" s="543"/>
      <c r="AK32" s="543"/>
      <c r="AL32" s="543"/>
      <c r="AM32" s="543"/>
      <c r="AN32" s="543"/>
      <c r="AO32" s="543" t="s">
        <v>392</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09"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09"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09"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09"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09"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09"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09"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09" t="b">
        <v>0</v>
      </c>
      <c r="J43" s="513"/>
      <c r="K43" s="534" t="s">
        <v>442</v>
      </c>
      <c r="L43" s="535" t="s">
        <v>436</v>
      </c>
      <c r="M43" s="536" t="s">
        <v>303</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430</v>
      </c>
      <c r="AT43" s="543" t="s">
        <v>430</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09" t="b">
        <v>0</v>
      </c>
      <c r="J44" s="513"/>
      <c r="K44" s="534" t="s">
        <v>444</v>
      </c>
      <c r="L44" s="535" t="s">
        <v>446</v>
      </c>
      <c r="M44" s="536" t="s">
        <v>392</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430</v>
      </c>
      <c r="AT44" s="543" t="s">
        <v>430</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445</v>
      </c>
      <c r="L45" s="558" t="s">
        <v>446</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430</v>
      </c>
      <c r="AT45" s="543" t="s">
        <v>430</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09" t="b">
        <v>0</v>
      </c>
      <c r="J46" s="513"/>
      <c r="K46" s="534" t="s">
        <v>447</v>
      </c>
      <c r="L46" s="535" t="s">
        <v>430</v>
      </c>
      <c r="M46" s="536" t="s">
        <v>448</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430</v>
      </c>
      <c r="AT46" s="543" t="s">
        <v>430</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09" t="b">
        <v>0</v>
      </c>
      <c r="J47" s="513"/>
      <c r="K47" s="534" t="s">
        <v>81</v>
      </c>
      <c r="L47" s="535" t="s">
        <v>443</v>
      </c>
      <c r="M47" s="541"/>
      <c r="N47" s="543" t="s">
        <v>303</v>
      </c>
      <c r="O47" s="543" t="s">
        <v>303</v>
      </c>
      <c r="P47" s="543" t="s">
        <v>303</v>
      </c>
      <c r="Q47" s="543" t="s">
        <v>303</v>
      </c>
      <c r="R47" s="543"/>
      <c r="S47" s="543" t="s">
        <v>303</v>
      </c>
      <c r="T47" s="543" t="s">
        <v>303</v>
      </c>
      <c r="U47" s="543" t="s">
        <v>303</v>
      </c>
      <c r="V47" s="543" t="s">
        <v>303</v>
      </c>
      <c r="W47" s="543" t="s">
        <v>303</v>
      </c>
      <c r="X47" s="543" t="s">
        <v>303</v>
      </c>
      <c r="Y47" s="543"/>
      <c r="Z47" s="543" t="s">
        <v>303</v>
      </c>
      <c r="AA47" s="543" t="s">
        <v>303</v>
      </c>
      <c r="AB47" s="543" t="s">
        <v>303</v>
      </c>
      <c r="AC47" s="543" t="s">
        <v>303</v>
      </c>
      <c r="AD47" s="543" t="s">
        <v>303</v>
      </c>
      <c r="AE47" s="543" t="s">
        <v>303</v>
      </c>
      <c r="AF47" s="543"/>
      <c r="AG47" s="543" t="s">
        <v>303</v>
      </c>
      <c r="AH47" s="543" t="s">
        <v>303</v>
      </c>
      <c r="AI47" s="543" t="s">
        <v>303</v>
      </c>
      <c r="AJ47" s="543" t="s">
        <v>303</v>
      </c>
      <c r="AK47" s="543" t="s">
        <v>303</v>
      </c>
      <c r="AL47" s="543" t="s">
        <v>303</v>
      </c>
      <c r="AM47" s="543"/>
      <c r="AN47" s="543" t="s">
        <v>303</v>
      </c>
      <c r="AO47" s="543" t="s">
        <v>303</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09" t="b">
        <v>0</v>
      </c>
      <c r="J48" s="513"/>
      <c r="K48" s="534" t="s">
        <v>38</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09" t="b">
        <v>0</v>
      </c>
      <c r="J49" s="513"/>
      <c r="K49" s="534" t="s">
        <v>45</v>
      </c>
      <c r="L49" s="535" t="s">
        <v>443</v>
      </c>
      <c r="M49" s="541"/>
      <c r="N49" s="543" t="s">
        <v>303</v>
      </c>
      <c r="O49" s="543"/>
      <c r="P49" s="543" t="s">
        <v>303</v>
      </c>
      <c r="Q49" s="543" t="s">
        <v>303</v>
      </c>
      <c r="R49" s="543" t="s">
        <v>303</v>
      </c>
      <c r="S49" s="543" t="s">
        <v>303</v>
      </c>
      <c r="T49" s="543" t="s">
        <v>303</v>
      </c>
      <c r="U49" s="543" t="s">
        <v>303</v>
      </c>
      <c r="V49" s="543"/>
      <c r="W49" s="543" t="s">
        <v>303</v>
      </c>
      <c r="X49" s="543" t="s">
        <v>303</v>
      </c>
      <c r="Y49" s="543" t="s">
        <v>303</v>
      </c>
      <c r="Z49" s="543" t="s">
        <v>303</v>
      </c>
      <c r="AA49" s="543" t="s">
        <v>303</v>
      </c>
      <c r="AB49" s="543" t="s">
        <v>303</v>
      </c>
      <c r="AC49" s="543"/>
      <c r="AD49" s="543" t="s">
        <v>303</v>
      </c>
      <c r="AE49" s="543" t="s">
        <v>303</v>
      </c>
      <c r="AF49" s="543" t="s">
        <v>303</v>
      </c>
      <c r="AG49" s="543" t="s">
        <v>303</v>
      </c>
      <c r="AH49" s="543" t="s">
        <v>303</v>
      </c>
      <c r="AI49" s="543" t="s">
        <v>303</v>
      </c>
      <c r="AJ49" s="543"/>
      <c r="AK49" s="543" t="s">
        <v>303</v>
      </c>
      <c r="AL49" s="543" t="s">
        <v>303</v>
      </c>
      <c r="AM49" s="543" t="s">
        <v>303</v>
      </c>
      <c r="AN49" s="543" t="s">
        <v>303</v>
      </c>
      <c r="AO49" s="543" t="s">
        <v>303</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09" t="b">
        <v>0</v>
      </c>
      <c r="J50" s="513"/>
      <c r="K50" s="534" t="s">
        <v>65</v>
      </c>
      <c r="L50" s="535" t="s">
        <v>443</v>
      </c>
      <c r="M50" s="541"/>
      <c r="N50" s="543" t="s">
        <v>303</v>
      </c>
      <c r="O50" s="543" t="s">
        <v>303</v>
      </c>
      <c r="P50" s="543" t="s">
        <v>303</v>
      </c>
      <c r="Q50" s="543" t="s">
        <v>303</v>
      </c>
      <c r="R50" s="543" t="s">
        <v>303</v>
      </c>
      <c r="S50" s="543" t="s">
        <v>303</v>
      </c>
      <c r="T50" s="543"/>
      <c r="U50" s="543" t="s">
        <v>303</v>
      </c>
      <c r="V50" s="543" t="s">
        <v>303</v>
      </c>
      <c r="W50" s="543" t="s">
        <v>303</v>
      </c>
      <c r="X50" s="543" t="s">
        <v>303</v>
      </c>
      <c r="Y50" s="543" t="s">
        <v>303</v>
      </c>
      <c r="Z50" s="543"/>
      <c r="AA50" s="543" t="s">
        <v>303</v>
      </c>
      <c r="AB50" s="543" t="s">
        <v>303</v>
      </c>
      <c r="AC50" s="543" t="s">
        <v>303</v>
      </c>
      <c r="AD50" s="543" t="s">
        <v>303</v>
      </c>
      <c r="AE50" s="543" t="s">
        <v>303</v>
      </c>
      <c r="AF50" s="543" t="s">
        <v>303</v>
      </c>
      <c r="AG50" s="543" t="s">
        <v>303</v>
      </c>
      <c r="AH50" s="543"/>
      <c r="AI50" s="543" t="s">
        <v>303</v>
      </c>
      <c r="AJ50" s="543" t="s">
        <v>303</v>
      </c>
      <c r="AK50" s="543" t="s">
        <v>303</v>
      </c>
      <c r="AL50" s="543" t="s">
        <v>303</v>
      </c>
      <c r="AM50" s="543" t="s">
        <v>303</v>
      </c>
      <c r="AN50" s="543" t="s">
        <v>303</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09" t="b">
        <v>0</v>
      </c>
      <c r="J51" s="513"/>
      <c r="K51" s="534" t="s">
        <v>137</v>
      </c>
      <c r="L51" s="535" t="s">
        <v>443</v>
      </c>
      <c r="M51" s="541"/>
      <c r="N51" s="543" t="s">
        <v>303</v>
      </c>
      <c r="O51" s="543" t="s">
        <v>303</v>
      </c>
      <c r="P51" s="543" t="s">
        <v>303</v>
      </c>
      <c r="Q51" s="543" t="s">
        <v>303</v>
      </c>
      <c r="R51" s="543" t="s">
        <v>303</v>
      </c>
      <c r="S51" s="543"/>
      <c r="T51" s="543" t="s">
        <v>303</v>
      </c>
      <c r="U51" s="543" t="s">
        <v>303</v>
      </c>
      <c r="V51" s="543" t="s">
        <v>303</v>
      </c>
      <c r="W51" s="543" t="s">
        <v>303</v>
      </c>
      <c r="X51" s="543" t="s">
        <v>303</v>
      </c>
      <c r="Y51" s="543" t="s">
        <v>303</v>
      </c>
      <c r="Z51" s="543" t="s">
        <v>303</v>
      </c>
      <c r="AA51" s="543"/>
      <c r="AB51" s="543" t="s">
        <v>303</v>
      </c>
      <c r="AC51" s="543" t="s">
        <v>303</v>
      </c>
      <c r="AD51" s="543" t="s">
        <v>303</v>
      </c>
      <c r="AE51" s="543" t="s">
        <v>303</v>
      </c>
      <c r="AF51" s="543" t="s">
        <v>303</v>
      </c>
      <c r="AG51" s="543"/>
      <c r="AH51" s="543" t="s">
        <v>303</v>
      </c>
      <c r="AI51" s="543" t="s">
        <v>303</v>
      </c>
      <c r="AJ51" s="543" t="s">
        <v>303</v>
      </c>
      <c r="AK51" s="543" t="s">
        <v>303</v>
      </c>
      <c r="AL51" s="543" t="s">
        <v>303</v>
      </c>
      <c r="AM51" s="543" t="s">
        <v>303</v>
      </c>
      <c r="AN51" s="543"/>
      <c r="AO51" s="543" t="s">
        <v>303</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09" t="b">
        <v>0</v>
      </c>
      <c r="J52" s="513"/>
      <c r="K52" s="534" t="s">
        <v>258</v>
      </c>
      <c r="L52" s="535" t="s">
        <v>443</v>
      </c>
      <c r="M52" s="541"/>
      <c r="N52" s="543" t="s">
        <v>303</v>
      </c>
      <c r="O52" s="543" t="s">
        <v>303</v>
      </c>
      <c r="P52" s="543"/>
      <c r="Q52" s="543" t="s">
        <v>303</v>
      </c>
      <c r="R52" s="543" t="s">
        <v>303</v>
      </c>
      <c r="S52" s="543" t="s">
        <v>303</v>
      </c>
      <c r="T52" s="543" t="s">
        <v>303</v>
      </c>
      <c r="U52" s="543" t="s">
        <v>303</v>
      </c>
      <c r="V52" s="543" t="s">
        <v>303</v>
      </c>
      <c r="W52" s="543"/>
      <c r="X52" s="543" t="s">
        <v>303</v>
      </c>
      <c r="Y52" s="543" t="s">
        <v>303</v>
      </c>
      <c r="Z52" s="543" t="s">
        <v>303</v>
      </c>
      <c r="AA52" s="543" t="s">
        <v>303</v>
      </c>
      <c r="AB52" s="543" t="s">
        <v>303</v>
      </c>
      <c r="AC52" s="543" t="s">
        <v>303</v>
      </c>
      <c r="AD52" s="543"/>
      <c r="AE52" s="543" t="s">
        <v>303</v>
      </c>
      <c r="AF52" s="543" t="s">
        <v>303</v>
      </c>
      <c r="AG52" s="543" t="s">
        <v>303</v>
      </c>
      <c r="AH52" s="543" t="s">
        <v>303</v>
      </c>
      <c r="AI52" s="543" t="s">
        <v>303</v>
      </c>
      <c r="AJ52" s="543" t="s">
        <v>303</v>
      </c>
      <c r="AK52" s="543"/>
      <c r="AL52" s="543" t="s">
        <v>303</v>
      </c>
      <c r="AM52" s="543" t="s">
        <v>303</v>
      </c>
      <c r="AN52" s="543" t="s">
        <v>303</v>
      </c>
      <c r="AO52" s="543" t="s">
        <v>303</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09" t="b">
        <v>0</v>
      </c>
      <c r="J53" s="513"/>
      <c r="K53" s="534" t="s">
        <v>166</v>
      </c>
      <c r="L53" s="535" t="s">
        <v>443</v>
      </c>
      <c r="M53" s="541"/>
      <c r="N53" s="543"/>
      <c r="O53" s="543" t="s">
        <v>303</v>
      </c>
      <c r="P53" s="543"/>
      <c r="Q53" s="543"/>
      <c r="R53" s="543" t="s">
        <v>303</v>
      </c>
      <c r="S53" s="543" t="s">
        <v>303</v>
      </c>
      <c r="T53" s="543" t="s">
        <v>303</v>
      </c>
      <c r="U53" s="543"/>
      <c r="V53" s="543" t="s">
        <v>303</v>
      </c>
      <c r="W53" s="543"/>
      <c r="X53" s="543"/>
      <c r="Y53" s="543" t="s">
        <v>303</v>
      </c>
      <c r="Z53" s="543" t="s">
        <v>303</v>
      </c>
      <c r="AA53" s="543" t="s">
        <v>303</v>
      </c>
      <c r="AB53" s="543"/>
      <c r="AC53" s="543" t="s">
        <v>303</v>
      </c>
      <c r="AD53" s="543"/>
      <c r="AE53" s="543"/>
      <c r="AF53" s="543" t="s">
        <v>303</v>
      </c>
      <c r="AG53" s="543" t="s">
        <v>303</v>
      </c>
      <c r="AH53" s="543" t="s">
        <v>303</v>
      </c>
      <c r="AI53" s="543"/>
      <c r="AJ53" s="543" t="s">
        <v>303</v>
      </c>
      <c r="AK53" s="543"/>
      <c r="AL53" s="543"/>
      <c r="AM53" s="543" t="s">
        <v>303</v>
      </c>
      <c r="AN53" s="543" t="s">
        <v>303</v>
      </c>
      <c r="AO53" s="543" t="s">
        <v>303</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09"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09"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09"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09"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09"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09"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09"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09"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09"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09"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09"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09"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09"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09"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09"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09"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09"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09"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09"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09"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09"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09"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09"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09"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09"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09"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09"/>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09"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09"/>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09"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09"/>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09"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09"/>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09"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09"/>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09"/>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09"/>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09"/>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09"/>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09"/>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09"/>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09"/>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09"/>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09"/>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09"/>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09"/>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09"/>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09"/>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09"/>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09"/>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09"/>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09"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09"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772</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46054</v>
      </c>
      <c r="D9" s="1029" t="str">
        <f>TEXT(C9,"ddd")</f>
        <v>日</v>
      </c>
      <c r="E9" s="1030"/>
      <c r="F9" s="1031" t="s">
        <v>103</v>
      </c>
      <c r="G9" s="1032" t="s">
        <v>773</v>
      </c>
      <c r="H9" s="1033"/>
      <c r="I9" s="1033" t="s">
        <v>643</v>
      </c>
      <c r="J9" s="1033">
        <v>6.0</v>
      </c>
      <c r="K9" s="1033">
        <v>3.0</v>
      </c>
      <c r="L9" s="1034" t="s">
        <v>770</v>
      </c>
      <c r="M9" s="1034" t="s">
        <v>774</v>
      </c>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775</v>
      </c>
      <c r="W18" s="1025"/>
      <c r="X18" s="1026">
        <v>46357.0</v>
      </c>
      <c r="Y18" s="971"/>
      <c r="Z18" s="971"/>
    </row>
    <row r="19" ht="18.0" customHeight="1" outlineLevel="1">
      <c r="B19" s="1046"/>
      <c r="C19" s="1006"/>
      <c r="D19" s="1006"/>
      <c r="E19" s="1006"/>
      <c r="F19" s="1047" t="s">
        <v>644</v>
      </c>
      <c r="G19" s="1048" t="s">
        <v>776</v>
      </c>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outlineLevel="1">
      <c r="A20" s="971"/>
      <c r="B20" s="1051"/>
      <c r="C20" s="1052">
        <f>IF(C9="","",IF(DAY(C9+1)=1,"",C9+1))</f>
        <v>46055</v>
      </c>
      <c r="D20" s="1053" t="str">
        <f>TEXT(C20,"ddd")</f>
        <v>月</v>
      </c>
      <c r="E20" s="1054"/>
      <c r="F20" s="1055" t="s">
        <v>103</v>
      </c>
      <c r="G20" s="1056" t="s">
        <v>777</v>
      </c>
      <c r="H20" s="1057"/>
      <c r="I20" s="1057" t="s">
        <v>643</v>
      </c>
      <c r="J20" s="1057">
        <v>5.0</v>
      </c>
      <c r="K20" s="1057">
        <v>3.0</v>
      </c>
      <c r="L20" s="1060" t="s">
        <v>770</v>
      </c>
      <c r="M20" s="1060" t="s">
        <v>774</v>
      </c>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778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770</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779</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t="18.0" customHeight="1" outlineLevel="1">
      <c r="A30" s="971"/>
      <c r="B30" s="1046"/>
      <c r="C30" s="1006"/>
      <c r="D30" s="1006"/>
      <c r="E30" s="1006"/>
      <c r="F30" s="1067" t="s">
        <v>644</v>
      </c>
      <c r="G30" s="1068" t="s">
        <v>780</v>
      </c>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46056</v>
      </c>
      <c r="D31" s="1072" t="str">
        <f>TEXT(C31,"ddd")</f>
        <v>火</v>
      </c>
      <c r="E31" s="1073"/>
      <c r="F31" s="1074" t="s">
        <v>251</v>
      </c>
      <c r="G31" s="1075" t="s">
        <v>781</v>
      </c>
      <c r="H31" s="1076"/>
      <c r="I31" s="1077">
        <v>0.0</v>
      </c>
      <c r="J31" s="1076">
        <v>5.0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t="18.0" customHeight="1" outlineLevel="1">
      <c r="A41" s="971"/>
      <c r="B41" s="1046"/>
      <c r="C41" s="1006"/>
      <c r="D41" s="1006"/>
      <c r="E41" s="1006"/>
      <c r="F41" s="1047" t="s">
        <v>644</v>
      </c>
      <c r="G41" s="1048" t="s">
        <v>782</v>
      </c>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46057</v>
      </c>
      <c r="D42" s="1053" t="str">
        <f>TEXT(C42,"ddd")</f>
        <v>水</v>
      </c>
      <c r="E42" s="1054"/>
      <c r="F42" s="1083" t="s">
        <v>103</v>
      </c>
      <c r="G42" s="1084" t="s">
        <v>783</v>
      </c>
      <c r="H42" s="1085"/>
      <c r="I42" s="1085" t="s">
        <v>784</v>
      </c>
      <c r="J42" s="1085">
        <v>6.0</v>
      </c>
      <c r="K42" s="1085">
        <v>4.0</v>
      </c>
      <c r="L42" s="1063" t="s">
        <v>770</v>
      </c>
      <c r="M42" s="1063" t="s">
        <v>785</v>
      </c>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t="18.0" customHeight="1" outlineLevel="1">
      <c r="A52" s="971"/>
      <c r="B52" s="1046"/>
      <c r="C52" s="1006"/>
      <c r="D52" s="1006"/>
      <c r="E52" s="1006"/>
      <c r="F52" s="1067" t="s">
        <v>644</v>
      </c>
      <c r="G52" s="1068" t="s">
        <v>786</v>
      </c>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46058</v>
      </c>
      <c r="D53" s="1072" t="str">
        <f>TEXT(C53,"ddd")</f>
        <v>木</v>
      </c>
      <c r="E53" s="1073"/>
      <c r="F53" s="1074" t="s">
        <v>103</v>
      </c>
      <c r="G53" s="1075" t="s">
        <v>787</v>
      </c>
      <c r="H53" s="1076"/>
      <c r="I53" s="1076" t="s">
        <v>643</v>
      </c>
      <c r="J53" s="1076">
        <v>6.0</v>
      </c>
      <c r="K53" s="1076">
        <v>5.0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t="18.0" customHeight="1" outlineLevel="1">
      <c r="A63" s="971"/>
      <c r="B63" s="1046"/>
      <c r="C63" s="1006"/>
      <c r="D63" s="1006"/>
      <c r="E63" s="1006"/>
      <c r="F63" s="1047" t="s">
        <v>644</v>
      </c>
      <c r="G63" s="1048" t="s">
        <v>776</v>
      </c>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651</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46059</v>
      </c>
      <c r="D65" s="1053" t="str">
        <f>TEXT(C65,"ddd")</f>
        <v>金</v>
      </c>
      <c r="E65" s="1054"/>
      <c r="F65" s="1083" t="s">
        <v>251</v>
      </c>
      <c r="G65" s="1084" t="s">
        <v>788</v>
      </c>
      <c r="H65" s="1085">
        <v>2.0</v>
      </c>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t="18.0" customHeight="1" outlineLevel="1">
      <c r="A75" s="971"/>
      <c r="B75" s="1046"/>
      <c r="C75" s="1006"/>
      <c r="D75" s="1006"/>
      <c r="E75" s="1006"/>
      <c r="F75" s="1067" t="s">
        <v>644</v>
      </c>
      <c r="G75" s="1068" t="s">
        <v>789</v>
      </c>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46060</v>
      </c>
      <c r="D76" s="1072" t="str">
        <f>TEXT(C76,"ddd")</f>
        <v>土</v>
      </c>
      <c r="E76" s="1073"/>
      <c r="F76" s="1074" t="s">
        <v>103</v>
      </c>
      <c r="G76" s="1075" t="s">
        <v>790</v>
      </c>
      <c r="H76" s="1076"/>
      <c r="I76" s="1076" t="s">
        <v>643</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t="31.5" customHeight="1" outlineLevel="1">
      <c r="A86" s="971"/>
      <c r="B86" s="1046"/>
      <c r="C86" s="1006"/>
      <c r="D86" s="1006"/>
      <c r="E86" s="1006"/>
      <c r="F86" s="1047" t="s">
        <v>644</v>
      </c>
      <c r="G86" s="1048" t="s">
        <v>791</v>
      </c>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46061</v>
      </c>
      <c r="D87" s="1053" t="str">
        <f>TEXT(C87,"ddd")</f>
        <v>日</v>
      </c>
      <c r="E87" s="1054"/>
      <c r="F87" s="1083" t="s">
        <v>251</v>
      </c>
      <c r="G87" s="1084" t="s">
        <v>792</v>
      </c>
      <c r="H87" s="1085"/>
      <c r="I87" s="1096">
        <v>0.0</v>
      </c>
      <c r="J87" s="1053"/>
      <c r="K87" s="1053"/>
      <c r="L87" s="1063" t="s">
        <v>770</v>
      </c>
      <c r="M87" s="1063" t="s">
        <v>785</v>
      </c>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t="18.0" customHeight="1" outlineLevel="1">
      <c r="A97" s="971"/>
      <c r="B97" s="1046"/>
      <c r="C97" s="1006"/>
      <c r="D97" s="1006"/>
      <c r="E97" s="1006"/>
      <c r="F97" s="1067" t="s">
        <v>644</v>
      </c>
      <c r="G97" s="1068" t="s">
        <v>793</v>
      </c>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46062</v>
      </c>
      <c r="D98" s="1072" t="str">
        <f>TEXT(C98,"ddd")</f>
        <v>月</v>
      </c>
      <c r="E98" s="1073"/>
      <c r="F98" s="1074" t="s">
        <v>251</v>
      </c>
      <c r="G98" s="1075" t="s">
        <v>794</v>
      </c>
      <c r="H98" s="1076"/>
      <c r="I98" s="1077">
        <v>0.0</v>
      </c>
      <c r="J98" s="1072"/>
      <c r="K98" s="1072"/>
      <c r="L98" s="1078" t="s">
        <v>148</v>
      </c>
      <c r="M98" s="1078" t="s">
        <v>795</v>
      </c>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46063</v>
      </c>
      <c r="D109" s="1053" t="str">
        <f>TEXT(C109,"ddd")</f>
        <v>火</v>
      </c>
      <c r="E109" s="1054"/>
      <c r="F109" s="1083" t="s">
        <v>251</v>
      </c>
      <c r="G109" s="1084" t="s">
        <v>796</v>
      </c>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652</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103</v>
      </c>
      <c r="G121" s="1075" t="s">
        <v>797</v>
      </c>
      <c r="H121" s="1076"/>
      <c r="I121" s="1076" t="s">
        <v>643</v>
      </c>
      <c r="J121" s="1076">
        <v>6.0</v>
      </c>
      <c r="K121" s="1076">
        <v>3.0</v>
      </c>
      <c r="L121" s="1078" t="s">
        <v>770</v>
      </c>
      <c r="M121" s="1078" t="s">
        <v>798</v>
      </c>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251</v>
      </c>
      <c r="G132" s="1084" t="s">
        <v>799</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251</v>
      </c>
      <c r="G143" s="1075" t="s">
        <v>800</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49</v>
      </c>
      <c r="G154" s="1084" t="s">
        <v>801</v>
      </c>
      <c r="H154" s="1085"/>
      <c r="I154" s="1096">
        <v>0.625</v>
      </c>
      <c r="J154" s="1085" t="s">
        <v>802</v>
      </c>
      <c r="K154" s="1085" t="s">
        <v>803</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251</v>
      </c>
      <c r="G165" s="1075" t="s">
        <v>804</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653</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46069</v>
      </c>
      <c r="D177" s="1053" t="str">
        <f>TEXT(C177,"ddd")</f>
        <v>月</v>
      </c>
      <c r="E177" s="1054"/>
      <c r="F177" s="1083" t="s">
        <v>103</v>
      </c>
      <c r="G177" s="1084" t="s">
        <v>805</v>
      </c>
      <c r="H177" s="1085"/>
      <c r="I177" s="1096">
        <v>0.625</v>
      </c>
      <c r="J177" s="1085">
        <v>5.0</v>
      </c>
      <c r="K177" s="1085">
        <v>4.0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46070</v>
      </c>
      <c r="D188" s="1072" t="str">
        <f>TEXT(C188,"ddd")</f>
        <v>火</v>
      </c>
      <c r="E188" s="1073"/>
      <c r="F188" s="1074" t="s">
        <v>103</v>
      </c>
      <c r="G188" s="1075" t="s">
        <v>806</v>
      </c>
      <c r="H188" s="1076"/>
      <c r="I188" s="1077">
        <v>0.6319444444444444</v>
      </c>
      <c r="J188" s="1076">
        <v>5.0</v>
      </c>
      <c r="K188" s="1076">
        <v>4.0</v>
      </c>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46071</v>
      </c>
      <c r="D199" s="1053" t="str">
        <f>TEXT(C199,"ddd")</f>
        <v>水</v>
      </c>
      <c r="E199" s="1054"/>
      <c r="F199" s="1083" t="s">
        <v>251</v>
      </c>
      <c r="G199" s="1084" t="s">
        <v>807</v>
      </c>
      <c r="H199" s="1085"/>
      <c r="I199" s="1096">
        <v>0.0</v>
      </c>
      <c r="J199" s="1085">
        <v>6.0</v>
      </c>
      <c r="K199" s="1085">
        <v>4.0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46072</v>
      </c>
      <c r="D210" s="1072" t="str">
        <f>TEXT(C210,"ddd")</f>
        <v>木</v>
      </c>
      <c r="E210" s="1073"/>
      <c r="F210" s="1074" t="s">
        <v>251</v>
      </c>
      <c r="G210" s="1075" t="s">
        <v>808</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46073</v>
      </c>
      <c r="D221" s="1053" t="str">
        <f>TEXT(C221,"ddd")</f>
        <v>金</v>
      </c>
      <c r="E221" s="1054"/>
      <c r="F221" s="1083" t="s">
        <v>103</v>
      </c>
      <c r="G221" s="1084" t="s">
        <v>809</v>
      </c>
      <c r="H221" s="1085"/>
      <c r="I221" s="1096">
        <v>0.625</v>
      </c>
      <c r="J221" s="1085">
        <v>6.0</v>
      </c>
      <c r="K221" s="1085">
        <v>4.0</v>
      </c>
      <c r="L221" s="1063" t="s">
        <v>770</v>
      </c>
      <c r="M221" s="1063" t="s">
        <v>810</v>
      </c>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654</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46074</v>
      </c>
      <c r="D233" s="1072" t="str">
        <f>TEXT(C233,"ddd")</f>
        <v>土</v>
      </c>
      <c r="E233" s="1073"/>
      <c r="F233" s="1074" t="s">
        <v>103</v>
      </c>
      <c r="G233" s="1075" t="s">
        <v>811</v>
      </c>
      <c r="H233" s="1076"/>
      <c r="I233" s="1076" t="s">
        <v>812</v>
      </c>
      <c r="J233" s="1076">
        <v>6.0</v>
      </c>
      <c r="K233" s="1076">
        <v>4.0</v>
      </c>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46075</v>
      </c>
      <c r="D244" s="1053" t="str">
        <f>TEXT(C244,"ddd")</f>
        <v>日</v>
      </c>
      <c r="E244" s="1054"/>
      <c r="F244" s="1083" t="s">
        <v>251</v>
      </c>
      <c r="G244" s="1084" t="s">
        <v>813</v>
      </c>
      <c r="H244" s="1085"/>
      <c r="I244" s="1085" t="s">
        <v>814</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46076</v>
      </c>
      <c r="D255" s="1072" t="str">
        <f>TEXT(C255,"ddd")</f>
        <v>月</v>
      </c>
      <c r="E255" s="1073"/>
      <c r="F255" s="1074" t="s">
        <v>251</v>
      </c>
      <c r="G255" s="1075" t="s">
        <v>815</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46077</v>
      </c>
      <c r="D266" s="1053" t="str">
        <f>TEXT(C266,"ddd")</f>
        <v>火</v>
      </c>
      <c r="E266" s="1054"/>
      <c r="F266" s="1083" t="s">
        <v>103</v>
      </c>
      <c r="G266" s="1084" t="s">
        <v>816</v>
      </c>
      <c r="H266" s="1085"/>
      <c r="I266" s="1085" t="s">
        <v>643</v>
      </c>
      <c r="J266" s="1085">
        <v>5.0</v>
      </c>
      <c r="K266" s="1085">
        <v>4.0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46078</v>
      </c>
      <c r="D277" s="1072" t="str">
        <f>TEXT(C277,"ddd")</f>
        <v>水</v>
      </c>
      <c r="E277" s="1073"/>
      <c r="F277" s="1074" t="s">
        <v>103</v>
      </c>
      <c r="G277" s="1075" t="s">
        <v>817</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655</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46079</v>
      </c>
      <c r="D289" s="1053" t="str">
        <f>TEXT(C289,"ddd")</f>
        <v>木</v>
      </c>
      <c r="E289" s="1054"/>
      <c r="F289" s="1083" t="s">
        <v>103</v>
      </c>
      <c r="G289" s="1084" t="s">
        <v>818</v>
      </c>
      <c r="H289" s="1085"/>
      <c r="I289" s="1085" t="s">
        <v>664</v>
      </c>
      <c r="J289" s="1085">
        <v>6.0</v>
      </c>
      <c r="K289" s="1085">
        <v>3.0</v>
      </c>
      <c r="L289" s="1063" t="s">
        <v>162</v>
      </c>
      <c r="M289" s="1063" t="s">
        <v>795</v>
      </c>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t="s">
        <v>437</v>
      </c>
      <c r="M290" s="1063" t="s">
        <v>819</v>
      </c>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46080</v>
      </c>
      <c r="D300" s="1072" t="str">
        <f>TEXT(C300,"ddd")</f>
        <v>金</v>
      </c>
      <c r="E300" s="1073"/>
      <c r="F300" s="1074" t="s">
        <v>103</v>
      </c>
      <c r="G300" s="1075" t="s">
        <v>820</v>
      </c>
      <c r="H300" s="1076"/>
      <c r="I300" s="1076" t="s">
        <v>643</v>
      </c>
      <c r="J300" s="1076">
        <v>6.0</v>
      </c>
      <c r="K300" s="1076">
        <v>5.0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46081</v>
      </c>
      <c r="D311" s="1053" t="str">
        <f>TEXT(C311,"ddd")</f>
        <v>土</v>
      </c>
      <c r="E311" s="1054"/>
      <c r="F311" s="1083" t="s">
        <v>103</v>
      </c>
      <c r="G311" s="1084" t="s">
        <v>821</v>
      </c>
      <c r="H311" s="1085"/>
      <c r="I311" s="1085" t="s">
        <v>725</v>
      </c>
      <c r="J311" s="1085">
        <v>6.0</v>
      </c>
      <c r="K311" s="1085">
        <v>4.0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t="str">
        <f>IF(C311="","",IF(DAY(C311+1)=1,"",C311+1))</f>
        <v/>
      </c>
      <c r="D322" s="1072" t="str">
        <f>TEXT(C322,"ddd")</f>
        <v/>
      </c>
      <c r="E322" s="1073"/>
      <c r="F322" s="1074" t="s">
        <v>650</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t="str">
        <f>IF(C322="","",IF(DAY(C322+1)=1,"",C322+1))</f>
        <v/>
      </c>
      <c r="D333" s="1053" t="str">
        <f>TEXT(C333,"ddd")</f>
        <v/>
      </c>
      <c r="E333" s="1054"/>
      <c r="F333" s="1083" t="s">
        <v>650</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650</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t="s">
        <v>251</v>
      </c>
      <c r="E5" s="873" t="b">
        <v>0</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t="s">
        <v>822</v>
      </c>
      <c r="M8" s="374"/>
      <c r="N8" s="374"/>
      <c r="O8" s="374"/>
      <c r="P8" s="374"/>
      <c r="Q8" s="374"/>
      <c r="R8" s="374"/>
      <c r="S8" s="127"/>
      <c r="U8" s="889" t="s">
        <v>823</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6.0</v>
      </c>
      <c r="E21" s="923">
        <v>7.0</v>
      </c>
      <c r="F21" s="923">
        <v>3.0</v>
      </c>
      <c r="G21" s="924"/>
      <c r="H21" s="924"/>
      <c r="I21" s="925">
        <f>sum(B21:G21)</f>
        <v>18</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824</v>
      </c>
      <c r="M22" s="374"/>
      <c r="N22" s="374"/>
      <c r="O22" s="374"/>
      <c r="P22" s="374"/>
      <c r="Q22" s="374"/>
      <c r="R22" s="374"/>
      <c r="S22" s="127"/>
      <c r="U22" s="889" t="s">
        <v>825</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826</v>
      </c>
      <c r="M36" s="374"/>
      <c r="N36" s="374"/>
      <c r="O36" s="374"/>
      <c r="P36" s="374"/>
      <c r="Q36" s="374"/>
      <c r="R36" s="374"/>
      <c r="S36" s="127"/>
      <c r="U36" s="889" t="s">
        <v>827</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46072.0</v>
      </c>
      <c r="C39" s="947" t="s">
        <v>828</v>
      </c>
      <c r="D39" s="944"/>
      <c r="E39" s="948" t="s">
        <v>702</v>
      </c>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2</v>
      </c>
      <c r="E50" s="921"/>
      <c r="F50" s="921"/>
      <c r="G50" s="921"/>
      <c r="H50" s="921"/>
      <c r="I50" s="861"/>
      <c r="J50" s="861"/>
      <c r="K50" s="860"/>
      <c r="L50" s="889" t="s">
        <v>829</v>
      </c>
      <c r="M50" s="374"/>
      <c r="N50" s="374"/>
      <c r="O50" s="374"/>
      <c r="P50" s="374"/>
      <c r="Q50" s="374"/>
      <c r="R50" s="374"/>
      <c r="S50" s="127"/>
      <c r="U50" s="889" t="s">
        <v>830</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v>2360.0</v>
      </c>
      <c r="C52" s="947" t="s">
        <v>831</v>
      </c>
      <c r="D52" s="944"/>
      <c r="E52" s="1122">
        <v>46071.0</v>
      </c>
      <c r="F52" s="961" t="s">
        <v>832</v>
      </c>
      <c r="G52" s="961" t="s">
        <v>833</v>
      </c>
      <c r="H52" s="962" t="s">
        <v>32</v>
      </c>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v>2373.0</v>
      </c>
      <c r="C53" s="947" t="s">
        <v>834</v>
      </c>
      <c r="D53" s="944"/>
      <c r="E53" s="1122">
        <v>46080.0</v>
      </c>
      <c r="F53" s="961" t="s">
        <v>835</v>
      </c>
      <c r="G53" s="961" t="s">
        <v>836</v>
      </c>
      <c r="H53" s="962" t="s">
        <v>32</v>
      </c>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2</v>
      </c>
      <c r="E64" s="921"/>
      <c r="F64" s="921"/>
      <c r="G64" s="921"/>
      <c r="H64" s="921"/>
      <c r="I64" s="921"/>
      <c r="J64" s="861"/>
      <c r="K64" s="860"/>
      <c r="L64" s="889" t="s">
        <v>837</v>
      </c>
      <c r="M64" s="374"/>
      <c r="N64" s="374"/>
      <c r="O64" s="374"/>
      <c r="P64" s="374"/>
      <c r="Q64" s="374"/>
      <c r="R64" s="374"/>
      <c r="S64" s="127"/>
      <c r="U64" s="889" t="s">
        <v>838</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2207.0</v>
      </c>
      <c r="C66" s="947" t="s">
        <v>839</v>
      </c>
      <c r="D66" s="944"/>
      <c r="E66" s="1117">
        <v>46081.0</v>
      </c>
      <c r="F66" s="1111" t="s">
        <v>840</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1116">
        <v>2045.0</v>
      </c>
      <c r="C67" s="947" t="s">
        <v>841</v>
      </c>
      <c r="D67" s="944"/>
      <c r="E67" s="1117">
        <v>46081.0</v>
      </c>
      <c r="F67" s="1111" t="s">
        <v>842</v>
      </c>
      <c r="G67" s="944"/>
      <c r="H67" s="966" t="s">
        <v>589</v>
      </c>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843</v>
      </c>
      <c r="M78" s="374"/>
      <c r="N78" s="374"/>
      <c r="O78" s="374"/>
      <c r="P78" s="374"/>
      <c r="Q78" s="374"/>
      <c r="R78" s="374"/>
      <c r="S78" s="127"/>
      <c r="U78" s="889" t="s">
        <v>844</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845</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32.2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14.0</v>
      </c>
      <c r="G7" s="809">
        <v>0.0</v>
      </c>
      <c r="H7" s="807">
        <v>0.0</v>
      </c>
      <c r="I7" s="808">
        <v>3.0</v>
      </c>
      <c r="J7" s="809">
        <v>0.0</v>
      </c>
      <c r="K7" s="810">
        <v>1.0</v>
      </c>
      <c r="L7" s="811">
        <v>0.0</v>
      </c>
      <c r="M7" s="812">
        <v>0.0</v>
      </c>
      <c r="N7" s="813">
        <f t="shared" ref="N7:P7" si="1">if(E7="","",sum(E7,H7,K7))</f>
        <v>4</v>
      </c>
      <c r="O7" s="813">
        <f t="shared" si="1"/>
        <v>17</v>
      </c>
      <c r="P7" s="814">
        <f t="shared" si="1"/>
        <v>0</v>
      </c>
      <c r="Q7" s="815">
        <f t="shared" ref="Q7:Q37" si="4">if(N7="","",SUM(N7:P7))</f>
        <v>21</v>
      </c>
      <c r="S7" s="816"/>
      <c r="T7" s="816"/>
    </row>
    <row r="8">
      <c r="B8" s="73"/>
      <c r="C8" s="805">
        <f t="shared" ref="C8:C37" si="5">IF(C7="","",IF(DAY(C7+1)=1,"",C7+1))</f>
        <v>46055</v>
      </c>
      <c r="D8" s="806" t="str">
        <f t="shared" si="2"/>
        <v>月</v>
      </c>
      <c r="E8" s="807">
        <v>0.0</v>
      </c>
      <c r="F8" s="817">
        <v>18.0</v>
      </c>
      <c r="G8" s="818">
        <v>0.0</v>
      </c>
      <c r="H8" s="807">
        <v>2.0</v>
      </c>
      <c r="I8" s="817">
        <v>3.0</v>
      </c>
      <c r="J8" s="818">
        <v>0.0</v>
      </c>
      <c r="K8" s="810">
        <v>0.0</v>
      </c>
      <c r="L8" s="811">
        <v>0.0</v>
      </c>
      <c r="M8" s="812">
        <v>1.0</v>
      </c>
      <c r="N8" s="813">
        <f t="shared" ref="N8:P8" si="3">if(E8="","",sum(E8,H8,K8))</f>
        <v>2</v>
      </c>
      <c r="O8" s="813">
        <f t="shared" si="3"/>
        <v>21</v>
      </c>
      <c r="P8" s="814">
        <f t="shared" si="3"/>
        <v>1</v>
      </c>
      <c r="Q8" s="815">
        <f t="shared" si="4"/>
        <v>24</v>
      </c>
      <c r="S8" s="816"/>
      <c r="T8" s="816"/>
    </row>
    <row r="9">
      <c r="B9" s="73"/>
      <c r="C9" s="805">
        <f t="shared" si="5"/>
        <v>46056</v>
      </c>
      <c r="D9" s="806" t="str">
        <f t="shared" si="2"/>
        <v>火</v>
      </c>
      <c r="E9" s="807">
        <v>0.0</v>
      </c>
      <c r="F9" s="819">
        <v>18.0</v>
      </c>
      <c r="G9" s="818">
        <v>0.0</v>
      </c>
      <c r="H9" s="807">
        <v>0.0</v>
      </c>
      <c r="I9" s="819">
        <v>4.0</v>
      </c>
      <c r="J9" s="818">
        <v>2.0</v>
      </c>
      <c r="K9" s="810">
        <v>0.0</v>
      </c>
      <c r="L9" s="811">
        <v>0.0</v>
      </c>
      <c r="M9" s="812">
        <v>0.0</v>
      </c>
      <c r="N9" s="813">
        <f t="shared" ref="N9:P9" si="6">if(E9="","",sum(E9,H9,K9))</f>
        <v>0</v>
      </c>
      <c r="O9" s="813">
        <f t="shared" si="6"/>
        <v>22</v>
      </c>
      <c r="P9" s="814">
        <f t="shared" si="6"/>
        <v>2</v>
      </c>
      <c r="Q9" s="815">
        <f t="shared" si="4"/>
        <v>24</v>
      </c>
      <c r="S9" s="816"/>
      <c r="T9" s="816"/>
    </row>
    <row r="10">
      <c r="B10" s="73"/>
      <c r="C10" s="805">
        <f t="shared" si="5"/>
        <v>46057</v>
      </c>
      <c r="D10" s="806" t="str">
        <f t="shared" si="2"/>
        <v>水</v>
      </c>
      <c r="E10" s="807">
        <v>0.0</v>
      </c>
      <c r="F10" s="819">
        <v>12.0</v>
      </c>
      <c r="G10" s="818">
        <v>5.0</v>
      </c>
      <c r="H10" s="807">
        <v>0.0</v>
      </c>
      <c r="I10" s="819">
        <v>2.0</v>
      </c>
      <c r="J10" s="818">
        <v>0.0</v>
      </c>
      <c r="K10" s="810">
        <v>0.0</v>
      </c>
      <c r="L10" s="811">
        <v>0.0</v>
      </c>
      <c r="M10" s="812">
        <v>0.0</v>
      </c>
      <c r="N10" s="813">
        <f t="shared" ref="N10:P10" si="7">if(E10="","",sum(E10,H10,K10))</f>
        <v>0</v>
      </c>
      <c r="O10" s="813">
        <f t="shared" si="7"/>
        <v>14</v>
      </c>
      <c r="P10" s="814">
        <f t="shared" si="7"/>
        <v>5</v>
      </c>
      <c r="Q10" s="815">
        <f t="shared" si="4"/>
        <v>19</v>
      </c>
      <c r="S10" s="816"/>
      <c r="T10" s="816"/>
    </row>
    <row r="11">
      <c r="B11" s="73"/>
      <c r="C11" s="805">
        <f t="shared" si="5"/>
        <v>46058</v>
      </c>
      <c r="D11" s="806" t="str">
        <f t="shared" si="2"/>
        <v>木</v>
      </c>
      <c r="E11" s="807">
        <v>0.0</v>
      </c>
      <c r="F11" s="819">
        <v>8.0</v>
      </c>
      <c r="G11" s="818">
        <v>4.0</v>
      </c>
      <c r="H11" s="807">
        <v>1.0</v>
      </c>
      <c r="I11" s="819">
        <v>3.0</v>
      </c>
      <c r="J11" s="818">
        <v>0.0</v>
      </c>
      <c r="K11" s="810">
        <v>0.0</v>
      </c>
      <c r="L11" s="811">
        <v>0.0</v>
      </c>
      <c r="M11" s="812">
        <v>0.0</v>
      </c>
      <c r="N11" s="813">
        <f t="shared" ref="N11:P11" si="8">if(E11="","",sum(E11,H11,K11))</f>
        <v>1</v>
      </c>
      <c r="O11" s="813">
        <f t="shared" si="8"/>
        <v>11</v>
      </c>
      <c r="P11" s="814">
        <f t="shared" si="8"/>
        <v>4</v>
      </c>
      <c r="Q11" s="815">
        <f t="shared" si="4"/>
        <v>16</v>
      </c>
      <c r="S11" s="816"/>
      <c r="T11" s="816"/>
    </row>
    <row r="12">
      <c r="B12" s="73"/>
      <c r="C12" s="805">
        <f t="shared" si="5"/>
        <v>46059</v>
      </c>
      <c r="D12" s="806" t="str">
        <f t="shared" si="2"/>
        <v>金</v>
      </c>
      <c r="E12" s="807">
        <v>3.0</v>
      </c>
      <c r="F12" s="819">
        <v>9.0</v>
      </c>
      <c r="G12" s="818">
        <v>0.0</v>
      </c>
      <c r="H12" s="807">
        <v>0.0</v>
      </c>
      <c r="I12" s="819">
        <v>3.0</v>
      </c>
      <c r="J12" s="818">
        <v>0.0</v>
      </c>
      <c r="K12" s="810">
        <v>0.0</v>
      </c>
      <c r="L12" s="811">
        <v>0.0</v>
      </c>
      <c r="M12" s="812">
        <v>0.0</v>
      </c>
      <c r="N12" s="813">
        <f t="shared" ref="N12:P12" si="9">if(E12="","",sum(E12,H12,K12))</f>
        <v>3</v>
      </c>
      <c r="O12" s="813">
        <f t="shared" si="9"/>
        <v>12</v>
      </c>
      <c r="P12" s="814">
        <f t="shared" si="9"/>
        <v>0</v>
      </c>
      <c r="Q12" s="815">
        <f t="shared" si="4"/>
        <v>15</v>
      </c>
      <c r="S12" s="816"/>
      <c r="T12" s="816"/>
    </row>
    <row r="13">
      <c r="A13" s="447"/>
      <c r="B13" s="73"/>
      <c r="C13" s="805">
        <f t="shared" si="5"/>
        <v>46060</v>
      </c>
      <c r="D13" s="806" t="str">
        <f t="shared" si="2"/>
        <v>土</v>
      </c>
      <c r="E13" s="807">
        <v>5.0</v>
      </c>
      <c r="F13" s="819">
        <v>8.0</v>
      </c>
      <c r="G13" s="818">
        <v>0.0</v>
      </c>
      <c r="H13" s="807">
        <v>1.0</v>
      </c>
      <c r="I13" s="819">
        <v>4.0</v>
      </c>
      <c r="J13" s="818">
        <v>0.0</v>
      </c>
      <c r="K13" s="810">
        <v>2.0</v>
      </c>
      <c r="L13" s="811">
        <v>0.0</v>
      </c>
      <c r="M13" s="812">
        <v>0.0</v>
      </c>
      <c r="N13" s="813">
        <f t="shared" ref="N13:P13" si="10">if(E13="","",sum(E13,H13,K13))</f>
        <v>8</v>
      </c>
      <c r="O13" s="813">
        <f t="shared" si="10"/>
        <v>12</v>
      </c>
      <c r="P13" s="814">
        <f t="shared" si="10"/>
        <v>0</v>
      </c>
      <c r="Q13" s="815">
        <f t="shared" si="4"/>
        <v>20</v>
      </c>
      <c r="S13" s="816"/>
      <c r="T13" s="816"/>
    </row>
    <row r="14">
      <c r="B14" s="73"/>
      <c r="C14" s="805">
        <f t="shared" si="5"/>
        <v>46061</v>
      </c>
      <c r="D14" s="806" t="str">
        <f t="shared" si="2"/>
        <v>日</v>
      </c>
      <c r="E14" s="807">
        <v>0.0</v>
      </c>
      <c r="F14" s="819">
        <v>12.0</v>
      </c>
      <c r="G14" s="818">
        <v>0.0</v>
      </c>
      <c r="H14" s="807">
        <v>0.0</v>
      </c>
      <c r="I14" s="819">
        <v>5.0</v>
      </c>
      <c r="J14" s="818">
        <v>0.0</v>
      </c>
      <c r="K14" s="810">
        <v>2.0</v>
      </c>
      <c r="L14" s="811">
        <v>0.0</v>
      </c>
      <c r="M14" s="812">
        <v>2.0</v>
      </c>
      <c r="N14" s="813">
        <f t="shared" ref="N14:P14" si="11">if(E14="","",sum(E14,H14,K14))</f>
        <v>2</v>
      </c>
      <c r="O14" s="813">
        <f t="shared" si="11"/>
        <v>17</v>
      </c>
      <c r="P14" s="814">
        <f t="shared" si="11"/>
        <v>2</v>
      </c>
      <c r="Q14" s="815">
        <f t="shared" si="4"/>
        <v>21</v>
      </c>
      <c r="S14" s="816"/>
      <c r="T14" s="816"/>
    </row>
    <row r="15">
      <c r="B15" s="73"/>
      <c r="C15" s="805">
        <f t="shared" si="5"/>
        <v>46062</v>
      </c>
      <c r="D15" s="806" t="str">
        <f t="shared" si="2"/>
        <v>月</v>
      </c>
      <c r="E15" s="807">
        <v>1.0</v>
      </c>
      <c r="F15" s="819">
        <v>14.0</v>
      </c>
      <c r="G15" s="818">
        <v>0.0</v>
      </c>
      <c r="H15" s="807">
        <v>0.0</v>
      </c>
      <c r="I15" s="819">
        <v>3.0</v>
      </c>
      <c r="J15" s="818">
        <v>1.0</v>
      </c>
      <c r="K15" s="810">
        <v>0.0</v>
      </c>
      <c r="L15" s="811">
        <v>0.0</v>
      </c>
      <c r="M15" s="812">
        <v>1.0</v>
      </c>
      <c r="N15" s="813">
        <f t="shared" ref="N15:P15" si="12">if(E15="","",sum(E15,H15,K15))</f>
        <v>1</v>
      </c>
      <c r="O15" s="813">
        <f t="shared" si="12"/>
        <v>17</v>
      </c>
      <c r="P15" s="814">
        <f t="shared" si="12"/>
        <v>2</v>
      </c>
      <c r="Q15" s="815">
        <f t="shared" si="4"/>
        <v>20</v>
      </c>
      <c r="S15" s="816"/>
      <c r="T15" s="816"/>
    </row>
    <row r="16">
      <c r="B16" s="73"/>
      <c r="C16" s="805">
        <f t="shared" si="5"/>
        <v>46063</v>
      </c>
      <c r="D16" s="806" t="str">
        <f t="shared" si="2"/>
        <v>火</v>
      </c>
      <c r="E16" s="807">
        <v>0.0</v>
      </c>
      <c r="F16" s="809">
        <v>16.0</v>
      </c>
      <c r="G16" s="809">
        <v>0.0</v>
      </c>
      <c r="H16" s="809">
        <v>0.0</v>
      </c>
      <c r="I16" s="809">
        <v>3.0</v>
      </c>
      <c r="J16" s="809">
        <v>0.0</v>
      </c>
      <c r="K16" s="809">
        <v>0.0</v>
      </c>
      <c r="L16" s="809">
        <v>0.0</v>
      </c>
      <c r="M16" s="812">
        <v>1.0</v>
      </c>
      <c r="N16" s="813">
        <f t="shared" ref="N16:P16" si="13">if(E16="","",sum(E16,H16,K16))</f>
        <v>0</v>
      </c>
      <c r="O16" s="813">
        <f t="shared" si="13"/>
        <v>19</v>
      </c>
      <c r="P16" s="814">
        <f t="shared" si="13"/>
        <v>1</v>
      </c>
      <c r="Q16" s="815">
        <f t="shared" si="4"/>
        <v>20</v>
      </c>
      <c r="S16" s="816"/>
      <c r="T16" s="816"/>
    </row>
    <row r="17">
      <c r="B17" s="73"/>
      <c r="C17" s="805">
        <f t="shared" si="5"/>
        <v>46064</v>
      </c>
      <c r="D17" s="806" t="str">
        <f t="shared" si="2"/>
        <v>水</v>
      </c>
      <c r="E17" s="807">
        <v>0.0</v>
      </c>
      <c r="F17" s="818">
        <v>14.0</v>
      </c>
      <c r="G17" s="818">
        <v>1.0</v>
      </c>
      <c r="H17" s="818">
        <v>0.0</v>
      </c>
      <c r="I17" s="818">
        <v>3.0</v>
      </c>
      <c r="J17" s="818">
        <v>1.0</v>
      </c>
      <c r="K17" s="818">
        <v>0.0</v>
      </c>
      <c r="L17" s="818">
        <v>0.0</v>
      </c>
      <c r="M17" s="812">
        <v>0.0</v>
      </c>
      <c r="N17" s="813">
        <f t="shared" ref="N17:P17" si="14">if(E17="","",sum(E17,H17,K17))</f>
        <v>0</v>
      </c>
      <c r="O17" s="813">
        <f t="shared" si="14"/>
        <v>17</v>
      </c>
      <c r="P17" s="814">
        <f t="shared" si="14"/>
        <v>2</v>
      </c>
      <c r="Q17" s="815">
        <f t="shared" si="4"/>
        <v>19</v>
      </c>
      <c r="S17" s="816"/>
      <c r="T17" s="816"/>
    </row>
    <row r="18">
      <c r="B18" s="73"/>
      <c r="C18" s="805">
        <f t="shared" si="5"/>
        <v>46065</v>
      </c>
      <c r="D18" s="806" t="str">
        <f t="shared" si="2"/>
        <v>木</v>
      </c>
      <c r="E18" s="807">
        <v>0.0</v>
      </c>
      <c r="F18" s="807">
        <v>13.0</v>
      </c>
      <c r="G18" s="807">
        <v>2.0</v>
      </c>
      <c r="H18" s="807">
        <v>2.0</v>
      </c>
      <c r="I18" s="807">
        <v>3.0</v>
      </c>
      <c r="J18" s="807">
        <v>0.0</v>
      </c>
      <c r="K18" s="807">
        <v>0.0</v>
      </c>
      <c r="L18" s="807">
        <v>0.0</v>
      </c>
      <c r="M18" s="812">
        <v>0.0</v>
      </c>
      <c r="N18" s="813">
        <f t="shared" ref="N18:P18" si="15">if(E18="","",sum(E18,H18,K18))</f>
        <v>2</v>
      </c>
      <c r="O18" s="813">
        <f t="shared" si="15"/>
        <v>16</v>
      </c>
      <c r="P18" s="814">
        <f t="shared" si="15"/>
        <v>2</v>
      </c>
      <c r="Q18" s="815">
        <f t="shared" si="4"/>
        <v>20</v>
      </c>
      <c r="S18" s="816"/>
      <c r="T18" s="816"/>
    </row>
    <row r="19">
      <c r="B19" s="73"/>
      <c r="C19" s="805">
        <f t="shared" si="5"/>
        <v>46066</v>
      </c>
      <c r="D19" s="806" t="str">
        <f t="shared" si="2"/>
        <v>金</v>
      </c>
      <c r="E19" s="807">
        <v>1.0</v>
      </c>
      <c r="F19" s="807">
        <v>11.0</v>
      </c>
      <c r="G19" s="807">
        <v>0.0</v>
      </c>
      <c r="H19" s="807">
        <v>0.0</v>
      </c>
      <c r="I19" s="807">
        <v>2.0</v>
      </c>
      <c r="J19" s="807">
        <v>0.0</v>
      </c>
      <c r="K19" s="807">
        <v>0.0</v>
      </c>
      <c r="L19" s="807">
        <v>0.0</v>
      </c>
      <c r="M19" s="812">
        <v>0.0</v>
      </c>
      <c r="N19" s="813">
        <f t="shared" ref="N19:P19" si="16">if(E19="","",sum(E19,H19,K19))</f>
        <v>1</v>
      </c>
      <c r="O19" s="813">
        <f t="shared" si="16"/>
        <v>13</v>
      </c>
      <c r="P19" s="814">
        <f t="shared" si="16"/>
        <v>0</v>
      </c>
      <c r="Q19" s="815">
        <f t="shared" si="4"/>
        <v>14</v>
      </c>
      <c r="S19" s="816"/>
      <c r="T19" s="816"/>
    </row>
    <row r="20">
      <c r="B20" s="73"/>
      <c r="C20" s="805">
        <f t="shared" si="5"/>
        <v>46067</v>
      </c>
      <c r="D20" s="806" t="str">
        <f t="shared" si="2"/>
        <v>土</v>
      </c>
      <c r="E20" s="807">
        <v>0.0</v>
      </c>
      <c r="F20" s="812">
        <v>14.0</v>
      </c>
      <c r="G20" s="812">
        <v>0.0</v>
      </c>
      <c r="H20" s="812">
        <v>0.0</v>
      </c>
      <c r="I20" s="812">
        <v>2.0</v>
      </c>
      <c r="J20" s="812">
        <v>3.0</v>
      </c>
      <c r="K20" s="812">
        <v>0.0</v>
      </c>
      <c r="L20" s="812">
        <v>0.0</v>
      </c>
      <c r="M20" s="812">
        <v>0.0</v>
      </c>
      <c r="N20" s="813">
        <f t="shared" ref="N20:P20" si="17">if(E20="","",sum(E20,H20,K20))</f>
        <v>0</v>
      </c>
      <c r="O20" s="813">
        <f t="shared" si="17"/>
        <v>16</v>
      </c>
      <c r="P20" s="814">
        <f t="shared" si="17"/>
        <v>3</v>
      </c>
      <c r="Q20" s="815">
        <f t="shared" si="4"/>
        <v>19</v>
      </c>
      <c r="S20" s="816"/>
      <c r="T20" s="816"/>
    </row>
    <row r="21">
      <c r="B21" s="73"/>
      <c r="C21" s="805">
        <f t="shared" si="5"/>
        <v>46068</v>
      </c>
      <c r="D21" s="806" t="str">
        <f t="shared" si="2"/>
        <v>日</v>
      </c>
      <c r="E21" s="807">
        <v>2.0</v>
      </c>
      <c r="F21" s="812">
        <v>16.0</v>
      </c>
      <c r="G21" s="812">
        <v>0.0</v>
      </c>
      <c r="H21" s="807">
        <v>0.0</v>
      </c>
      <c r="I21" s="812">
        <v>2.0</v>
      </c>
      <c r="J21" s="812">
        <v>0.0</v>
      </c>
      <c r="K21" s="810">
        <v>0.0</v>
      </c>
      <c r="L21" s="810">
        <v>0.0</v>
      </c>
      <c r="M21" s="812">
        <v>0.0</v>
      </c>
      <c r="N21" s="813">
        <f t="shared" ref="N21:P21" si="18">if(E21="","",sum(E21,H21,K21))</f>
        <v>2</v>
      </c>
      <c r="O21" s="813">
        <f t="shared" si="18"/>
        <v>18</v>
      </c>
      <c r="P21" s="814">
        <f t="shared" si="18"/>
        <v>0</v>
      </c>
      <c r="Q21" s="815">
        <f t="shared" si="4"/>
        <v>20</v>
      </c>
      <c r="S21" s="816"/>
      <c r="T21" s="816"/>
    </row>
    <row r="22">
      <c r="B22" s="73"/>
      <c r="C22" s="805">
        <f t="shared" si="5"/>
        <v>46069</v>
      </c>
      <c r="D22" s="806" t="str">
        <f t="shared" si="2"/>
        <v>月</v>
      </c>
      <c r="E22" s="807">
        <v>0.0</v>
      </c>
      <c r="F22" s="807">
        <v>15.0</v>
      </c>
      <c r="G22" s="807">
        <v>1.0</v>
      </c>
      <c r="H22" s="807">
        <v>1.0</v>
      </c>
      <c r="I22" s="807">
        <v>1.0</v>
      </c>
      <c r="J22" s="807">
        <v>0.0</v>
      </c>
      <c r="K22" s="807">
        <v>0.0</v>
      </c>
      <c r="L22" s="807">
        <v>0.0</v>
      </c>
      <c r="M22" s="812">
        <v>0.0</v>
      </c>
      <c r="N22" s="813">
        <f t="shared" ref="N22:P22" si="19">if(E22="","",sum(E22,H22,K22))</f>
        <v>1</v>
      </c>
      <c r="O22" s="813">
        <f t="shared" si="19"/>
        <v>16</v>
      </c>
      <c r="P22" s="814">
        <f t="shared" si="19"/>
        <v>1</v>
      </c>
      <c r="Q22" s="815">
        <f t="shared" si="4"/>
        <v>18</v>
      </c>
      <c r="S22" s="816"/>
      <c r="T22" s="816"/>
    </row>
    <row r="23">
      <c r="B23" s="73"/>
      <c r="C23" s="805">
        <f t="shared" si="5"/>
        <v>46070</v>
      </c>
      <c r="D23" s="806" t="str">
        <f t="shared" si="2"/>
        <v>火</v>
      </c>
      <c r="E23" s="807">
        <v>0.0</v>
      </c>
      <c r="F23" s="807">
        <v>16.0</v>
      </c>
      <c r="G23" s="807">
        <v>0.0</v>
      </c>
      <c r="H23" s="807">
        <v>1.0</v>
      </c>
      <c r="I23" s="807">
        <v>1.0</v>
      </c>
      <c r="J23" s="807">
        <v>0.0</v>
      </c>
      <c r="K23" s="807">
        <v>2.0</v>
      </c>
      <c r="L23" s="807">
        <v>0.0</v>
      </c>
      <c r="M23" s="812">
        <v>0.0</v>
      </c>
      <c r="N23" s="813">
        <f t="shared" ref="N23:P23" si="20">if(E23="","",sum(E23,H23,K23))</f>
        <v>3</v>
      </c>
      <c r="O23" s="813">
        <f t="shared" si="20"/>
        <v>17</v>
      </c>
      <c r="P23" s="814">
        <f t="shared" si="20"/>
        <v>0</v>
      </c>
      <c r="Q23" s="815">
        <f t="shared" si="4"/>
        <v>20</v>
      </c>
      <c r="S23" s="816"/>
      <c r="T23" s="816"/>
    </row>
    <row r="24" ht="16.5" customHeight="1">
      <c r="B24" s="73"/>
      <c r="C24" s="805">
        <f t="shared" si="5"/>
        <v>46071</v>
      </c>
      <c r="D24" s="806" t="str">
        <f t="shared" si="2"/>
        <v>水</v>
      </c>
      <c r="E24" s="807">
        <v>0.0</v>
      </c>
      <c r="F24" s="807">
        <v>13.0</v>
      </c>
      <c r="G24" s="807">
        <v>4.0</v>
      </c>
      <c r="H24" s="807">
        <v>0.0</v>
      </c>
      <c r="I24" s="807">
        <v>5.0</v>
      </c>
      <c r="J24" s="807">
        <v>0.0</v>
      </c>
      <c r="K24" s="807">
        <v>0.0</v>
      </c>
      <c r="L24" s="807">
        <v>1.0</v>
      </c>
      <c r="M24" s="812">
        <v>0.0</v>
      </c>
      <c r="N24" s="813">
        <f t="shared" ref="N24:P24" si="21">if(E24="","",sum(E24,H24,K24))</f>
        <v>0</v>
      </c>
      <c r="O24" s="813">
        <f t="shared" si="21"/>
        <v>19</v>
      </c>
      <c r="P24" s="814">
        <f t="shared" si="21"/>
        <v>4</v>
      </c>
      <c r="Q24" s="815">
        <f t="shared" si="4"/>
        <v>23</v>
      </c>
      <c r="S24" s="816"/>
      <c r="T24" s="816"/>
    </row>
    <row r="25">
      <c r="B25" s="73"/>
      <c r="C25" s="805">
        <f t="shared" si="5"/>
        <v>46072</v>
      </c>
      <c r="D25" s="806" t="str">
        <f t="shared" si="2"/>
        <v>木</v>
      </c>
      <c r="E25" s="807">
        <v>1.0</v>
      </c>
      <c r="F25" s="807">
        <v>12.0</v>
      </c>
      <c r="G25" s="807">
        <v>0.0</v>
      </c>
      <c r="H25" s="807">
        <v>0.0</v>
      </c>
      <c r="I25" s="807">
        <v>2.0</v>
      </c>
      <c r="J25" s="807">
        <v>0.0</v>
      </c>
      <c r="K25" s="807">
        <v>0.0</v>
      </c>
      <c r="L25" s="807">
        <v>1.0</v>
      </c>
      <c r="M25" s="812">
        <v>1.0</v>
      </c>
      <c r="N25" s="813">
        <f t="shared" ref="N25:P25" si="22">if(E25="","",sum(E25,H25,K25))</f>
        <v>1</v>
      </c>
      <c r="O25" s="813">
        <f t="shared" si="22"/>
        <v>15</v>
      </c>
      <c r="P25" s="814">
        <f t="shared" si="22"/>
        <v>1</v>
      </c>
      <c r="Q25" s="815">
        <f t="shared" si="4"/>
        <v>17</v>
      </c>
      <c r="S25" s="816"/>
      <c r="T25" s="816"/>
    </row>
    <row r="26">
      <c r="B26" s="73"/>
      <c r="C26" s="805">
        <f t="shared" si="5"/>
        <v>46073</v>
      </c>
      <c r="D26" s="806" t="str">
        <f t="shared" si="2"/>
        <v>金</v>
      </c>
      <c r="E26" s="807">
        <v>2.0</v>
      </c>
      <c r="F26" s="807">
        <v>12.0</v>
      </c>
      <c r="G26" s="807">
        <v>0.0</v>
      </c>
      <c r="H26" s="807">
        <v>1.0</v>
      </c>
      <c r="I26" s="807">
        <v>3.0</v>
      </c>
      <c r="J26" s="807">
        <v>0.0</v>
      </c>
      <c r="K26" s="807">
        <v>0.0</v>
      </c>
      <c r="L26" s="807">
        <v>0.0</v>
      </c>
      <c r="M26" s="812">
        <v>1.0</v>
      </c>
      <c r="N26" s="813">
        <f t="shared" ref="N26:P26" si="23">if(E26="","",sum(E26,H26,K26))</f>
        <v>3</v>
      </c>
      <c r="O26" s="813">
        <f t="shared" si="23"/>
        <v>15</v>
      </c>
      <c r="P26" s="814">
        <f t="shared" si="23"/>
        <v>1</v>
      </c>
      <c r="Q26" s="815">
        <f t="shared" si="4"/>
        <v>19</v>
      </c>
      <c r="S26" s="816"/>
      <c r="T26" s="816"/>
    </row>
    <row r="27">
      <c r="B27" s="73"/>
      <c r="C27" s="805">
        <f t="shared" si="5"/>
        <v>46074</v>
      </c>
      <c r="D27" s="806" t="str">
        <f t="shared" si="2"/>
        <v>土</v>
      </c>
      <c r="E27" s="807">
        <v>1.0</v>
      </c>
      <c r="F27" s="809">
        <v>13.0</v>
      </c>
      <c r="G27" s="809">
        <v>0.0</v>
      </c>
      <c r="H27" s="807">
        <v>0.0</v>
      </c>
      <c r="I27" s="809">
        <v>1.0</v>
      </c>
      <c r="J27" s="809">
        <v>2.0</v>
      </c>
      <c r="K27" s="810">
        <v>1.0</v>
      </c>
      <c r="L27" s="810">
        <v>0.0</v>
      </c>
      <c r="M27" s="812">
        <v>0.0</v>
      </c>
      <c r="N27" s="813">
        <f t="shared" ref="N27:P27" si="24">if(E27="","",sum(E27,H27,K27))</f>
        <v>2</v>
      </c>
      <c r="O27" s="813">
        <f t="shared" si="24"/>
        <v>14</v>
      </c>
      <c r="P27" s="814">
        <f t="shared" si="24"/>
        <v>2</v>
      </c>
      <c r="Q27" s="815">
        <f t="shared" si="4"/>
        <v>18</v>
      </c>
      <c r="S27" s="816"/>
      <c r="T27" s="816"/>
    </row>
    <row r="28">
      <c r="B28" s="73"/>
      <c r="C28" s="805">
        <f t="shared" si="5"/>
        <v>46075</v>
      </c>
      <c r="D28" s="806" t="str">
        <f t="shared" si="2"/>
        <v>日</v>
      </c>
      <c r="E28" s="807">
        <v>1.0</v>
      </c>
      <c r="F28" s="818">
        <v>13.0</v>
      </c>
      <c r="G28" s="818">
        <v>0.0</v>
      </c>
      <c r="H28" s="807">
        <v>1.0</v>
      </c>
      <c r="I28" s="818">
        <v>3.0</v>
      </c>
      <c r="J28" s="818">
        <v>0.0</v>
      </c>
      <c r="K28" s="810">
        <v>0.0</v>
      </c>
      <c r="L28" s="810">
        <v>1.0</v>
      </c>
      <c r="M28" s="812">
        <v>0.0</v>
      </c>
      <c r="N28" s="813">
        <f t="shared" ref="N28:P28" si="25">if(E28="","",sum(E28,H28,K28))</f>
        <v>2</v>
      </c>
      <c r="O28" s="813">
        <f t="shared" si="25"/>
        <v>17</v>
      </c>
      <c r="P28" s="814">
        <f t="shared" si="25"/>
        <v>0</v>
      </c>
      <c r="Q28" s="815">
        <f t="shared" si="4"/>
        <v>19</v>
      </c>
      <c r="S28" s="816"/>
      <c r="T28" s="816"/>
    </row>
    <row r="29">
      <c r="B29" s="73"/>
      <c r="C29" s="805">
        <f t="shared" si="5"/>
        <v>46076</v>
      </c>
      <c r="D29" s="806" t="str">
        <f t="shared" si="2"/>
        <v>月</v>
      </c>
      <c r="E29" s="807">
        <v>0.0</v>
      </c>
      <c r="F29" s="812">
        <v>16.0</v>
      </c>
      <c r="G29" s="812">
        <v>0.0</v>
      </c>
      <c r="H29" s="807">
        <v>0.0</v>
      </c>
      <c r="I29" s="812">
        <v>3.0</v>
      </c>
      <c r="J29" s="812">
        <v>1.0</v>
      </c>
      <c r="K29" s="810">
        <v>0.0</v>
      </c>
      <c r="L29" s="810">
        <v>0.0</v>
      </c>
      <c r="M29" s="812">
        <v>1.0</v>
      </c>
      <c r="N29" s="813">
        <f t="shared" ref="N29:P29" si="26">if(E29="","",sum(E29,H29,K29))</f>
        <v>0</v>
      </c>
      <c r="O29" s="813">
        <f t="shared" si="26"/>
        <v>19</v>
      </c>
      <c r="P29" s="814">
        <f t="shared" si="26"/>
        <v>2</v>
      </c>
      <c r="Q29" s="815">
        <f t="shared" si="4"/>
        <v>21</v>
      </c>
      <c r="S29" s="816"/>
      <c r="T29" s="816"/>
    </row>
    <row r="30">
      <c r="B30" s="73"/>
      <c r="C30" s="805">
        <f t="shared" si="5"/>
        <v>46077</v>
      </c>
      <c r="D30" s="806" t="str">
        <f t="shared" si="2"/>
        <v>火</v>
      </c>
      <c r="E30" s="807">
        <v>0.0</v>
      </c>
      <c r="F30" s="807">
        <v>15.0</v>
      </c>
      <c r="G30" s="807">
        <v>0.0</v>
      </c>
      <c r="H30" s="807">
        <v>0.0</v>
      </c>
      <c r="I30" s="812">
        <v>2.0</v>
      </c>
      <c r="J30" s="812">
        <v>0.0</v>
      </c>
      <c r="K30" s="810">
        <v>0.0</v>
      </c>
      <c r="L30" s="810">
        <v>0.0</v>
      </c>
      <c r="M30" s="812">
        <v>0.0</v>
      </c>
      <c r="N30" s="813">
        <f t="shared" ref="N30:P30" si="27">if(E30="","",sum(E30,H30,K30))</f>
        <v>0</v>
      </c>
      <c r="O30" s="813">
        <f t="shared" si="27"/>
        <v>17</v>
      </c>
      <c r="P30" s="814">
        <f t="shared" si="27"/>
        <v>0</v>
      </c>
      <c r="Q30" s="815">
        <f t="shared" si="4"/>
        <v>17</v>
      </c>
      <c r="S30" s="816"/>
      <c r="T30" s="816"/>
    </row>
    <row r="31">
      <c r="B31" s="73"/>
      <c r="C31" s="805">
        <f t="shared" si="5"/>
        <v>46078</v>
      </c>
      <c r="D31" s="806" t="str">
        <f t="shared" si="2"/>
        <v>水</v>
      </c>
      <c r="E31" s="807">
        <v>0.0</v>
      </c>
      <c r="F31" s="807">
        <v>14.0</v>
      </c>
      <c r="G31" s="807">
        <v>0.0</v>
      </c>
      <c r="H31" s="807">
        <v>1.0</v>
      </c>
      <c r="I31" s="807">
        <v>3.0</v>
      </c>
      <c r="J31" s="812">
        <v>0.0</v>
      </c>
      <c r="K31" s="810">
        <v>0.0</v>
      </c>
      <c r="L31" s="810">
        <v>0.0</v>
      </c>
      <c r="M31" s="812">
        <v>0.0</v>
      </c>
      <c r="N31" s="813">
        <f t="shared" ref="N31:P31" si="28">if(E31="","",sum(E31,H31,K31))</f>
        <v>1</v>
      </c>
      <c r="O31" s="813">
        <f t="shared" si="28"/>
        <v>17</v>
      </c>
      <c r="P31" s="814">
        <f t="shared" si="28"/>
        <v>0</v>
      </c>
      <c r="Q31" s="815">
        <f t="shared" si="4"/>
        <v>18</v>
      </c>
      <c r="S31" s="816"/>
      <c r="T31" s="816"/>
    </row>
    <row r="32">
      <c r="B32" s="73"/>
      <c r="C32" s="805">
        <f t="shared" si="5"/>
        <v>46079</v>
      </c>
      <c r="D32" s="806" t="str">
        <f t="shared" si="2"/>
        <v>木</v>
      </c>
      <c r="E32" s="807">
        <v>0.0</v>
      </c>
      <c r="F32" s="807">
        <v>14.0</v>
      </c>
      <c r="G32" s="807">
        <v>3.0</v>
      </c>
      <c r="H32" s="807">
        <v>1.0</v>
      </c>
      <c r="I32" s="807">
        <v>3.0</v>
      </c>
      <c r="J32" s="807">
        <v>0.0</v>
      </c>
      <c r="K32" s="807">
        <v>0.0</v>
      </c>
      <c r="L32" s="807">
        <v>0.0</v>
      </c>
      <c r="M32" s="812">
        <v>0.0</v>
      </c>
      <c r="N32" s="813">
        <f t="shared" ref="N32:P32" si="29">if(E32="","",sum(E32,H32,K32))</f>
        <v>1</v>
      </c>
      <c r="O32" s="813">
        <f t="shared" si="29"/>
        <v>17</v>
      </c>
      <c r="P32" s="814">
        <f t="shared" si="29"/>
        <v>3</v>
      </c>
      <c r="Q32" s="815">
        <f t="shared" si="4"/>
        <v>21</v>
      </c>
      <c r="S32" s="816"/>
      <c r="T32" s="816"/>
    </row>
    <row r="33">
      <c r="B33" s="73"/>
      <c r="C33" s="805">
        <f t="shared" si="5"/>
        <v>46080</v>
      </c>
      <c r="D33" s="806" t="str">
        <f t="shared" si="2"/>
        <v>金</v>
      </c>
      <c r="E33" s="807">
        <v>2.0</v>
      </c>
      <c r="F33" s="807">
        <v>13.0</v>
      </c>
      <c r="G33" s="807">
        <v>0.0</v>
      </c>
      <c r="H33" s="807">
        <v>0.0</v>
      </c>
      <c r="I33" s="812">
        <v>4.0</v>
      </c>
      <c r="J33" s="812">
        <v>1.0</v>
      </c>
      <c r="K33" s="812">
        <v>0.0</v>
      </c>
      <c r="L33" s="812">
        <v>0.0</v>
      </c>
      <c r="M33" s="812">
        <v>0.0</v>
      </c>
      <c r="N33" s="813">
        <f t="shared" ref="N33:P33" si="30">if(E33="","",sum(E33,H33,K33))</f>
        <v>2</v>
      </c>
      <c r="O33" s="813">
        <f t="shared" si="30"/>
        <v>17</v>
      </c>
      <c r="P33" s="814">
        <f t="shared" si="30"/>
        <v>1</v>
      </c>
      <c r="Q33" s="815">
        <f t="shared" si="4"/>
        <v>20</v>
      </c>
      <c r="S33" s="816"/>
      <c r="T33" s="816"/>
    </row>
    <row r="34">
      <c r="B34" s="73"/>
      <c r="C34" s="805">
        <f t="shared" si="5"/>
        <v>46081</v>
      </c>
      <c r="D34" s="806" t="str">
        <f t="shared" si="2"/>
        <v>土</v>
      </c>
      <c r="E34" s="807">
        <v>1.0</v>
      </c>
      <c r="F34" s="807">
        <v>13.0</v>
      </c>
      <c r="G34" s="807">
        <v>2.0</v>
      </c>
      <c r="H34" s="807">
        <v>0.0</v>
      </c>
      <c r="I34" s="812">
        <v>2.0</v>
      </c>
      <c r="J34" s="812">
        <v>0.0</v>
      </c>
      <c r="K34" s="812">
        <v>0.0</v>
      </c>
      <c r="L34" s="812">
        <v>0.0</v>
      </c>
      <c r="M34" s="812">
        <v>0.0</v>
      </c>
      <c r="N34" s="813">
        <f t="shared" ref="N34:P34" si="31">if(E34="","",sum(E34,H34,K34))</f>
        <v>1</v>
      </c>
      <c r="O34" s="813">
        <f t="shared" si="31"/>
        <v>15</v>
      </c>
      <c r="P34" s="814">
        <f t="shared" si="31"/>
        <v>2</v>
      </c>
      <c r="Q34" s="815">
        <f t="shared" si="4"/>
        <v>18</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23</v>
      </c>
      <c r="F38" s="831">
        <f t="shared" si="35"/>
        <v>376</v>
      </c>
      <c r="G38" s="831">
        <f t="shared" si="35"/>
        <v>22</v>
      </c>
      <c r="H38" s="832">
        <f t="shared" si="35"/>
        <v>12</v>
      </c>
      <c r="I38" s="832">
        <f t="shared" si="35"/>
        <v>78</v>
      </c>
      <c r="J38" s="832">
        <f t="shared" si="35"/>
        <v>11</v>
      </c>
      <c r="K38" s="833">
        <f t="shared" si="35"/>
        <v>8</v>
      </c>
      <c r="L38" s="833">
        <f t="shared" si="35"/>
        <v>3</v>
      </c>
      <c r="M38" s="833">
        <f t="shared" si="35"/>
        <v>8</v>
      </c>
      <c r="N38" s="834">
        <f t="shared" si="35"/>
        <v>43</v>
      </c>
      <c r="O38" s="834">
        <f t="shared" si="35"/>
        <v>457</v>
      </c>
      <c r="P38" s="835">
        <f t="shared" si="35"/>
        <v>41</v>
      </c>
      <c r="Q38" s="836">
        <f>SUM(N38:P38)</f>
        <v>541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846</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847</v>
      </c>
      <c r="K4" s="328"/>
      <c r="L4" s="328"/>
      <c r="M4" s="328"/>
      <c r="N4" s="328"/>
      <c r="O4" s="328"/>
      <c r="P4" s="328"/>
      <c r="Q4" s="328"/>
      <c r="R4" s="328"/>
      <c r="S4" s="328"/>
      <c r="T4" s="328"/>
      <c r="U4" s="328"/>
      <c r="V4" s="328"/>
      <c r="W4" s="328"/>
      <c r="X4" s="328"/>
      <c r="Y4" s="328"/>
      <c r="Z4" s="328"/>
      <c r="AA4" s="328"/>
      <c r="AB4" s="328"/>
      <c r="AC4" s="328"/>
    </row>
    <row r="5">
      <c r="A5" s="328"/>
      <c r="B5" s="1126" t="s">
        <v>848</v>
      </c>
      <c r="C5" s="1126" t="s">
        <v>849</v>
      </c>
      <c r="D5" s="1126" t="s">
        <v>242</v>
      </c>
      <c r="E5" s="1126" t="s">
        <v>579</v>
      </c>
      <c r="F5" s="1126" t="s">
        <v>850</v>
      </c>
      <c r="G5" s="1127" t="s">
        <v>851</v>
      </c>
      <c r="H5" s="1126" t="s">
        <v>852</v>
      </c>
      <c r="I5" s="1126" t="s">
        <v>853</v>
      </c>
      <c r="J5" s="1126" t="s">
        <v>854</v>
      </c>
      <c r="K5" s="328"/>
      <c r="L5" s="328"/>
      <c r="M5" s="328"/>
      <c r="N5" s="328"/>
      <c r="O5" s="328"/>
      <c r="P5" s="328"/>
      <c r="Q5" s="328"/>
      <c r="R5" s="328"/>
      <c r="S5" s="328"/>
      <c r="T5" s="328"/>
      <c r="U5" s="328"/>
      <c r="V5" s="328"/>
      <c r="W5" s="328"/>
      <c r="X5" s="328"/>
      <c r="Y5" s="328"/>
      <c r="Z5" s="328"/>
      <c r="AA5" s="328"/>
      <c r="AB5" s="328"/>
      <c r="AC5" s="328"/>
    </row>
    <row r="6">
      <c r="A6" s="328"/>
      <c r="B6" s="309" t="b">
        <v>0</v>
      </c>
      <c r="C6" s="1128">
        <v>1.0</v>
      </c>
      <c r="D6" s="356"/>
      <c r="E6" s="1129" t="s">
        <v>855</v>
      </c>
      <c r="F6" s="1130"/>
      <c r="G6" s="1131" t="s">
        <v>856</v>
      </c>
      <c r="H6" s="312"/>
      <c r="I6" s="312"/>
      <c r="J6" s="312"/>
      <c r="K6" s="328"/>
      <c r="L6" s="328"/>
      <c r="M6" s="328"/>
      <c r="N6" s="328"/>
      <c r="O6" s="328"/>
      <c r="P6" s="328"/>
      <c r="Q6" s="328"/>
      <c r="R6" s="328"/>
      <c r="S6" s="328"/>
      <c r="T6" s="328"/>
      <c r="U6" s="328"/>
      <c r="V6" s="328"/>
      <c r="W6" s="328"/>
      <c r="X6" s="328"/>
      <c r="Y6" s="328"/>
      <c r="Z6" s="328"/>
      <c r="AA6" s="328"/>
      <c r="AB6" s="328"/>
      <c r="AC6" s="328"/>
    </row>
    <row r="7">
      <c r="A7" s="328"/>
      <c r="B7" s="309" t="b">
        <v>0</v>
      </c>
      <c r="C7" s="1128">
        <v>2.0</v>
      </c>
      <c r="D7" s="356"/>
      <c r="E7" s="1129" t="s">
        <v>857</v>
      </c>
      <c r="F7" s="1132"/>
      <c r="G7" s="1131" t="s">
        <v>858</v>
      </c>
      <c r="H7" s="312"/>
      <c r="I7" s="312"/>
      <c r="J7" s="312"/>
      <c r="K7" s="328"/>
      <c r="L7" s="328"/>
      <c r="M7" s="328"/>
      <c r="N7" s="328"/>
      <c r="O7" s="328"/>
      <c r="P7" s="328"/>
      <c r="Q7" s="328"/>
      <c r="R7" s="328"/>
      <c r="S7" s="328"/>
      <c r="T7" s="328"/>
      <c r="U7" s="328"/>
      <c r="V7" s="328"/>
      <c r="W7" s="328"/>
      <c r="X7" s="328"/>
      <c r="Y7" s="328"/>
      <c r="Z7" s="328"/>
      <c r="AA7" s="328"/>
      <c r="AB7" s="328"/>
      <c r="AC7" s="328"/>
    </row>
    <row r="8">
      <c r="A8" s="328"/>
      <c r="B8" s="309" t="b">
        <v>0</v>
      </c>
      <c r="C8" s="1133"/>
      <c r="E8" s="1134" t="s">
        <v>859</v>
      </c>
      <c r="F8" s="1135"/>
      <c r="G8" s="73" t="s">
        <v>858</v>
      </c>
      <c r="J8" s="312"/>
      <c r="K8" s="328"/>
      <c r="L8" s="328"/>
      <c r="M8" s="328"/>
      <c r="N8" s="328"/>
      <c r="O8" s="328"/>
      <c r="P8" s="328"/>
      <c r="Q8" s="328"/>
      <c r="R8" s="328"/>
      <c r="S8" s="328"/>
      <c r="T8" s="328"/>
      <c r="U8" s="328"/>
      <c r="V8" s="328"/>
      <c r="W8" s="328"/>
      <c r="X8" s="328"/>
      <c r="Y8" s="328"/>
      <c r="Z8" s="328"/>
      <c r="AA8" s="328"/>
      <c r="AB8" s="328"/>
      <c r="AC8" s="328"/>
    </row>
    <row r="9">
      <c r="A9" s="328"/>
      <c r="B9" s="309" t="b">
        <v>0</v>
      </c>
      <c r="C9" s="1136">
        <v>3.0</v>
      </c>
      <c r="D9" s="1137"/>
      <c r="E9" s="1138" t="s">
        <v>860</v>
      </c>
      <c r="F9" s="1139"/>
      <c r="G9" s="1140" t="s">
        <v>861</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09" t="b">
        <v>0</v>
      </c>
      <c r="C10" s="1136">
        <v>4.0</v>
      </c>
      <c r="D10" s="1137"/>
      <c r="E10" s="1138" t="s">
        <v>862</v>
      </c>
      <c r="F10" s="1142"/>
      <c r="G10" s="1140" t="s">
        <v>863</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09"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09"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09"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09"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09"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09" t="b">
        <v>0</v>
      </c>
      <c r="C16" s="1136">
        <v>10.0</v>
      </c>
      <c r="D16" s="1136"/>
      <c r="E16" s="1143"/>
      <c r="F16" s="1141"/>
      <c r="G16" s="1140"/>
      <c r="H16" s="1145"/>
      <c r="I16" s="1145"/>
      <c r="J16" s="309"/>
      <c r="K16" s="328"/>
      <c r="L16" s="328"/>
      <c r="M16" s="328"/>
      <c r="N16" s="328"/>
      <c r="O16" s="328"/>
      <c r="P16" s="328"/>
      <c r="Q16" s="328"/>
      <c r="R16" s="328"/>
      <c r="S16" s="328"/>
      <c r="T16" s="328"/>
      <c r="U16" s="328"/>
      <c r="V16" s="328"/>
      <c r="W16" s="328"/>
      <c r="X16" s="328"/>
      <c r="Y16" s="328"/>
      <c r="Z16" s="328"/>
      <c r="AA16" s="328"/>
      <c r="AB16" s="328"/>
      <c r="AC16" s="328"/>
    </row>
    <row r="17">
      <c r="A17" s="328"/>
      <c r="B17" s="309" t="b">
        <v>0</v>
      </c>
      <c r="C17" s="1136">
        <v>10.0</v>
      </c>
      <c r="D17" s="1136" t="s">
        <v>19</v>
      </c>
      <c r="E17" s="1143" t="s">
        <v>226</v>
      </c>
      <c r="F17" s="1146"/>
      <c r="G17" s="1140" t="s">
        <v>864</v>
      </c>
      <c r="H17" s="1145" t="s">
        <v>225</v>
      </c>
      <c r="I17" s="1145"/>
      <c r="J17" s="309"/>
      <c r="K17" s="328"/>
      <c r="L17" s="328"/>
      <c r="M17" s="328"/>
      <c r="N17" s="328"/>
      <c r="O17" s="328"/>
      <c r="P17" s="328"/>
      <c r="Q17" s="328"/>
      <c r="R17" s="328"/>
      <c r="S17" s="328"/>
      <c r="T17" s="328"/>
      <c r="U17" s="328"/>
      <c r="V17" s="328"/>
      <c r="W17" s="328"/>
      <c r="X17" s="328"/>
      <c r="Y17" s="328"/>
      <c r="Z17" s="328"/>
      <c r="AA17" s="328"/>
      <c r="AB17" s="328"/>
      <c r="AC17" s="328"/>
    </row>
    <row r="18">
      <c r="A18" s="328"/>
      <c r="B18" s="309" t="b">
        <v>0</v>
      </c>
      <c r="C18" s="1136">
        <v>10.0</v>
      </c>
      <c r="D18" s="1136" t="s">
        <v>19</v>
      </c>
      <c r="E18" s="1143" t="s">
        <v>865</v>
      </c>
      <c r="F18" s="1146"/>
      <c r="G18" s="1140" t="s">
        <v>864</v>
      </c>
      <c r="H18" s="1145" t="s">
        <v>866</v>
      </c>
      <c r="I18" s="1145"/>
      <c r="J18" s="309"/>
      <c r="K18" s="328"/>
      <c r="L18" s="328"/>
      <c r="M18" s="328"/>
      <c r="N18" s="328"/>
      <c r="O18" s="328"/>
      <c r="P18" s="328"/>
      <c r="Q18" s="328"/>
      <c r="R18" s="328"/>
      <c r="S18" s="328"/>
      <c r="T18" s="328"/>
      <c r="U18" s="328"/>
      <c r="V18" s="328"/>
      <c r="W18" s="328"/>
      <c r="X18" s="328"/>
      <c r="Y18" s="328"/>
      <c r="Z18" s="328"/>
      <c r="AA18" s="328"/>
      <c r="AB18" s="328"/>
      <c r="AC18" s="328"/>
    </row>
    <row r="19">
      <c r="A19" s="328"/>
      <c r="B19" s="309" t="b">
        <v>0</v>
      </c>
      <c r="C19" s="1136">
        <v>10.0</v>
      </c>
      <c r="D19" s="1136" t="s">
        <v>19</v>
      </c>
      <c r="E19" s="1143" t="s">
        <v>867</v>
      </c>
      <c r="F19" s="1146"/>
      <c r="G19" s="1140" t="s">
        <v>864</v>
      </c>
      <c r="H19" s="1145" t="s">
        <v>868</v>
      </c>
      <c r="I19" s="1145"/>
      <c r="J19" s="309"/>
      <c r="K19" s="328"/>
      <c r="L19" s="328"/>
      <c r="M19" s="328"/>
      <c r="N19" s="328"/>
      <c r="O19" s="328"/>
      <c r="P19" s="328"/>
      <c r="Q19" s="328"/>
      <c r="R19" s="328"/>
      <c r="S19" s="328"/>
      <c r="T19" s="328"/>
      <c r="U19" s="328"/>
      <c r="V19" s="328"/>
      <c r="W19" s="328"/>
      <c r="X19" s="328"/>
      <c r="Y19" s="328"/>
      <c r="Z19" s="328"/>
      <c r="AA19" s="328"/>
      <c r="AB19" s="328"/>
      <c r="AC19" s="328"/>
    </row>
    <row r="20">
      <c r="A20" s="328"/>
      <c r="B20" s="309" t="b">
        <v>0</v>
      </c>
      <c r="C20" s="1136">
        <v>10.0</v>
      </c>
      <c r="D20" s="1136" t="s">
        <v>19</v>
      </c>
      <c r="E20" s="1143" t="s">
        <v>869</v>
      </c>
      <c r="F20" s="1146"/>
      <c r="G20" s="1140" t="s">
        <v>864</v>
      </c>
      <c r="H20" s="1145" t="s">
        <v>870</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09" t="b">
        <v>0</v>
      </c>
      <c r="C21" s="1136">
        <v>10.0</v>
      </c>
      <c r="D21" s="1136" t="s">
        <v>19</v>
      </c>
      <c r="E21" s="1143" t="s">
        <v>871</v>
      </c>
      <c r="F21" s="1146"/>
      <c r="G21" s="1140" t="s">
        <v>864</v>
      </c>
      <c r="H21" s="1145" t="s">
        <v>872</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09" t="b">
        <v>0</v>
      </c>
      <c r="C22" s="1136">
        <v>10.0</v>
      </c>
      <c r="D22" s="1136" t="s">
        <v>19</v>
      </c>
      <c r="E22" s="1143" t="s">
        <v>871</v>
      </c>
      <c r="F22" s="1146"/>
      <c r="G22" s="1140" t="s">
        <v>864</v>
      </c>
      <c r="H22" s="1145" t="s">
        <v>872</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09" t="b">
        <v>0</v>
      </c>
      <c r="C23" s="1136">
        <v>10.0</v>
      </c>
      <c r="D23" s="1136"/>
      <c r="E23" s="1143"/>
      <c r="F23" s="1141"/>
      <c r="G23" s="1140"/>
      <c r="H23" s="1145"/>
      <c r="I23" s="1145"/>
      <c r="J23" s="309"/>
      <c r="K23" s="328"/>
      <c r="L23" s="328"/>
      <c r="M23" s="328"/>
      <c r="N23" s="328"/>
      <c r="O23" s="328"/>
      <c r="P23" s="328"/>
      <c r="Q23" s="328"/>
      <c r="R23" s="328"/>
      <c r="S23" s="328"/>
      <c r="T23" s="328"/>
      <c r="U23" s="328"/>
      <c r="V23" s="328"/>
      <c r="W23" s="328"/>
      <c r="X23" s="328"/>
      <c r="Y23" s="328"/>
      <c r="Z23" s="328"/>
      <c r="AA23" s="328"/>
      <c r="AB23" s="328"/>
      <c r="AC23" s="328"/>
    </row>
    <row r="24">
      <c r="A24" s="328"/>
      <c r="B24" s="309" t="b">
        <v>0</v>
      </c>
      <c r="C24" s="1136">
        <v>10.0</v>
      </c>
      <c r="D24" s="1136"/>
      <c r="E24" s="1143"/>
      <c r="F24" s="1141"/>
      <c r="G24" s="1140"/>
      <c r="H24" s="1145"/>
      <c r="I24" s="1145"/>
      <c r="J24" s="309"/>
      <c r="K24" s="328"/>
      <c r="L24" s="328"/>
      <c r="M24" s="328"/>
      <c r="N24" s="328"/>
      <c r="O24" s="328"/>
      <c r="P24" s="328"/>
      <c r="Q24" s="328"/>
      <c r="R24" s="328"/>
      <c r="S24" s="328"/>
      <c r="T24" s="328"/>
      <c r="U24" s="328"/>
      <c r="V24" s="328"/>
      <c r="W24" s="328"/>
      <c r="X24" s="328"/>
      <c r="Y24" s="328"/>
      <c r="Z24" s="328"/>
      <c r="AA24" s="328"/>
      <c r="AB24" s="328"/>
      <c r="AC24" s="328"/>
    </row>
    <row r="25">
      <c r="A25" s="328"/>
      <c r="B25" s="309" t="b">
        <v>0</v>
      </c>
      <c r="C25" s="1136">
        <v>11.0</v>
      </c>
      <c r="D25" s="1136" t="s">
        <v>18</v>
      </c>
      <c r="E25" s="1143" t="s">
        <v>225</v>
      </c>
      <c r="F25" s="1147"/>
      <c r="G25" s="1140" t="s">
        <v>873</v>
      </c>
      <c r="H25" s="1145" t="s">
        <v>224</v>
      </c>
      <c r="I25" s="1145"/>
      <c r="J25" s="309"/>
      <c r="K25" s="328"/>
      <c r="L25" s="328"/>
      <c r="M25" s="328"/>
      <c r="N25" s="328"/>
      <c r="O25" s="328"/>
      <c r="P25" s="328"/>
      <c r="Q25" s="328"/>
      <c r="R25" s="328"/>
      <c r="S25" s="328"/>
      <c r="T25" s="328"/>
      <c r="U25" s="328"/>
      <c r="V25" s="328"/>
      <c r="W25" s="328"/>
      <c r="X25" s="328"/>
      <c r="Y25" s="328"/>
      <c r="Z25" s="328"/>
      <c r="AA25" s="328"/>
      <c r="AB25" s="328"/>
      <c r="AC25" s="328"/>
    </row>
    <row r="26">
      <c r="A26" s="328"/>
      <c r="B26" s="309" t="b">
        <v>0</v>
      </c>
      <c r="C26" s="1136">
        <v>11.0</v>
      </c>
      <c r="D26" s="1136" t="s">
        <v>18</v>
      </c>
      <c r="E26" s="1143" t="s">
        <v>866</v>
      </c>
      <c r="F26" s="1147"/>
      <c r="G26" s="1140" t="s">
        <v>873</v>
      </c>
      <c r="H26" s="1145" t="s">
        <v>874</v>
      </c>
      <c r="I26" s="1145"/>
      <c r="J26" s="309"/>
      <c r="K26" s="328"/>
      <c r="L26" s="328"/>
      <c r="M26" s="328"/>
      <c r="N26" s="328"/>
      <c r="O26" s="328"/>
      <c r="P26" s="328"/>
      <c r="Q26" s="328"/>
      <c r="R26" s="328"/>
      <c r="S26" s="328"/>
      <c r="T26" s="328"/>
      <c r="U26" s="328"/>
      <c r="V26" s="328"/>
      <c r="W26" s="328"/>
      <c r="X26" s="328"/>
      <c r="Y26" s="328"/>
      <c r="Z26" s="328"/>
      <c r="AA26" s="328"/>
      <c r="AB26" s="328"/>
      <c r="AC26" s="328"/>
    </row>
    <row r="27">
      <c r="A27" s="328"/>
      <c r="B27" s="309" t="b">
        <v>0</v>
      </c>
      <c r="C27" s="1136">
        <v>11.0</v>
      </c>
      <c r="D27" s="1136" t="s">
        <v>18</v>
      </c>
      <c r="E27" s="1143" t="s">
        <v>875</v>
      </c>
      <c r="F27" s="1147"/>
      <c r="G27" s="1140" t="s">
        <v>873</v>
      </c>
      <c r="H27" s="1145" t="s">
        <v>868</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09" t="b">
        <v>0</v>
      </c>
      <c r="C28" s="1136">
        <v>11.0</v>
      </c>
      <c r="D28" s="1136" t="s">
        <v>18</v>
      </c>
      <c r="E28" s="1143" t="s">
        <v>876</v>
      </c>
      <c r="F28" s="1147"/>
      <c r="G28" s="1140" t="s">
        <v>873</v>
      </c>
      <c r="H28" s="1145" t="s">
        <v>870</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09" t="b">
        <v>0</v>
      </c>
      <c r="C29" s="1136">
        <v>11.0</v>
      </c>
      <c r="D29" s="1136" t="s">
        <v>18</v>
      </c>
      <c r="E29" s="1143" t="s">
        <v>877</v>
      </c>
      <c r="F29" s="1147"/>
      <c r="G29" s="1140" t="s">
        <v>873</v>
      </c>
      <c r="H29" s="1145" t="s">
        <v>872</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09" t="b">
        <v>0</v>
      </c>
      <c r="C30" s="1136">
        <v>11.0</v>
      </c>
      <c r="D30" s="1136"/>
      <c r="E30" s="1143"/>
      <c r="F30" s="1141"/>
      <c r="G30" s="1140"/>
      <c r="H30" s="1145"/>
      <c r="I30" s="1145"/>
      <c r="J30" s="309"/>
      <c r="K30" s="328"/>
      <c r="L30" s="328"/>
      <c r="M30" s="328"/>
      <c r="N30" s="328"/>
      <c r="O30" s="328"/>
      <c r="P30" s="328"/>
      <c r="Q30" s="328"/>
      <c r="R30" s="328"/>
      <c r="S30" s="328"/>
      <c r="T30" s="328"/>
      <c r="U30" s="328"/>
      <c r="V30" s="328"/>
      <c r="W30" s="328"/>
      <c r="X30" s="328"/>
      <c r="Y30" s="328"/>
      <c r="Z30" s="328"/>
      <c r="AA30" s="328"/>
      <c r="AB30" s="328"/>
      <c r="AC30" s="328"/>
    </row>
    <row r="31">
      <c r="A31" s="328"/>
      <c r="B31" s="309" t="b">
        <v>0</v>
      </c>
      <c r="C31" s="1136">
        <v>11.0</v>
      </c>
      <c r="D31" s="1136"/>
      <c r="E31" s="1143"/>
      <c r="F31" s="1141"/>
      <c r="G31" s="1140"/>
      <c r="H31" s="1145"/>
      <c r="I31" s="1145"/>
      <c r="J31" s="309"/>
      <c r="K31" s="328"/>
      <c r="L31" s="328"/>
      <c r="M31" s="328"/>
      <c r="N31" s="328"/>
      <c r="O31" s="328"/>
      <c r="P31" s="328"/>
      <c r="Q31" s="328"/>
      <c r="R31" s="328"/>
      <c r="S31" s="328"/>
      <c r="T31" s="328"/>
      <c r="U31" s="328"/>
      <c r="V31" s="328"/>
      <c r="W31" s="328"/>
      <c r="X31" s="328"/>
      <c r="Y31" s="328"/>
      <c r="Z31" s="328"/>
      <c r="AA31" s="328"/>
      <c r="AB31" s="328"/>
      <c r="AC31" s="328"/>
    </row>
    <row r="32">
      <c r="A32" s="328"/>
      <c r="B32" s="309" t="b">
        <v>0</v>
      </c>
      <c r="C32" s="1136">
        <v>12.0</v>
      </c>
      <c r="D32" s="1136" t="s">
        <v>17</v>
      </c>
      <c r="E32" s="1143" t="s">
        <v>224</v>
      </c>
      <c r="F32" s="1146"/>
      <c r="G32" s="1140" t="s">
        <v>864</v>
      </c>
      <c r="H32" s="1145" t="s">
        <v>223</v>
      </c>
      <c r="I32" s="1145"/>
      <c r="J32" s="309"/>
      <c r="K32" s="328"/>
      <c r="L32" s="328"/>
      <c r="M32" s="328"/>
      <c r="N32" s="328"/>
      <c r="O32" s="328"/>
      <c r="P32" s="328"/>
      <c r="Q32" s="328"/>
      <c r="R32" s="328"/>
      <c r="S32" s="328"/>
      <c r="T32" s="328"/>
      <c r="U32" s="328"/>
      <c r="V32" s="328"/>
      <c r="W32" s="328"/>
      <c r="X32" s="328"/>
      <c r="Y32" s="328"/>
      <c r="Z32" s="328"/>
      <c r="AA32" s="328"/>
      <c r="AB32" s="328"/>
      <c r="AC32" s="328"/>
    </row>
    <row r="33">
      <c r="A33" s="328"/>
      <c r="B33" s="309" t="b">
        <v>0</v>
      </c>
      <c r="C33" s="1136">
        <v>12.0</v>
      </c>
      <c r="D33" s="1136" t="s">
        <v>17</v>
      </c>
      <c r="E33" s="1143" t="s">
        <v>874</v>
      </c>
      <c r="F33" s="1146"/>
      <c r="G33" s="1140" t="s">
        <v>864</v>
      </c>
      <c r="H33" s="1145" t="s">
        <v>878</v>
      </c>
      <c r="I33" s="1145"/>
      <c r="J33" s="309"/>
      <c r="K33" s="328"/>
      <c r="L33" s="328"/>
      <c r="M33" s="328"/>
      <c r="N33" s="328"/>
      <c r="O33" s="328"/>
      <c r="P33" s="328"/>
      <c r="Q33" s="328"/>
      <c r="R33" s="328"/>
      <c r="S33" s="328"/>
      <c r="T33" s="328"/>
      <c r="U33" s="328"/>
      <c r="V33" s="328"/>
      <c r="W33" s="328"/>
      <c r="X33" s="328"/>
      <c r="Y33" s="328"/>
      <c r="Z33" s="328"/>
      <c r="AA33" s="328"/>
      <c r="AB33" s="328"/>
      <c r="AC33" s="328"/>
    </row>
    <row r="34">
      <c r="A34" s="328"/>
      <c r="B34" s="309" t="b">
        <v>0</v>
      </c>
      <c r="C34" s="1136">
        <v>12.0</v>
      </c>
      <c r="D34" s="1136" t="s">
        <v>17</v>
      </c>
      <c r="E34" s="1143" t="s">
        <v>879</v>
      </c>
      <c r="F34" s="1146"/>
      <c r="G34" s="1140" t="s">
        <v>864</v>
      </c>
      <c r="H34" s="1145" t="s">
        <v>868</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09" t="b">
        <v>0</v>
      </c>
      <c r="C35" s="1136">
        <v>12.0</v>
      </c>
      <c r="D35" s="1136" t="s">
        <v>17</v>
      </c>
      <c r="E35" s="1143" t="s">
        <v>880</v>
      </c>
      <c r="F35" s="1146"/>
      <c r="G35" s="1140" t="s">
        <v>864</v>
      </c>
      <c r="H35" s="1145" t="s">
        <v>870</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09" t="b">
        <v>0</v>
      </c>
      <c r="C36" s="1136">
        <v>12.0</v>
      </c>
      <c r="D36" s="1136" t="s">
        <v>17</v>
      </c>
      <c r="E36" s="1143" t="s">
        <v>881</v>
      </c>
      <c r="F36" s="1146"/>
      <c r="G36" s="1140" t="s">
        <v>864</v>
      </c>
      <c r="H36" s="1145" t="s">
        <v>872</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09" t="b">
        <v>0</v>
      </c>
      <c r="C37" s="1136">
        <v>12.0</v>
      </c>
      <c r="D37" s="1136"/>
      <c r="E37" s="1143"/>
      <c r="F37" s="1141"/>
      <c r="G37" s="1140"/>
      <c r="H37" s="1145"/>
      <c r="I37" s="1145"/>
      <c r="J37" s="309"/>
      <c r="K37" s="328"/>
      <c r="L37" s="328"/>
      <c r="M37" s="328"/>
      <c r="N37" s="328"/>
      <c r="O37" s="328"/>
      <c r="P37" s="328"/>
      <c r="Q37" s="328"/>
      <c r="R37" s="328"/>
      <c r="S37" s="328"/>
      <c r="T37" s="328"/>
      <c r="U37" s="328"/>
      <c r="V37" s="328"/>
      <c r="W37" s="328"/>
      <c r="X37" s="328"/>
      <c r="Y37" s="328"/>
      <c r="Z37" s="328"/>
      <c r="AA37" s="328"/>
      <c r="AB37" s="328"/>
      <c r="AC37" s="328"/>
    </row>
    <row r="38">
      <c r="A38" s="328"/>
      <c r="B38" s="309" t="b">
        <v>0</v>
      </c>
      <c r="C38" s="1128">
        <v>13.0</v>
      </c>
      <c r="D38" s="1128" t="s">
        <v>16</v>
      </c>
      <c r="E38" s="1148" t="s">
        <v>878</v>
      </c>
      <c r="F38" s="1149"/>
      <c r="G38" s="1131" t="s">
        <v>873</v>
      </c>
      <c r="H38" s="309" t="s">
        <v>882</v>
      </c>
      <c r="I38" s="309"/>
      <c r="J38" s="309"/>
      <c r="K38" s="328"/>
      <c r="L38" s="328"/>
      <c r="M38" s="328"/>
      <c r="N38" s="328"/>
      <c r="O38" s="328"/>
      <c r="P38" s="328"/>
      <c r="Q38" s="328"/>
      <c r="R38" s="328"/>
      <c r="S38" s="328"/>
      <c r="T38" s="328"/>
      <c r="U38" s="328"/>
      <c r="V38" s="328"/>
      <c r="W38" s="328"/>
      <c r="X38" s="328"/>
      <c r="Y38" s="328"/>
      <c r="Z38" s="328"/>
      <c r="AA38" s="328"/>
      <c r="AB38" s="328"/>
      <c r="AC38" s="328"/>
    </row>
    <row r="39">
      <c r="A39" s="328"/>
      <c r="B39" s="309" t="b">
        <v>0</v>
      </c>
      <c r="C39" s="1128">
        <v>13.0</v>
      </c>
      <c r="D39" s="1128" t="s">
        <v>16</v>
      </c>
      <c r="E39" s="1148" t="s">
        <v>883</v>
      </c>
      <c r="F39" s="1149"/>
      <c r="G39" s="1131" t="s">
        <v>873</v>
      </c>
      <c r="H39" s="309" t="s">
        <v>868</v>
      </c>
      <c r="I39" s="309"/>
      <c r="J39" s="309"/>
      <c r="K39" s="328"/>
      <c r="L39" s="328"/>
      <c r="M39" s="328"/>
      <c r="N39" s="328"/>
      <c r="O39" s="328"/>
      <c r="P39" s="328"/>
      <c r="Q39" s="328"/>
      <c r="R39" s="328"/>
      <c r="S39" s="328"/>
      <c r="T39" s="328"/>
      <c r="U39" s="328"/>
      <c r="V39" s="328"/>
      <c r="W39" s="328"/>
      <c r="X39" s="328"/>
      <c r="Y39" s="328"/>
      <c r="Z39" s="328"/>
      <c r="AA39" s="328"/>
      <c r="AB39" s="328"/>
      <c r="AC39" s="328"/>
    </row>
    <row r="40">
      <c r="A40" s="328"/>
      <c r="B40" s="309" t="b">
        <v>0</v>
      </c>
      <c r="C40" s="1128">
        <v>13.0</v>
      </c>
      <c r="D40" s="1128" t="s">
        <v>16</v>
      </c>
      <c r="E40" s="1148" t="s">
        <v>884</v>
      </c>
      <c r="F40" s="1149"/>
      <c r="G40" s="1131" t="s">
        <v>873</v>
      </c>
      <c r="H40" s="309" t="s">
        <v>870</v>
      </c>
      <c r="I40" s="309"/>
      <c r="J40" s="309"/>
      <c r="K40" s="328"/>
      <c r="L40" s="328"/>
      <c r="M40" s="328"/>
      <c r="N40" s="328"/>
      <c r="O40" s="328"/>
      <c r="P40" s="328"/>
      <c r="Q40" s="328"/>
      <c r="R40" s="328"/>
      <c r="S40" s="328"/>
      <c r="T40" s="328"/>
      <c r="U40" s="328"/>
      <c r="V40" s="328"/>
      <c r="W40" s="328"/>
      <c r="X40" s="328"/>
      <c r="Y40" s="328"/>
      <c r="Z40" s="328"/>
      <c r="AA40" s="328"/>
      <c r="AB40" s="328"/>
      <c r="AC40" s="328"/>
    </row>
    <row r="41">
      <c r="A41" s="328"/>
      <c r="B41" s="309" t="b">
        <v>0</v>
      </c>
      <c r="C41" s="1128">
        <v>13.0</v>
      </c>
      <c r="D41" s="1128" t="s">
        <v>16</v>
      </c>
      <c r="E41" s="1148" t="s">
        <v>885</v>
      </c>
      <c r="F41" s="1149"/>
      <c r="G41" s="1131" t="s">
        <v>873</v>
      </c>
      <c r="H41" s="309" t="s">
        <v>872</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09"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09"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09" t="b">
        <v>0</v>
      </c>
      <c r="C44" s="1128">
        <v>14.0</v>
      </c>
      <c r="D44" s="1128" t="s">
        <v>15</v>
      </c>
      <c r="E44" s="1148" t="s">
        <v>222</v>
      </c>
      <c r="F44" s="1151"/>
      <c r="G44" s="1131" t="s">
        <v>864</v>
      </c>
      <c r="H44" s="309" t="s">
        <v>221</v>
      </c>
      <c r="I44" s="309"/>
      <c r="J44" s="309"/>
      <c r="K44" s="328"/>
      <c r="L44" s="328"/>
      <c r="M44" s="328"/>
      <c r="N44" s="328"/>
      <c r="O44" s="328"/>
      <c r="P44" s="328"/>
      <c r="Q44" s="328"/>
      <c r="R44" s="328"/>
      <c r="S44" s="328"/>
      <c r="T44" s="328"/>
      <c r="U44" s="328"/>
      <c r="V44" s="328"/>
      <c r="W44" s="328"/>
      <c r="X44" s="328"/>
      <c r="Y44" s="328"/>
      <c r="Z44" s="328"/>
      <c r="AA44" s="328"/>
      <c r="AB44" s="328"/>
      <c r="AC44" s="328"/>
    </row>
    <row r="45">
      <c r="A45" s="328"/>
      <c r="B45" s="309" t="b">
        <v>0</v>
      </c>
      <c r="C45" s="1128">
        <v>14.0</v>
      </c>
      <c r="D45" s="1128" t="s">
        <v>15</v>
      </c>
      <c r="E45" s="1148" t="s">
        <v>882</v>
      </c>
      <c r="F45" s="1151"/>
      <c r="G45" s="1131" t="s">
        <v>864</v>
      </c>
      <c r="H45" s="309" t="s">
        <v>886</v>
      </c>
      <c r="I45" s="309"/>
      <c r="J45" s="309"/>
      <c r="K45" s="328"/>
      <c r="L45" s="328"/>
      <c r="M45" s="328"/>
      <c r="N45" s="328"/>
      <c r="O45" s="328"/>
      <c r="P45" s="328"/>
      <c r="Q45" s="328"/>
      <c r="R45" s="328"/>
      <c r="S45" s="328"/>
      <c r="T45" s="328"/>
      <c r="U45" s="328"/>
      <c r="V45" s="328"/>
      <c r="W45" s="328"/>
      <c r="X45" s="328"/>
      <c r="Y45" s="328"/>
      <c r="Z45" s="328"/>
      <c r="AA45" s="328"/>
      <c r="AB45" s="328"/>
      <c r="AC45" s="328"/>
    </row>
    <row r="46">
      <c r="A46" s="328"/>
      <c r="B46" s="309" t="b">
        <v>0</v>
      </c>
      <c r="C46" s="1128">
        <v>14.0</v>
      </c>
      <c r="D46" s="1128" t="s">
        <v>15</v>
      </c>
      <c r="E46" s="1148" t="s">
        <v>887</v>
      </c>
      <c r="F46" s="1151"/>
      <c r="G46" s="1131" t="s">
        <v>864</v>
      </c>
      <c r="H46" s="309" t="s">
        <v>868</v>
      </c>
      <c r="I46" s="309"/>
      <c r="J46" s="309"/>
      <c r="K46" s="328"/>
      <c r="L46" s="328"/>
      <c r="M46" s="328"/>
      <c r="N46" s="328"/>
      <c r="O46" s="328"/>
      <c r="P46" s="328"/>
      <c r="Q46" s="328"/>
      <c r="R46" s="328"/>
      <c r="S46" s="328"/>
      <c r="T46" s="328"/>
      <c r="U46" s="328"/>
      <c r="V46" s="328"/>
      <c r="W46" s="328"/>
      <c r="X46" s="328"/>
      <c r="Y46" s="328"/>
      <c r="Z46" s="328"/>
      <c r="AA46" s="328"/>
      <c r="AB46" s="328"/>
      <c r="AC46" s="328"/>
    </row>
    <row r="47">
      <c r="A47" s="328"/>
      <c r="B47" s="309" t="b">
        <v>0</v>
      </c>
      <c r="C47" s="1128">
        <v>14.0</v>
      </c>
      <c r="D47" s="1128" t="s">
        <v>15</v>
      </c>
      <c r="E47" s="1148" t="s">
        <v>888</v>
      </c>
      <c r="F47" s="1151"/>
      <c r="G47" s="1131" t="s">
        <v>864</v>
      </c>
      <c r="H47" s="309" t="s">
        <v>870</v>
      </c>
      <c r="I47" s="309"/>
      <c r="J47" s="309"/>
      <c r="K47" s="328"/>
      <c r="L47" s="328"/>
      <c r="M47" s="328"/>
      <c r="N47" s="328"/>
      <c r="O47" s="328"/>
      <c r="P47" s="328"/>
      <c r="Q47" s="328"/>
      <c r="R47" s="328"/>
      <c r="S47" s="328"/>
      <c r="T47" s="328"/>
      <c r="U47" s="328"/>
      <c r="V47" s="328"/>
      <c r="W47" s="328"/>
      <c r="X47" s="328"/>
      <c r="Y47" s="328"/>
      <c r="Z47" s="328"/>
      <c r="AA47" s="328"/>
      <c r="AB47" s="328"/>
      <c r="AC47" s="328"/>
    </row>
    <row r="48">
      <c r="A48" s="328"/>
      <c r="B48" s="309" t="b">
        <v>0</v>
      </c>
      <c r="C48" s="1128">
        <v>14.0</v>
      </c>
      <c r="D48" s="1128" t="s">
        <v>15</v>
      </c>
      <c r="E48" s="1148" t="s">
        <v>889</v>
      </c>
      <c r="F48" s="1151"/>
      <c r="G48" s="1131" t="s">
        <v>864</v>
      </c>
      <c r="H48" s="309" t="s">
        <v>872</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09"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09"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09" t="b">
        <v>0</v>
      </c>
      <c r="C51" s="1128">
        <v>15.0</v>
      </c>
      <c r="D51" s="1128" t="s">
        <v>14</v>
      </c>
      <c r="E51" s="1148" t="s">
        <v>221</v>
      </c>
      <c r="F51" s="1149"/>
      <c r="G51" s="1131" t="s">
        <v>873</v>
      </c>
      <c r="H51" s="309" t="s">
        <v>220</v>
      </c>
      <c r="I51" s="309"/>
      <c r="J51" s="309"/>
      <c r="K51" s="328"/>
      <c r="L51" s="328"/>
      <c r="M51" s="328"/>
      <c r="N51" s="328"/>
      <c r="O51" s="328"/>
      <c r="P51" s="328"/>
      <c r="Q51" s="328"/>
      <c r="R51" s="328"/>
      <c r="S51" s="328"/>
      <c r="T51" s="328"/>
      <c r="U51" s="328"/>
      <c r="V51" s="328"/>
      <c r="W51" s="328"/>
      <c r="X51" s="328"/>
      <c r="Y51" s="328"/>
      <c r="Z51" s="328"/>
      <c r="AA51" s="328"/>
      <c r="AB51" s="328"/>
      <c r="AC51" s="328"/>
    </row>
    <row r="52">
      <c r="A52" s="328"/>
      <c r="B52" s="309" t="b">
        <v>0</v>
      </c>
      <c r="C52" s="1128">
        <v>15.0</v>
      </c>
      <c r="D52" s="1128" t="s">
        <v>14</v>
      </c>
      <c r="E52" s="1148" t="s">
        <v>886</v>
      </c>
      <c r="F52" s="1149"/>
      <c r="G52" s="1131" t="s">
        <v>873</v>
      </c>
      <c r="H52" s="309" t="s">
        <v>890</v>
      </c>
      <c r="I52" s="309"/>
      <c r="J52" s="309"/>
      <c r="K52" s="328"/>
      <c r="L52" s="328"/>
      <c r="M52" s="328"/>
      <c r="N52" s="328"/>
      <c r="O52" s="328"/>
      <c r="P52" s="328"/>
      <c r="Q52" s="328"/>
      <c r="R52" s="328"/>
      <c r="S52" s="328"/>
      <c r="T52" s="328"/>
      <c r="U52" s="328"/>
      <c r="V52" s="328"/>
      <c r="W52" s="328"/>
      <c r="X52" s="328"/>
      <c r="Y52" s="328"/>
      <c r="Z52" s="328"/>
      <c r="AA52" s="328"/>
      <c r="AB52" s="328"/>
      <c r="AC52" s="328"/>
    </row>
    <row r="53">
      <c r="A53" s="328"/>
      <c r="B53" s="309" t="b">
        <v>0</v>
      </c>
      <c r="C53" s="1128">
        <v>15.0</v>
      </c>
      <c r="D53" s="1128" t="s">
        <v>14</v>
      </c>
      <c r="E53" s="1148" t="s">
        <v>891</v>
      </c>
      <c r="F53" s="1149"/>
      <c r="G53" s="1131" t="s">
        <v>873</v>
      </c>
      <c r="H53" s="309" t="s">
        <v>868</v>
      </c>
      <c r="I53" s="309"/>
      <c r="J53" s="309"/>
      <c r="K53" s="328"/>
      <c r="L53" s="328"/>
      <c r="M53" s="328"/>
      <c r="N53" s="328"/>
      <c r="O53" s="328"/>
      <c r="P53" s="328"/>
      <c r="Q53" s="328"/>
      <c r="R53" s="328"/>
      <c r="S53" s="328"/>
      <c r="T53" s="328"/>
      <c r="U53" s="328"/>
      <c r="V53" s="328"/>
      <c r="W53" s="328"/>
      <c r="X53" s="328"/>
      <c r="Y53" s="328"/>
      <c r="Z53" s="328"/>
      <c r="AA53" s="328"/>
      <c r="AB53" s="328"/>
      <c r="AC53" s="328"/>
    </row>
    <row r="54">
      <c r="A54" s="328"/>
      <c r="B54" s="309" t="b">
        <v>0</v>
      </c>
      <c r="C54" s="1128">
        <v>15.0</v>
      </c>
      <c r="D54" s="1128" t="s">
        <v>14</v>
      </c>
      <c r="E54" s="1148" t="s">
        <v>892</v>
      </c>
      <c r="F54" s="1149"/>
      <c r="G54" s="1131" t="s">
        <v>873</v>
      </c>
      <c r="H54" s="309" t="s">
        <v>870</v>
      </c>
      <c r="I54" s="309"/>
      <c r="J54" s="309"/>
      <c r="K54" s="328"/>
      <c r="L54" s="328"/>
      <c r="M54" s="328"/>
      <c r="N54" s="328"/>
      <c r="O54" s="328"/>
      <c r="P54" s="328"/>
      <c r="Q54" s="328"/>
      <c r="R54" s="328"/>
      <c r="S54" s="328"/>
      <c r="T54" s="328"/>
      <c r="U54" s="328"/>
      <c r="V54" s="328"/>
      <c r="W54" s="328"/>
      <c r="X54" s="328"/>
      <c r="Y54" s="328"/>
      <c r="Z54" s="328"/>
      <c r="AA54" s="328"/>
      <c r="AB54" s="328"/>
      <c r="AC54" s="328"/>
    </row>
    <row r="55">
      <c r="A55" s="328"/>
      <c r="B55" s="309" t="b">
        <v>0</v>
      </c>
      <c r="C55" s="1128">
        <v>15.0</v>
      </c>
      <c r="D55" s="1128" t="s">
        <v>14</v>
      </c>
      <c r="E55" s="1148" t="s">
        <v>893</v>
      </c>
      <c r="F55" s="1149"/>
      <c r="G55" s="1131" t="s">
        <v>873</v>
      </c>
      <c r="H55" s="309" t="s">
        <v>872</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09"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09"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09" t="b">
        <v>0</v>
      </c>
      <c r="C58" s="1128">
        <v>16.0</v>
      </c>
      <c r="D58" s="1128" t="s">
        <v>13</v>
      </c>
      <c r="E58" s="1148" t="s">
        <v>220</v>
      </c>
      <c r="F58" s="1151"/>
      <c r="G58" s="1131" t="s">
        <v>864</v>
      </c>
      <c r="H58" s="309" t="s">
        <v>219</v>
      </c>
      <c r="I58" s="309"/>
      <c r="J58" s="309"/>
      <c r="K58" s="328"/>
      <c r="L58" s="328"/>
      <c r="M58" s="328"/>
      <c r="N58" s="328"/>
      <c r="O58" s="328"/>
      <c r="P58" s="328"/>
      <c r="Q58" s="328"/>
      <c r="R58" s="328"/>
      <c r="S58" s="328"/>
      <c r="T58" s="328"/>
      <c r="U58" s="328"/>
      <c r="V58" s="328"/>
      <c r="W58" s="328"/>
      <c r="X58" s="328"/>
      <c r="Y58" s="328"/>
      <c r="Z58" s="328"/>
      <c r="AA58" s="328"/>
      <c r="AB58" s="328"/>
      <c r="AC58" s="328"/>
    </row>
    <row r="59">
      <c r="A59" s="328"/>
      <c r="B59" s="309" t="b">
        <v>0</v>
      </c>
      <c r="C59" s="1128">
        <v>16.0</v>
      </c>
      <c r="D59" s="1128" t="s">
        <v>13</v>
      </c>
      <c r="E59" s="1148" t="s">
        <v>890</v>
      </c>
      <c r="F59" s="1151"/>
      <c r="G59" s="1131" t="s">
        <v>864</v>
      </c>
      <c r="H59" s="309" t="s">
        <v>894</v>
      </c>
      <c r="I59" s="309"/>
      <c r="J59" s="309"/>
      <c r="K59" s="328"/>
      <c r="L59" s="328"/>
      <c r="M59" s="328"/>
      <c r="N59" s="328"/>
      <c r="O59" s="328"/>
      <c r="P59" s="328"/>
      <c r="Q59" s="328"/>
      <c r="R59" s="328"/>
      <c r="S59" s="328"/>
      <c r="T59" s="328"/>
      <c r="U59" s="328"/>
      <c r="V59" s="328"/>
      <c r="W59" s="328"/>
      <c r="X59" s="328"/>
      <c r="Y59" s="328"/>
      <c r="Z59" s="328"/>
      <c r="AA59" s="328"/>
      <c r="AB59" s="328"/>
      <c r="AC59" s="328"/>
    </row>
    <row r="60">
      <c r="A60" s="328"/>
      <c r="B60" s="309" t="b">
        <v>0</v>
      </c>
      <c r="C60" s="1128">
        <v>16.0</v>
      </c>
      <c r="D60" s="1128" t="s">
        <v>13</v>
      </c>
      <c r="E60" s="1148" t="s">
        <v>895</v>
      </c>
      <c r="F60" s="1151"/>
      <c r="G60" s="1131" t="s">
        <v>864</v>
      </c>
      <c r="H60" s="309" t="s">
        <v>868</v>
      </c>
      <c r="I60" s="309"/>
      <c r="J60" s="309"/>
      <c r="K60" s="328"/>
      <c r="L60" s="328"/>
      <c r="M60" s="328"/>
      <c r="N60" s="328"/>
      <c r="O60" s="328"/>
      <c r="P60" s="328"/>
      <c r="Q60" s="328"/>
      <c r="R60" s="328"/>
      <c r="S60" s="328"/>
      <c r="T60" s="328"/>
      <c r="U60" s="328"/>
      <c r="V60" s="328"/>
      <c r="W60" s="328"/>
      <c r="X60" s="328"/>
      <c r="Y60" s="328"/>
      <c r="Z60" s="328"/>
      <c r="AA60" s="328"/>
      <c r="AB60" s="328"/>
      <c r="AC60" s="328"/>
    </row>
    <row r="61">
      <c r="A61" s="328"/>
      <c r="B61" s="309" t="b">
        <v>0</v>
      </c>
      <c r="C61" s="1128">
        <v>16.0</v>
      </c>
      <c r="D61" s="1128" t="s">
        <v>13</v>
      </c>
      <c r="E61" s="1148" t="s">
        <v>896</v>
      </c>
      <c r="F61" s="1151"/>
      <c r="G61" s="1131" t="s">
        <v>864</v>
      </c>
      <c r="H61" s="309" t="s">
        <v>870</v>
      </c>
      <c r="I61" s="309"/>
      <c r="J61" s="309"/>
      <c r="K61" s="328"/>
      <c r="L61" s="328"/>
      <c r="M61" s="328"/>
      <c r="N61" s="328"/>
      <c r="O61" s="328"/>
      <c r="P61" s="328"/>
      <c r="Q61" s="328"/>
      <c r="R61" s="328"/>
      <c r="S61" s="328"/>
      <c r="T61" s="328"/>
      <c r="U61" s="328"/>
      <c r="V61" s="328"/>
      <c r="W61" s="328"/>
      <c r="X61" s="328"/>
      <c r="Y61" s="328"/>
      <c r="Z61" s="328"/>
      <c r="AA61" s="328"/>
      <c r="AB61" s="328"/>
      <c r="AC61" s="328"/>
    </row>
    <row r="62">
      <c r="A62" s="328"/>
      <c r="B62" s="309" t="b">
        <v>0</v>
      </c>
      <c r="C62" s="1128">
        <v>16.0</v>
      </c>
      <c r="D62" s="1128" t="s">
        <v>13</v>
      </c>
      <c r="E62" s="1148" t="s">
        <v>897</v>
      </c>
      <c r="F62" s="1151"/>
      <c r="G62" s="1131" t="s">
        <v>864</v>
      </c>
      <c r="H62" s="309" t="s">
        <v>872</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09"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09"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09" t="b">
        <v>0</v>
      </c>
      <c r="C65" s="1128">
        <v>17.0</v>
      </c>
      <c r="D65" s="1128" t="s">
        <v>12</v>
      </c>
      <c r="E65" s="1148" t="s">
        <v>219</v>
      </c>
      <c r="F65" s="1149"/>
      <c r="G65" s="1131" t="s">
        <v>873</v>
      </c>
      <c r="H65" s="309" t="s">
        <v>218</v>
      </c>
      <c r="I65" s="309"/>
      <c r="J65" s="309"/>
      <c r="K65" s="328"/>
      <c r="L65" s="328"/>
      <c r="M65" s="328"/>
      <c r="N65" s="328"/>
      <c r="O65" s="328"/>
      <c r="P65" s="328"/>
      <c r="Q65" s="328"/>
      <c r="R65" s="328"/>
      <c r="S65" s="328"/>
      <c r="T65" s="328"/>
      <c r="U65" s="328"/>
      <c r="V65" s="328"/>
      <c r="W65" s="328"/>
      <c r="X65" s="328"/>
      <c r="Y65" s="328"/>
      <c r="Z65" s="328"/>
      <c r="AA65" s="328"/>
      <c r="AB65" s="328"/>
      <c r="AC65" s="328"/>
    </row>
    <row r="66">
      <c r="A66" s="328"/>
      <c r="B66" s="309" t="b">
        <v>0</v>
      </c>
      <c r="C66" s="1128">
        <v>17.0</v>
      </c>
      <c r="D66" s="1128" t="s">
        <v>12</v>
      </c>
      <c r="E66" s="1148" t="s">
        <v>894</v>
      </c>
      <c r="F66" s="1149"/>
      <c r="G66" s="1131" t="s">
        <v>873</v>
      </c>
      <c r="H66" s="309" t="s">
        <v>898</v>
      </c>
      <c r="I66" s="309"/>
      <c r="J66" s="309"/>
      <c r="K66" s="328"/>
      <c r="L66" s="328"/>
      <c r="M66" s="328"/>
      <c r="N66" s="328"/>
      <c r="O66" s="328"/>
      <c r="P66" s="328"/>
      <c r="Q66" s="328"/>
      <c r="R66" s="328"/>
      <c r="S66" s="328"/>
      <c r="T66" s="328"/>
      <c r="U66" s="328"/>
      <c r="V66" s="328"/>
      <c r="W66" s="328"/>
      <c r="X66" s="328"/>
      <c r="Y66" s="328"/>
      <c r="Z66" s="328"/>
      <c r="AA66" s="328"/>
      <c r="AB66" s="328"/>
      <c r="AC66" s="328"/>
    </row>
    <row r="67">
      <c r="A67" s="328"/>
      <c r="B67" s="309" t="b">
        <v>0</v>
      </c>
      <c r="C67" s="1128">
        <v>17.0</v>
      </c>
      <c r="D67" s="1128" t="s">
        <v>12</v>
      </c>
      <c r="E67" s="1148" t="s">
        <v>899</v>
      </c>
      <c r="F67" s="1149"/>
      <c r="G67" s="1131" t="s">
        <v>873</v>
      </c>
      <c r="H67" s="309" t="s">
        <v>868</v>
      </c>
      <c r="I67" s="309"/>
      <c r="J67" s="309"/>
      <c r="K67" s="328"/>
      <c r="L67" s="328"/>
      <c r="M67" s="328"/>
      <c r="N67" s="328"/>
      <c r="O67" s="328"/>
      <c r="P67" s="328"/>
      <c r="Q67" s="328"/>
      <c r="R67" s="328"/>
      <c r="S67" s="328"/>
      <c r="T67" s="328"/>
      <c r="U67" s="328"/>
      <c r="V67" s="328"/>
      <c r="W67" s="328"/>
      <c r="X67" s="328"/>
      <c r="Y67" s="328"/>
      <c r="Z67" s="328"/>
      <c r="AA67" s="328"/>
      <c r="AB67" s="328"/>
      <c r="AC67" s="328"/>
    </row>
    <row r="68">
      <c r="A68" s="328"/>
      <c r="B68" s="309" t="b">
        <v>0</v>
      </c>
      <c r="C68" s="1128">
        <v>17.0</v>
      </c>
      <c r="D68" s="1128" t="s">
        <v>12</v>
      </c>
      <c r="E68" s="1148" t="s">
        <v>900</v>
      </c>
      <c r="F68" s="1149"/>
      <c r="G68" s="1131" t="s">
        <v>873</v>
      </c>
      <c r="H68" s="309" t="s">
        <v>870</v>
      </c>
      <c r="I68" s="309"/>
      <c r="J68" s="309"/>
      <c r="K68" s="328"/>
      <c r="L68" s="328"/>
      <c r="M68" s="328"/>
      <c r="N68" s="328"/>
      <c r="O68" s="328"/>
      <c r="P68" s="328"/>
      <c r="Q68" s="328"/>
      <c r="R68" s="328"/>
      <c r="S68" s="328"/>
      <c r="T68" s="328"/>
      <c r="U68" s="328"/>
      <c r="V68" s="328"/>
      <c r="W68" s="328"/>
      <c r="X68" s="328"/>
      <c r="Y68" s="328"/>
      <c r="Z68" s="328"/>
      <c r="AA68" s="328"/>
      <c r="AB68" s="328"/>
      <c r="AC68" s="328"/>
    </row>
    <row r="69">
      <c r="A69" s="328"/>
      <c r="B69" s="309" t="b">
        <v>0</v>
      </c>
      <c r="C69" s="1128">
        <v>17.0</v>
      </c>
      <c r="D69" s="1128" t="s">
        <v>12</v>
      </c>
      <c r="E69" s="1148" t="s">
        <v>901</v>
      </c>
      <c r="F69" s="1149"/>
      <c r="G69" s="1131" t="s">
        <v>873</v>
      </c>
      <c r="H69" s="309" t="s">
        <v>872</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09"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09"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09" t="b">
        <v>1</v>
      </c>
      <c r="C72" s="1128">
        <v>18.0</v>
      </c>
      <c r="D72" s="1128" t="s">
        <v>11</v>
      </c>
      <c r="E72" s="1129" t="s">
        <v>218</v>
      </c>
      <c r="F72" s="1151"/>
      <c r="G72" s="1131" t="s">
        <v>864</v>
      </c>
      <c r="H72" s="309" t="s">
        <v>217</v>
      </c>
      <c r="I72" s="309"/>
      <c r="J72" s="309"/>
      <c r="K72" s="328"/>
      <c r="L72" s="328"/>
      <c r="M72" s="328"/>
      <c r="N72" s="328"/>
      <c r="O72" s="328"/>
      <c r="P72" s="328"/>
      <c r="Q72" s="328"/>
      <c r="R72" s="328"/>
      <c r="S72" s="328"/>
      <c r="T72" s="328"/>
      <c r="U72" s="328"/>
      <c r="V72" s="328"/>
      <c r="W72" s="328"/>
      <c r="X72" s="328"/>
      <c r="Y72" s="328"/>
      <c r="Z72" s="328"/>
      <c r="AA72" s="328"/>
      <c r="AB72" s="328"/>
      <c r="AC72" s="328"/>
    </row>
    <row r="73">
      <c r="A73" s="328"/>
      <c r="B73" s="309" t="b">
        <v>0</v>
      </c>
      <c r="C73" s="1128">
        <v>18.0</v>
      </c>
      <c r="D73" s="1128" t="s">
        <v>11</v>
      </c>
      <c r="E73" s="1148" t="s">
        <v>898</v>
      </c>
      <c r="F73" s="1151"/>
      <c r="G73" s="1131" t="s">
        <v>864</v>
      </c>
      <c r="H73" s="309" t="s">
        <v>902</v>
      </c>
      <c r="I73" s="309"/>
      <c r="J73" s="309"/>
      <c r="K73" s="328"/>
      <c r="L73" s="328"/>
      <c r="M73" s="328"/>
      <c r="N73" s="328"/>
      <c r="O73" s="328"/>
      <c r="P73" s="328"/>
      <c r="Q73" s="328"/>
      <c r="R73" s="328"/>
      <c r="S73" s="328"/>
      <c r="T73" s="328"/>
      <c r="U73" s="328"/>
      <c r="V73" s="328"/>
      <c r="W73" s="328"/>
      <c r="X73" s="328"/>
      <c r="Y73" s="328"/>
      <c r="Z73" s="328"/>
      <c r="AA73" s="328"/>
      <c r="AB73" s="328"/>
      <c r="AC73" s="328"/>
    </row>
    <row r="74">
      <c r="A74" s="328"/>
      <c r="B74" s="309" t="b">
        <v>1</v>
      </c>
      <c r="C74" s="1128">
        <v>18.0</v>
      </c>
      <c r="D74" s="1128" t="s">
        <v>11</v>
      </c>
      <c r="E74" s="1129" t="s">
        <v>903</v>
      </c>
      <c r="F74" s="1151"/>
      <c r="G74" s="1131" t="s">
        <v>864</v>
      </c>
      <c r="H74" s="309" t="s">
        <v>868</v>
      </c>
      <c r="I74" s="309"/>
      <c r="J74" s="309"/>
      <c r="K74" s="328"/>
      <c r="L74" s="328"/>
      <c r="M74" s="328"/>
      <c r="N74" s="328"/>
      <c r="O74" s="328"/>
      <c r="P74" s="328"/>
      <c r="Q74" s="328"/>
      <c r="R74" s="328"/>
      <c r="S74" s="328"/>
      <c r="T74" s="328"/>
      <c r="U74" s="328"/>
      <c r="V74" s="328"/>
      <c r="W74" s="328"/>
      <c r="X74" s="328"/>
      <c r="Y74" s="328"/>
      <c r="Z74" s="328"/>
      <c r="AA74" s="328"/>
      <c r="AB74" s="328"/>
      <c r="AC74" s="328"/>
    </row>
    <row r="75">
      <c r="A75" s="328"/>
      <c r="B75" s="309" t="b">
        <v>1</v>
      </c>
      <c r="C75" s="1128">
        <v>18.0</v>
      </c>
      <c r="D75" s="1128" t="s">
        <v>11</v>
      </c>
      <c r="E75" s="1129" t="s">
        <v>904</v>
      </c>
      <c r="F75" s="1151"/>
      <c r="G75" s="1131" t="s">
        <v>864</v>
      </c>
      <c r="H75" s="309" t="s">
        <v>870</v>
      </c>
      <c r="I75" s="309"/>
      <c r="J75" s="309"/>
      <c r="K75" s="328"/>
      <c r="L75" s="328"/>
      <c r="M75" s="328"/>
      <c r="N75" s="328"/>
      <c r="O75" s="328"/>
      <c r="P75" s="328"/>
      <c r="Q75" s="328"/>
      <c r="R75" s="328"/>
      <c r="S75" s="328"/>
      <c r="T75" s="328"/>
      <c r="U75" s="328"/>
      <c r="V75" s="328"/>
      <c r="W75" s="328"/>
      <c r="X75" s="328"/>
      <c r="Y75" s="328"/>
      <c r="Z75" s="328"/>
      <c r="AA75" s="328"/>
      <c r="AB75" s="328"/>
      <c r="AC75" s="328"/>
    </row>
    <row r="76">
      <c r="A76" s="328"/>
      <c r="B76" s="309" t="b">
        <v>1</v>
      </c>
      <c r="C76" s="1128">
        <v>18.0</v>
      </c>
      <c r="D76" s="1128" t="s">
        <v>11</v>
      </c>
      <c r="E76" s="1129" t="s">
        <v>905</v>
      </c>
      <c r="F76" s="1151"/>
      <c r="G76" s="1131" t="s">
        <v>864</v>
      </c>
      <c r="H76" s="309" t="s">
        <v>872</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09"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09"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09" t="b">
        <v>0</v>
      </c>
      <c r="C79" s="1128">
        <v>19.0</v>
      </c>
      <c r="D79" s="1128" t="s">
        <v>10</v>
      </c>
      <c r="E79" s="1129" t="s">
        <v>217</v>
      </c>
      <c r="F79" s="1149"/>
      <c r="G79" s="1131" t="s">
        <v>873</v>
      </c>
      <c r="H79" s="309" t="s">
        <v>216</v>
      </c>
      <c r="I79" s="309"/>
      <c r="J79" s="309"/>
      <c r="K79" s="328"/>
      <c r="L79" s="328"/>
      <c r="M79" s="328"/>
      <c r="N79" s="328"/>
      <c r="O79" s="328"/>
      <c r="P79" s="328"/>
      <c r="Q79" s="328"/>
      <c r="R79" s="328"/>
      <c r="S79" s="328"/>
      <c r="T79" s="328"/>
      <c r="U79" s="328"/>
      <c r="V79" s="328"/>
      <c r="W79" s="328"/>
      <c r="X79" s="328"/>
      <c r="Y79" s="328"/>
      <c r="Z79" s="328"/>
      <c r="AA79" s="328"/>
      <c r="AB79" s="328"/>
      <c r="AC79" s="328"/>
    </row>
    <row r="80">
      <c r="A80" s="328"/>
      <c r="B80" s="309" t="b">
        <v>0</v>
      </c>
      <c r="C80" s="1128">
        <v>19.0</v>
      </c>
      <c r="D80" s="1128" t="s">
        <v>10</v>
      </c>
      <c r="E80" s="1129" t="s">
        <v>902</v>
      </c>
      <c r="F80" s="1149"/>
      <c r="G80" s="1131" t="s">
        <v>873</v>
      </c>
      <c r="H80" s="309" t="s">
        <v>906</v>
      </c>
      <c r="I80" s="309"/>
      <c r="J80" s="309"/>
      <c r="K80" s="328"/>
      <c r="L80" s="328"/>
      <c r="M80" s="328"/>
      <c r="N80" s="328"/>
      <c r="O80" s="328"/>
      <c r="P80" s="328"/>
      <c r="Q80" s="328"/>
      <c r="R80" s="328"/>
      <c r="S80" s="328"/>
      <c r="T80" s="328"/>
      <c r="U80" s="328"/>
      <c r="V80" s="328"/>
      <c r="W80" s="328"/>
      <c r="X80" s="328"/>
      <c r="Y80" s="328"/>
      <c r="Z80" s="328"/>
      <c r="AA80" s="328"/>
      <c r="AB80" s="328"/>
      <c r="AC80" s="328"/>
    </row>
    <row r="81">
      <c r="A81" s="328"/>
      <c r="B81" s="309" t="b">
        <v>0</v>
      </c>
      <c r="C81" s="1128">
        <v>19.0</v>
      </c>
      <c r="D81" s="1128" t="s">
        <v>10</v>
      </c>
      <c r="E81" s="1129" t="s">
        <v>907</v>
      </c>
      <c r="F81" s="1149"/>
      <c r="G81" s="1131" t="s">
        <v>873</v>
      </c>
      <c r="H81" s="309" t="s">
        <v>868</v>
      </c>
      <c r="I81" s="309"/>
      <c r="J81" s="309"/>
      <c r="K81" s="328"/>
      <c r="L81" s="328"/>
      <c r="M81" s="328"/>
      <c r="N81" s="328"/>
      <c r="O81" s="328"/>
      <c r="P81" s="328"/>
      <c r="Q81" s="328"/>
      <c r="R81" s="328"/>
      <c r="S81" s="328"/>
      <c r="T81" s="328"/>
      <c r="U81" s="328"/>
      <c r="V81" s="328"/>
      <c r="W81" s="328"/>
      <c r="X81" s="328"/>
      <c r="Y81" s="328"/>
      <c r="Z81" s="328"/>
      <c r="AA81" s="328"/>
      <c r="AB81" s="328"/>
      <c r="AC81" s="328"/>
    </row>
    <row r="82">
      <c r="A82" s="328"/>
      <c r="B82" s="309" t="b">
        <v>0</v>
      </c>
      <c r="C82" s="1128">
        <v>19.0</v>
      </c>
      <c r="D82" s="1128" t="s">
        <v>10</v>
      </c>
      <c r="E82" s="1129" t="s">
        <v>908</v>
      </c>
      <c r="F82" s="1149"/>
      <c r="G82" s="1131" t="s">
        <v>873</v>
      </c>
      <c r="H82" s="309" t="s">
        <v>870</v>
      </c>
      <c r="I82" s="309"/>
      <c r="J82" s="309"/>
      <c r="K82" s="328"/>
      <c r="L82" s="328"/>
      <c r="M82" s="328"/>
      <c r="N82" s="328"/>
      <c r="O82" s="328"/>
      <c r="P82" s="328"/>
      <c r="Q82" s="328"/>
      <c r="R82" s="328"/>
      <c r="S82" s="328"/>
      <c r="T82" s="328"/>
      <c r="U82" s="328"/>
      <c r="V82" s="328"/>
      <c r="W82" s="328"/>
      <c r="X82" s="328"/>
      <c r="Y82" s="328"/>
      <c r="Z82" s="328"/>
      <c r="AA82" s="328"/>
      <c r="AB82" s="328"/>
      <c r="AC82" s="328"/>
    </row>
    <row r="83">
      <c r="A83" s="328"/>
      <c r="B83" s="309" t="b">
        <v>0</v>
      </c>
      <c r="C83" s="1128">
        <v>19.0</v>
      </c>
      <c r="D83" s="1128" t="s">
        <v>10</v>
      </c>
      <c r="E83" s="1129" t="s">
        <v>909</v>
      </c>
      <c r="F83" s="1149"/>
      <c r="G83" s="1131" t="s">
        <v>873</v>
      </c>
      <c r="H83" s="309" t="s">
        <v>872</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09"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09"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09" t="b">
        <v>0</v>
      </c>
      <c r="C86" s="1128">
        <v>20.0</v>
      </c>
      <c r="D86" s="1128" t="s">
        <v>9</v>
      </c>
      <c r="E86" s="1129" t="s">
        <v>216</v>
      </c>
      <c r="F86" s="1151"/>
      <c r="G86" s="1131" t="s">
        <v>864</v>
      </c>
      <c r="H86" s="309" t="s">
        <v>215</v>
      </c>
      <c r="I86" s="309"/>
      <c r="J86" s="309"/>
      <c r="K86" s="328"/>
      <c r="L86" s="328"/>
      <c r="M86" s="328"/>
      <c r="N86" s="328"/>
      <c r="O86" s="328"/>
      <c r="P86" s="328"/>
      <c r="Q86" s="328"/>
      <c r="R86" s="328"/>
      <c r="S86" s="328"/>
      <c r="T86" s="328"/>
      <c r="U86" s="328"/>
      <c r="V86" s="328"/>
      <c r="W86" s="328"/>
      <c r="X86" s="328"/>
      <c r="Y86" s="328"/>
      <c r="Z86" s="328"/>
      <c r="AA86" s="328"/>
      <c r="AB86" s="328"/>
      <c r="AC86" s="328"/>
    </row>
    <row r="87">
      <c r="A87" s="328"/>
      <c r="B87" s="309" t="b">
        <v>0</v>
      </c>
      <c r="C87" s="1128">
        <v>20.0</v>
      </c>
      <c r="D87" s="1128" t="s">
        <v>9</v>
      </c>
      <c r="E87" s="1129" t="s">
        <v>906</v>
      </c>
      <c r="F87" s="1151"/>
      <c r="G87" s="1131" t="s">
        <v>864</v>
      </c>
      <c r="H87" s="309" t="s">
        <v>910</v>
      </c>
      <c r="I87" s="309"/>
      <c r="J87" s="309"/>
      <c r="K87" s="328"/>
      <c r="L87" s="328"/>
      <c r="M87" s="328"/>
      <c r="N87" s="328"/>
      <c r="O87" s="328"/>
      <c r="P87" s="328"/>
      <c r="Q87" s="328"/>
      <c r="R87" s="328"/>
      <c r="S87" s="328"/>
      <c r="T87" s="328"/>
      <c r="U87" s="328"/>
      <c r="V87" s="328"/>
      <c r="W87" s="328"/>
      <c r="X87" s="328"/>
      <c r="Y87" s="328"/>
      <c r="Z87" s="328"/>
      <c r="AA87" s="328"/>
      <c r="AB87" s="328"/>
      <c r="AC87" s="328"/>
    </row>
    <row r="88">
      <c r="A88" s="328"/>
      <c r="B88" s="309" t="b">
        <v>0</v>
      </c>
      <c r="C88" s="1128">
        <v>20.0</v>
      </c>
      <c r="D88" s="1128" t="s">
        <v>9</v>
      </c>
      <c r="E88" s="1129" t="s">
        <v>911</v>
      </c>
      <c r="F88" s="1151"/>
      <c r="G88" s="1131" t="s">
        <v>864</v>
      </c>
      <c r="H88" s="309" t="s">
        <v>868</v>
      </c>
      <c r="I88" s="309"/>
      <c r="J88" s="309"/>
      <c r="K88" s="328"/>
      <c r="L88" s="328"/>
      <c r="M88" s="328"/>
      <c r="N88" s="328"/>
      <c r="O88" s="328"/>
      <c r="P88" s="328"/>
      <c r="Q88" s="328"/>
      <c r="R88" s="328"/>
      <c r="S88" s="328"/>
      <c r="T88" s="328"/>
      <c r="U88" s="328"/>
      <c r="V88" s="328"/>
      <c r="W88" s="328"/>
      <c r="X88" s="328"/>
      <c r="Y88" s="328"/>
      <c r="Z88" s="328"/>
      <c r="AA88" s="328"/>
      <c r="AB88" s="328"/>
      <c r="AC88" s="328"/>
    </row>
    <row r="89">
      <c r="A89" s="328"/>
      <c r="B89" s="309" t="b">
        <v>0</v>
      </c>
      <c r="C89" s="1128">
        <v>20.0</v>
      </c>
      <c r="D89" s="1128" t="s">
        <v>9</v>
      </c>
      <c r="E89" s="1129" t="s">
        <v>912</v>
      </c>
      <c r="F89" s="1151"/>
      <c r="G89" s="1131" t="s">
        <v>864</v>
      </c>
      <c r="H89" s="309" t="s">
        <v>870</v>
      </c>
      <c r="I89" s="309"/>
      <c r="J89" s="309"/>
      <c r="K89" s="328"/>
      <c r="L89" s="328"/>
      <c r="M89" s="328"/>
      <c r="N89" s="328"/>
      <c r="O89" s="328"/>
      <c r="P89" s="328"/>
      <c r="Q89" s="328"/>
      <c r="R89" s="328"/>
      <c r="S89" s="328"/>
      <c r="T89" s="328"/>
      <c r="U89" s="328"/>
      <c r="V89" s="328"/>
      <c r="W89" s="328"/>
      <c r="X89" s="328"/>
      <c r="Y89" s="328"/>
      <c r="Z89" s="328"/>
      <c r="AA89" s="328"/>
      <c r="AB89" s="328"/>
      <c r="AC89" s="328"/>
    </row>
    <row r="90">
      <c r="A90" s="328"/>
      <c r="B90" s="309" t="b">
        <v>0</v>
      </c>
      <c r="C90" s="1128">
        <v>20.0</v>
      </c>
      <c r="D90" s="1128" t="s">
        <v>9</v>
      </c>
      <c r="E90" s="1129" t="s">
        <v>913</v>
      </c>
      <c r="F90" s="1151"/>
      <c r="G90" s="1131" t="s">
        <v>864</v>
      </c>
      <c r="H90" s="309" t="s">
        <v>872</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09"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09"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09" t="b">
        <v>0</v>
      </c>
      <c r="C93" s="1128">
        <v>21.0</v>
      </c>
      <c r="D93" s="1128" t="s">
        <v>8</v>
      </c>
      <c r="E93" s="1129" t="s">
        <v>215</v>
      </c>
      <c r="F93" s="1149"/>
      <c r="G93" s="1131" t="s">
        <v>873</v>
      </c>
      <c r="H93" s="309" t="s">
        <v>914</v>
      </c>
      <c r="I93" s="309"/>
      <c r="J93" s="309"/>
      <c r="K93" s="328"/>
      <c r="L93" s="328"/>
      <c r="M93" s="328"/>
      <c r="N93" s="328"/>
      <c r="O93" s="328"/>
      <c r="P93" s="328"/>
      <c r="Q93" s="328"/>
      <c r="R93" s="328"/>
      <c r="S93" s="328"/>
      <c r="T93" s="328"/>
      <c r="U93" s="328"/>
      <c r="V93" s="328"/>
      <c r="W93" s="328"/>
      <c r="X93" s="328"/>
      <c r="Y93" s="328"/>
      <c r="Z93" s="328"/>
      <c r="AA93" s="328"/>
      <c r="AB93" s="328"/>
      <c r="AC93" s="328"/>
    </row>
    <row r="94">
      <c r="A94" s="328"/>
      <c r="B94" s="309" t="b">
        <v>0</v>
      </c>
      <c r="C94" s="1128">
        <v>21.0</v>
      </c>
      <c r="D94" s="1128" t="s">
        <v>8</v>
      </c>
      <c r="E94" s="1129" t="s">
        <v>910</v>
      </c>
      <c r="F94" s="1149"/>
      <c r="G94" s="1131" t="s">
        <v>873</v>
      </c>
      <c r="H94" s="309" t="s">
        <v>915</v>
      </c>
      <c r="I94" s="309"/>
      <c r="J94" s="309"/>
      <c r="K94" s="328"/>
      <c r="L94" s="328"/>
      <c r="M94" s="328"/>
      <c r="N94" s="328"/>
      <c r="O94" s="328"/>
      <c r="P94" s="328"/>
      <c r="Q94" s="328"/>
      <c r="R94" s="328"/>
      <c r="S94" s="328"/>
      <c r="T94" s="328"/>
      <c r="U94" s="328"/>
      <c r="V94" s="328"/>
      <c r="W94" s="328"/>
      <c r="X94" s="328"/>
      <c r="Y94" s="328"/>
      <c r="Z94" s="328"/>
      <c r="AA94" s="328"/>
      <c r="AB94" s="328"/>
      <c r="AC94" s="328"/>
    </row>
    <row r="95">
      <c r="A95" s="328"/>
      <c r="B95" s="309" t="b">
        <v>0</v>
      </c>
      <c r="C95" s="1128">
        <v>21.0</v>
      </c>
      <c r="D95" s="1128" t="s">
        <v>8</v>
      </c>
      <c r="E95" s="1129" t="s">
        <v>916</v>
      </c>
      <c r="F95" s="1149"/>
      <c r="G95" s="1131" t="s">
        <v>873</v>
      </c>
      <c r="H95" s="309" t="s">
        <v>868</v>
      </c>
      <c r="I95" s="309"/>
      <c r="J95" s="309"/>
      <c r="K95" s="328"/>
      <c r="L95" s="328"/>
      <c r="M95" s="328"/>
      <c r="N95" s="328"/>
      <c r="O95" s="328"/>
      <c r="P95" s="328"/>
      <c r="Q95" s="328"/>
      <c r="R95" s="328"/>
      <c r="S95" s="328"/>
      <c r="T95" s="328"/>
      <c r="U95" s="328"/>
      <c r="V95" s="328"/>
      <c r="W95" s="328"/>
      <c r="X95" s="328"/>
      <c r="Y95" s="328"/>
      <c r="Z95" s="328"/>
      <c r="AA95" s="328"/>
      <c r="AB95" s="328"/>
      <c r="AC95" s="328"/>
    </row>
    <row r="96">
      <c r="A96" s="328"/>
      <c r="B96" s="309" t="b">
        <v>0</v>
      </c>
      <c r="C96" s="1128">
        <v>21.0</v>
      </c>
      <c r="D96" s="1128" t="s">
        <v>8</v>
      </c>
      <c r="E96" s="1129" t="s">
        <v>917</v>
      </c>
      <c r="F96" s="1149"/>
      <c r="G96" s="1131" t="s">
        <v>873</v>
      </c>
      <c r="H96" s="309" t="s">
        <v>870</v>
      </c>
      <c r="I96" s="309"/>
      <c r="J96" s="309"/>
      <c r="K96" s="328"/>
      <c r="L96" s="328"/>
      <c r="M96" s="328"/>
      <c r="N96" s="328"/>
      <c r="O96" s="328"/>
      <c r="P96" s="328"/>
      <c r="Q96" s="328"/>
      <c r="R96" s="328"/>
      <c r="S96" s="328"/>
      <c r="T96" s="328"/>
      <c r="U96" s="328"/>
      <c r="V96" s="328"/>
      <c r="W96" s="328"/>
      <c r="X96" s="328"/>
      <c r="Y96" s="328"/>
      <c r="Z96" s="328"/>
      <c r="AA96" s="328"/>
      <c r="AB96" s="328"/>
      <c r="AC96" s="328"/>
    </row>
    <row r="97">
      <c r="A97" s="328"/>
      <c r="B97" s="309" t="b">
        <v>0</v>
      </c>
      <c r="C97" s="1128">
        <v>21.0</v>
      </c>
      <c r="D97" s="1128" t="s">
        <v>8</v>
      </c>
      <c r="E97" s="1129" t="s">
        <v>918</v>
      </c>
      <c r="F97" s="1149"/>
      <c r="G97" s="1131" t="s">
        <v>873</v>
      </c>
      <c r="H97" s="309" t="s">
        <v>872</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09"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09"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09"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09"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09" t="b">
        <v>0</v>
      </c>
      <c r="C102" s="1128">
        <v>22.0</v>
      </c>
      <c r="D102" s="1128"/>
      <c r="E102" s="1129" t="s">
        <v>919</v>
      </c>
      <c r="F102" s="1153"/>
      <c r="G102" s="1131" t="s">
        <v>920</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09" t="b">
        <v>0</v>
      </c>
      <c r="C103" s="1128">
        <v>23.0</v>
      </c>
      <c r="D103" s="1128"/>
      <c r="E103" s="1129" t="s">
        <v>921</v>
      </c>
      <c r="F103" s="1154"/>
      <c r="G103" s="1131" t="s">
        <v>922</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09" t="b">
        <v>0</v>
      </c>
      <c r="C104" s="1128">
        <v>24.0</v>
      </c>
      <c r="D104" s="1128"/>
      <c r="E104" s="1129" t="s">
        <v>923</v>
      </c>
      <c r="F104" s="1155"/>
      <c r="G104" s="1131" t="s">
        <v>924</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09" t="b">
        <v>0</v>
      </c>
      <c r="C105" s="1128">
        <v>25.0</v>
      </c>
      <c r="D105" s="1128"/>
      <c r="E105" s="1129" t="s">
        <v>925</v>
      </c>
      <c r="F105" s="1156"/>
      <c r="G105" s="1131" t="s">
        <v>926</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09" t="b">
        <v>0</v>
      </c>
      <c r="C106" s="1128">
        <v>26.0</v>
      </c>
      <c r="D106" s="1128"/>
      <c r="E106" s="1129" t="s">
        <v>914</v>
      </c>
      <c r="F106" s="1157"/>
      <c r="G106" s="1131" t="s">
        <v>927</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09" t="b">
        <v>0</v>
      </c>
      <c r="C107" s="1128">
        <v>27.0</v>
      </c>
      <c r="D107" s="1128"/>
      <c r="E107" s="1129" t="s">
        <v>915</v>
      </c>
      <c r="F107" s="1157"/>
      <c r="G107" s="1131" t="s">
        <v>927</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09" t="b">
        <v>0</v>
      </c>
      <c r="C108" s="1128">
        <v>28.0</v>
      </c>
      <c r="D108" s="1128"/>
      <c r="E108" s="1129" t="s">
        <v>868</v>
      </c>
      <c r="F108" s="1157"/>
      <c r="G108" s="1131" t="s">
        <v>927</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09" t="b">
        <v>0</v>
      </c>
      <c r="C109" s="1128">
        <v>29.0</v>
      </c>
      <c r="D109" s="1128"/>
      <c r="E109" s="1129" t="s">
        <v>870</v>
      </c>
      <c r="F109" s="1157"/>
      <c r="G109" s="1131" t="s">
        <v>927</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09" t="b">
        <v>0</v>
      </c>
      <c r="C110" s="1128">
        <v>30.0</v>
      </c>
      <c r="D110" s="1128"/>
      <c r="E110" s="1129" t="s">
        <v>872</v>
      </c>
      <c r="F110" s="1157"/>
      <c r="G110" s="1131" t="s">
        <v>927</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09"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09" t="b">
        <v>0</v>
      </c>
      <c r="C112" s="1128"/>
      <c r="D112" s="1128"/>
      <c r="E112" s="1158" t="s">
        <v>928</v>
      </c>
      <c r="F112" s="1159"/>
      <c r="G112" s="1131" t="s">
        <v>929</v>
      </c>
      <c r="H112" s="309"/>
      <c r="I112" s="309"/>
      <c r="J112" s="309"/>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09"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09"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09"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09"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09"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09"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09"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09"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09"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09"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09"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09"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09"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09"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09"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09"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09"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09"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09"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09"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09"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09"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09"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09"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09"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09"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09"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09"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09"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09"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09"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09"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09"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09"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09"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09"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09"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09"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09"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09"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09"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09"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09"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09"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09"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09"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09"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09"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09"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09"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09"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09"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09"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09"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09"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09"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09"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09"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09"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09"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09"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09"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09"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09"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09"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09"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09"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09"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09"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09"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09"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09"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09"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09"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09"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09"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09"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09"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09"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09"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09"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09"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09"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09"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09"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09"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09"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09"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09"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09"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09"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09"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09"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09"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09"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09"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09"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09"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09"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09"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09"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09"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09"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09"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09"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09"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09"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09"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09"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09"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09"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09"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09"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09"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09"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09"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09"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09"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09"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09"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09"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09"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09"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09"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09"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09"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09"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09"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09"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09"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09"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09"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09"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09"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09"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09"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09"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09"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09"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09"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09"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09"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09"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09"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09"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09"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09"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09"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09"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09"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09"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09"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09"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09"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09"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09"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09"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09"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09"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09"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09"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09"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09"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09"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09"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09"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09"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09"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09"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09"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09"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09"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09"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09"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09"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09"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09"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09"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09"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09"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09"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09"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09"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09"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09"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09"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09"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09"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09"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09"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09"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09"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09"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09"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09"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09"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09"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09"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09"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09"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09"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09"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09"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09"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09"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09"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09"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09"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09"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09"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09"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09"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09"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09"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09"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09"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09"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09"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09"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09"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09"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09"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09"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09"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09"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09"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09"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09"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09"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09"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09"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09"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09"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09"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09"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09"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09"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09"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09"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09"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09"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09"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09"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09"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09"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09"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09"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09"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09"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09"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09"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09"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09"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09"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09"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09"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09"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09"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09"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09"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09"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09"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09"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09"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09"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09"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09"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09"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09"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09"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09"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09"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09"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09"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09"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09"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09"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09"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09"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09"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09"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09"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09"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09"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09"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09"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09"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09"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09"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09"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09"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09"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09"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09"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09"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09"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09"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09"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09"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09"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09"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09"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09"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09"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09"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09"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09"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09"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09"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09"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09"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09"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09"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09"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09"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09"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09"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09"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09"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09"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09"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09"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09"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09"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09"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09"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09"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09"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09"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09"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09"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930</v>
      </c>
      <c r="B1" s="129"/>
      <c r="C1" s="129"/>
      <c r="D1" s="129"/>
      <c r="E1" s="129"/>
      <c r="F1" s="129"/>
      <c r="G1" s="129"/>
      <c r="H1" s="1163"/>
      <c r="I1" s="1164" t="s">
        <v>931</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931</v>
      </c>
      <c r="B2" s="1169" t="s">
        <v>214</v>
      </c>
      <c r="C2" s="1169" t="s">
        <v>463</v>
      </c>
      <c r="D2" s="1168" t="s">
        <v>464</v>
      </c>
      <c r="E2" s="1168" t="s">
        <v>469</v>
      </c>
      <c r="F2" s="1168" t="s">
        <v>461</v>
      </c>
      <c r="G2" s="1168" t="s">
        <v>932</v>
      </c>
      <c r="H2" s="1170"/>
      <c r="I2" s="1171" t="s">
        <v>933</v>
      </c>
      <c r="J2" s="1172">
        <f>DAY(EOMONTH(J1,0))</f>
        <v>28</v>
      </c>
      <c r="K2" s="1173" t="s">
        <v>934</v>
      </c>
      <c r="L2" s="1173" t="s">
        <v>463</v>
      </c>
      <c r="M2" s="1173" t="s">
        <v>935</v>
      </c>
      <c r="N2" s="1173" t="s">
        <v>936</v>
      </c>
      <c r="O2" s="1173" t="s">
        <v>937</v>
      </c>
      <c r="P2" s="1173" t="s">
        <v>938</v>
      </c>
      <c r="Q2" s="1171" t="s">
        <v>939</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463</v>
      </c>
      <c r="J3" s="1172">
        <f t="array" ref="J3">xlookup(K1,$B$3:$B$14,$C$3:$C$14)*100</f>
        <v>75</v>
      </c>
      <c r="K3" s="1179">
        <f>SUM(M3:O3)</f>
        <v>139</v>
      </c>
      <c r="L3" s="1179">
        <v>100.0</v>
      </c>
      <c r="M3" s="1174">
        <v>71.0</v>
      </c>
      <c r="N3" s="1174">
        <v>62.0</v>
      </c>
      <c r="O3" s="1174">
        <v>6.0</v>
      </c>
      <c r="P3" s="1179">
        <f>K3*J2</f>
        <v>3892</v>
      </c>
      <c r="Q3" s="1180" t="s">
        <v>940</v>
      </c>
      <c r="R3" s="1181">
        <f>P15</f>
        <v>1129982</v>
      </c>
      <c r="S3" s="1163"/>
      <c r="T3" s="1171" t="s">
        <v>933</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941</v>
      </c>
      <c r="J4" s="1174">
        <v>320000.0</v>
      </c>
      <c r="K4" s="1179">
        <f>K3*L4%</f>
        <v>104.25</v>
      </c>
      <c r="L4" s="1184">
        <f>J3</f>
        <v>75</v>
      </c>
      <c r="M4" s="1179">
        <f>M3*L4%</f>
        <v>53.25</v>
      </c>
      <c r="N4" s="1179">
        <f>N3*L4%</f>
        <v>46.5</v>
      </c>
      <c r="O4" s="1179">
        <f>O3*L4%</f>
        <v>4.5</v>
      </c>
      <c r="P4" s="1179">
        <f>K4*J2</f>
        <v>2919</v>
      </c>
      <c r="Q4" s="1171" t="s">
        <v>464</v>
      </c>
      <c r="R4" s="1181">
        <f>R2*P4+R3</f>
        <v>4253312</v>
      </c>
      <c r="S4" s="1163"/>
      <c r="T4" s="1171" t="s">
        <v>464</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942</v>
      </c>
      <c r="J5" s="1186">
        <v>270000.0</v>
      </c>
      <c r="K5" s="1187" t="s">
        <v>943</v>
      </c>
      <c r="L5" s="147"/>
      <c r="M5" s="1174">
        <v>22.926</v>
      </c>
      <c r="N5" s="1174">
        <v>25.365</v>
      </c>
      <c r="O5" s="1174">
        <v>27.8</v>
      </c>
      <c r="P5" s="1188"/>
      <c r="Q5" s="1171" t="s">
        <v>944</v>
      </c>
      <c r="R5" s="1179">
        <f>M10+SUM(M14:N16)</f>
        <v>2166438.428</v>
      </c>
      <c r="S5" s="1163"/>
      <c r="T5" s="1171" t="s">
        <v>932</v>
      </c>
      <c r="U5" s="1189">
        <v>0.474</v>
      </c>
      <c r="V5" s="1189">
        <v>0.4672</v>
      </c>
      <c r="W5" s="1189">
        <v>0.4524</v>
      </c>
    </row>
    <row r="6">
      <c r="A6" s="1183">
        <f t="shared" si="5"/>
        <v>46143</v>
      </c>
      <c r="B6" s="1169" t="str">
        <f t="shared" si="2"/>
        <v>①R8_5集計</v>
      </c>
      <c r="C6" s="1176">
        <f t="shared" si="3"/>
        <v>0.7</v>
      </c>
      <c r="D6" s="1177">
        <f t="shared" ref="D6:G6" si="7">xlookup($B6,$K:$K,N:N)</f>
        <v>4368265</v>
      </c>
      <c r="E6" s="1177">
        <f t="shared" si="7"/>
        <v>1018448.662</v>
      </c>
      <c r="F6" s="1178">
        <f t="shared" si="7"/>
        <v>0.2331471791</v>
      </c>
      <c r="G6" s="1178">
        <f t="shared" si="7"/>
        <v>0.5419923786</v>
      </c>
      <c r="H6" s="1190"/>
      <c r="I6" s="1191" t="s">
        <v>945</v>
      </c>
      <c r="J6" s="1192">
        <v>1300.0</v>
      </c>
      <c r="K6" s="1193" t="s">
        <v>946</v>
      </c>
      <c r="L6" s="147"/>
      <c r="M6" s="1179">
        <f t="shared" ref="M6:O6" si="8">M4/(360/M5)</f>
        <v>3.3911375</v>
      </c>
      <c r="N6" s="1179">
        <f t="shared" si="8"/>
        <v>3.2763125</v>
      </c>
      <c r="O6" s="1179">
        <f t="shared" si="8"/>
        <v>0.3475</v>
      </c>
      <c r="P6" s="1179">
        <f t="shared" ref="P6:P7" si="10">M6+N6+O6</f>
        <v>7.01495</v>
      </c>
      <c r="Q6" s="1171" t="s">
        <v>462</v>
      </c>
      <c r="R6" s="1189">
        <f>R5/R4</f>
        <v>0.5093532823</v>
      </c>
      <c r="S6" s="1163"/>
      <c r="T6" s="1171" t="s">
        <v>947</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948</v>
      </c>
      <c r="J7" s="1196">
        <v>6.0</v>
      </c>
      <c r="K7" s="1197" t="s">
        <v>949</v>
      </c>
      <c r="L7" s="1174">
        <v>1230.0</v>
      </c>
      <c r="M7" s="1179">
        <f>M6*(L7*6)</f>
        <v>25026.59475</v>
      </c>
      <c r="N7" s="1179">
        <f>N6*(L7*6)</f>
        <v>24179.18625</v>
      </c>
      <c r="O7" s="1179">
        <f>O6*(L7*6)</f>
        <v>2564.55</v>
      </c>
      <c r="P7" s="1179">
        <f t="shared" si="10"/>
        <v>51770.331</v>
      </c>
      <c r="Q7" s="1171" t="s">
        <v>947</v>
      </c>
      <c r="R7" s="1181">
        <f>R4-R5-M17</f>
        <v>1094623.572</v>
      </c>
      <c r="S7" s="1163"/>
      <c r="T7" s="1171" t="s">
        <v>461</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950</v>
      </c>
      <c r="J8" s="1199"/>
      <c r="K8" s="1200"/>
      <c r="L8" s="1188"/>
      <c r="M8" s="1188"/>
      <c r="N8" s="1188"/>
      <c r="O8" s="1188"/>
      <c r="P8" s="1188"/>
      <c r="Q8" s="1171" t="s">
        <v>461</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951</v>
      </c>
      <c r="J9" s="1192">
        <v>1300.0</v>
      </c>
      <c r="K9" s="1193" t="s">
        <v>952</v>
      </c>
      <c r="L9" s="147"/>
      <c r="M9" s="1179">
        <f>P7+(P6*J15)</f>
        <v>55979.301</v>
      </c>
      <c r="N9" s="1188"/>
      <c r="O9" s="1202" t="s">
        <v>953</v>
      </c>
      <c r="P9" s="1180" t="s">
        <v>954</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955</v>
      </c>
      <c r="J10" s="1192">
        <v>6.0</v>
      </c>
      <c r="K10" s="1193" t="s">
        <v>956</v>
      </c>
      <c r="L10" s="147"/>
      <c r="M10" s="1179">
        <f>M9*J2+K3*J17*J2*50</f>
        <v>1592718.428</v>
      </c>
      <c r="N10" s="1205"/>
      <c r="O10" s="1206" t="s">
        <v>547</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957</v>
      </c>
      <c r="J11" s="1192">
        <v>21.7</v>
      </c>
      <c r="K11" s="1193" t="s">
        <v>958</v>
      </c>
      <c r="L11" s="147"/>
      <c r="M11" s="1171" t="s">
        <v>557</v>
      </c>
      <c r="N11" s="1198" t="s">
        <v>531</v>
      </c>
      <c r="O11" s="1206" t="s">
        <v>959</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960</v>
      </c>
      <c r="J12" s="1210">
        <v>600.0</v>
      </c>
      <c r="K12" s="1193" t="s">
        <v>961</v>
      </c>
      <c r="L12" s="147"/>
      <c r="M12" s="1184">
        <f>J4*1.15</f>
        <v>368000</v>
      </c>
      <c r="N12" s="1211">
        <v>15000.0</v>
      </c>
      <c r="O12" s="1212" t="s">
        <v>962</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963</v>
      </c>
      <c r="J13" s="1210">
        <v>3.0</v>
      </c>
      <c r="K13" s="1193" t="s">
        <v>964</v>
      </c>
      <c r="L13" s="147"/>
      <c r="M13" s="1184">
        <f>(J5+J16)*1.15</f>
        <v>569250</v>
      </c>
      <c r="N13" s="1213">
        <v>40000.0</v>
      </c>
      <c r="O13" s="1214" t="s">
        <v>965</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966</v>
      </c>
      <c r="J14" s="1215">
        <f>J2</f>
        <v>28</v>
      </c>
      <c r="K14" s="1216" t="s">
        <v>967</v>
      </c>
      <c r="L14" s="147"/>
      <c r="M14" s="1184">
        <f>(J2*3-21.7*2)*J6*J7</f>
        <v>316680</v>
      </c>
      <c r="N14" s="1184">
        <f>(J2*3-21.7*2)*J15</f>
        <v>24360</v>
      </c>
      <c r="O14" s="1217" t="s">
        <v>589</v>
      </c>
      <c r="P14" s="1218">
        <v>286440.0</v>
      </c>
      <c r="Q14" s="1188"/>
      <c r="R14" s="1219"/>
      <c r="S14" s="1163"/>
      <c r="T14" s="1163"/>
      <c r="U14" s="1163"/>
      <c r="V14" s="1163"/>
      <c r="W14" s="1163"/>
    </row>
    <row r="15">
      <c r="A15" s="1190"/>
      <c r="B15" s="1190"/>
      <c r="C15" s="1190"/>
      <c r="D15" s="1190"/>
      <c r="E15" s="1190"/>
      <c r="F15" s="1190"/>
      <c r="G15" s="1190"/>
      <c r="H15" s="1190"/>
      <c r="I15" s="1220" t="s">
        <v>968</v>
      </c>
      <c r="J15" s="1221">
        <v>600.0</v>
      </c>
      <c r="K15" s="1187" t="s">
        <v>969</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970</v>
      </c>
      <c r="J16" s="1179">
        <v>225000.0</v>
      </c>
      <c r="K16" s="1187" t="s">
        <v>971</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965</v>
      </c>
      <c r="J17" s="1189">
        <v>0.13</v>
      </c>
      <c r="K17" s="1187" t="s">
        <v>972</v>
      </c>
      <c r="L17" s="147"/>
      <c r="M17" s="1184">
        <f>SUM(M12:N13)</f>
        <v>992250</v>
      </c>
      <c r="N17" s="1208"/>
      <c r="O17" s="1188"/>
      <c r="P17" s="1188"/>
      <c r="Q17" s="1188"/>
      <c r="R17" s="1188"/>
      <c r="S17" s="1163"/>
      <c r="T17" s="1163"/>
      <c r="U17" s="1163"/>
      <c r="V17" s="1163"/>
      <c r="W17" s="1163"/>
    </row>
    <row r="19">
      <c r="I19" s="1164" t="s">
        <v>931</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933</v>
      </c>
      <c r="J20" s="1172">
        <f>DAY(EOMONTH(J19,0))</f>
        <v>31</v>
      </c>
      <c r="K20" s="1173" t="s">
        <v>934</v>
      </c>
      <c r="L20" s="1173" t="s">
        <v>463</v>
      </c>
      <c r="M20" s="1173" t="s">
        <v>935</v>
      </c>
      <c r="N20" s="1173" t="s">
        <v>936</v>
      </c>
      <c r="O20" s="1173" t="s">
        <v>937</v>
      </c>
      <c r="P20" s="1173" t="s">
        <v>938</v>
      </c>
      <c r="Q20" s="1171" t="s">
        <v>939</v>
      </c>
      <c r="R20" s="1174">
        <v>1070.0</v>
      </c>
    </row>
    <row r="21">
      <c r="I21" s="1171" t="s">
        <v>463</v>
      </c>
      <c r="J21" s="1172">
        <f t="array" ref="J21">xlookup(K19,$B$3:$B$14,$C$3:$C$14)*100</f>
        <v>72.5</v>
      </c>
      <c r="K21" s="1179">
        <f>SUM(M21:O21)</f>
        <v>139</v>
      </c>
      <c r="L21" s="1179">
        <v>100.0</v>
      </c>
      <c r="M21" s="1174">
        <v>71.0</v>
      </c>
      <c r="N21" s="1174">
        <v>62.0</v>
      </c>
      <c r="O21" s="1174">
        <v>6.0</v>
      </c>
      <c r="P21" s="1179">
        <f>K21*J20</f>
        <v>4309</v>
      </c>
      <c r="Q21" s="1180" t="s">
        <v>940</v>
      </c>
      <c r="R21" s="1181">
        <f>P33</f>
        <v>1140824</v>
      </c>
    </row>
    <row r="22">
      <c r="I22" s="1171" t="s">
        <v>941</v>
      </c>
      <c r="J22" s="1174">
        <v>320000.0</v>
      </c>
      <c r="K22" s="1179">
        <f>K21*L22%</f>
        <v>100.775</v>
      </c>
      <c r="L22" s="1184">
        <f>J21</f>
        <v>72.5</v>
      </c>
      <c r="M22" s="1179">
        <f>M21*L22%</f>
        <v>51.475</v>
      </c>
      <c r="N22" s="1179">
        <f>N21*L22%</f>
        <v>44.95</v>
      </c>
      <c r="O22" s="1179">
        <f>O21*L22%</f>
        <v>4.35</v>
      </c>
      <c r="P22" s="1179">
        <f>K22*J20</f>
        <v>3124.025</v>
      </c>
      <c r="Q22" s="1171" t="s">
        <v>464</v>
      </c>
      <c r="R22" s="1181">
        <f>R20*P22+R21</f>
        <v>4483530.75</v>
      </c>
    </row>
    <row r="23">
      <c r="I23" s="1171" t="s">
        <v>942</v>
      </c>
      <c r="J23" s="1186">
        <v>270000.0</v>
      </c>
      <c r="K23" s="1187" t="s">
        <v>943</v>
      </c>
      <c r="L23" s="147"/>
      <c r="M23" s="1174">
        <v>22.926</v>
      </c>
      <c r="N23" s="1174">
        <v>25.365</v>
      </c>
      <c r="O23" s="1174">
        <v>27.8</v>
      </c>
      <c r="P23" s="1188"/>
      <c r="Q23" s="1171" t="s">
        <v>944</v>
      </c>
      <c r="R23" s="1179">
        <f>M28+SUM(M32:N34)</f>
        <v>2360241.553</v>
      </c>
    </row>
    <row r="24">
      <c r="I24" s="1191" t="s">
        <v>945</v>
      </c>
      <c r="J24" s="1192">
        <v>1300.0</v>
      </c>
      <c r="K24" s="1193" t="s">
        <v>946</v>
      </c>
      <c r="L24" s="147"/>
      <c r="M24" s="1179">
        <f t="shared" ref="M24:O24" si="18">M22/(360/M23)</f>
        <v>3.278099583</v>
      </c>
      <c r="N24" s="1179">
        <f t="shared" si="18"/>
        <v>3.167102083</v>
      </c>
      <c r="O24" s="1179">
        <f t="shared" si="18"/>
        <v>0.3359166667</v>
      </c>
      <c r="P24" s="1179">
        <f t="shared" ref="P24:P25" si="19">M24+N24+O24</f>
        <v>6.781118333</v>
      </c>
      <c r="Q24" s="1171" t="s">
        <v>462</v>
      </c>
      <c r="R24" s="1189">
        <f>R23/R22</f>
        <v>0.5264247498</v>
      </c>
    </row>
    <row r="25">
      <c r="I25" s="1195" t="s">
        <v>948</v>
      </c>
      <c r="J25" s="1196">
        <v>6.0</v>
      </c>
      <c r="K25" s="1197" t="s">
        <v>949</v>
      </c>
      <c r="L25" s="1174">
        <v>1230.0</v>
      </c>
      <c r="M25" s="1179">
        <f>M24*(L25*6)</f>
        <v>24192.37493</v>
      </c>
      <c r="N25" s="1179">
        <f>N24*(L25*6)</f>
        <v>23373.21338</v>
      </c>
      <c r="O25" s="1179">
        <f>O24*(L25*6)</f>
        <v>2479.065</v>
      </c>
      <c r="P25" s="1179">
        <f t="shared" si="19"/>
        <v>50044.6533</v>
      </c>
      <c r="Q25" s="1171" t="s">
        <v>947</v>
      </c>
      <c r="R25" s="1181">
        <f>R22-R23-M35</f>
        <v>1141039.197</v>
      </c>
    </row>
    <row r="26">
      <c r="I26" s="1198" t="s">
        <v>950</v>
      </c>
      <c r="J26" s="1199"/>
      <c r="K26" s="1200"/>
      <c r="L26" s="1188"/>
      <c r="M26" s="1188"/>
      <c r="N26" s="1188"/>
      <c r="O26" s="1188"/>
      <c r="P26" s="1188"/>
      <c r="Q26" s="1171" t="s">
        <v>461</v>
      </c>
      <c r="R26" s="1189">
        <f>R25/R22</f>
        <v>0.2544956777</v>
      </c>
    </row>
    <row r="27">
      <c r="I27" s="1201" t="s">
        <v>951</v>
      </c>
      <c r="J27" s="1192">
        <v>1300.0</v>
      </c>
      <c r="K27" s="1193" t="s">
        <v>952</v>
      </c>
      <c r="L27" s="147"/>
      <c r="M27" s="1179">
        <f>P25+(P24*J33)</f>
        <v>54113.3243</v>
      </c>
      <c r="N27" s="1188"/>
      <c r="O27" s="1202" t="s">
        <v>953</v>
      </c>
      <c r="P27" s="1180" t="s">
        <v>954</v>
      </c>
      <c r="Q27" s="1188"/>
      <c r="R27" s="1188"/>
    </row>
    <row r="28">
      <c r="I28" s="1204" t="s">
        <v>955</v>
      </c>
      <c r="J28" s="1192">
        <v>6.0</v>
      </c>
      <c r="K28" s="1193" t="s">
        <v>956</v>
      </c>
      <c r="L28" s="147"/>
      <c r="M28" s="1179">
        <f>M27*J20+K21*J35*J20*50</f>
        <v>1705521.553</v>
      </c>
      <c r="N28" s="1205"/>
      <c r="O28" s="1206" t="s">
        <v>547</v>
      </c>
      <c r="P28" s="1207">
        <v>302000.0</v>
      </c>
      <c r="Q28" s="1188"/>
      <c r="R28" s="1208"/>
    </row>
    <row r="29">
      <c r="I29" s="1204" t="s">
        <v>957</v>
      </c>
      <c r="J29" s="1192">
        <v>21.7</v>
      </c>
      <c r="K29" s="1193" t="s">
        <v>958</v>
      </c>
      <c r="L29" s="147"/>
      <c r="M29" s="1171" t="s">
        <v>557</v>
      </c>
      <c r="N29" s="1198" t="s">
        <v>531</v>
      </c>
      <c r="O29" s="1206" t="s">
        <v>959</v>
      </c>
      <c r="P29" s="1209">
        <v>350000.0</v>
      </c>
      <c r="Q29" s="1188"/>
      <c r="R29" s="1188"/>
    </row>
    <row r="30">
      <c r="I30" s="1201" t="s">
        <v>960</v>
      </c>
      <c r="J30" s="1210">
        <v>600.0</v>
      </c>
      <c r="K30" s="1193" t="s">
        <v>961</v>
      </c>
      <c r="L30" s="147"/>
      <c r="M30" s="1184">
        <f>J22*1.15</f>
        <v>368000</v>
      </c>
      <c r="N30" s="1211">
        <v>15000.0</v>
      </c>
      <c r="O30" s="1212" t="s">
        <v>962</v>
      </c>
      <c r="P30" s="1174">
        <v>90350.0</v>
      </c>
      <c r="Q30" s="1188"/>
      <c r="R30" s="1188"/>
    </row>
    <row r="31">
      <c r="I31" s="1201" t="s">
        <v>963</v>
      </c>
      <c r="J31" s="1210">
        <v>3.0</v>
      </c>
      <c r="K31" s="1193" t="s">
        <v>964</v>
      </c>
      <c r="L31" s="147"/>
      <c r="M31" s="1184">
        <f>(J23+J34)*1.15</f>
        <v>569250</v>
      </c>
      <c r="N31" s="1213">
        <v>30000.0</v>
      </c>
      <c r="O31" s="1214" t="s">
        <v>965</v>
      </c>
      <c r="P31" s="1174">
        <f>K21*J35*J20*200</f>
        <v>112034</v>
      </c>
      <c r="Q31" s="1188"/>
      <c r="R31" s="1188"/>
    </row>
    <row r="32">
      <c r="I32" s="1201" t="s">
        <v>966</v>
      </c>
      <c r="J32" s="1199">
        <f>J20</f>
        <v>31</v>
      </c>
      <c r="K32" s="1216" t="s">
        <v>967</v>
      </c>
      <c r="L32" s="147"/>
      <c r="M32" s="1184">
        <f>(J20*3-21.7*2)*J24*J25</f>
        <v>386880</v>
      </c>
      <c r="N32" s="1184">
        <f>(J20*3-21.7*2)*J33</f>
        <v>29760</v>
      </c>
      <c r="O32" s="1217" t="s">
        <v>589</v>
      </c>
      <c r="P32" s="1218">
        <v>286440.0</v>
      </c>
      <c r="Q32" s="1188"/>
      <c r="R32" s="1219"/>
    </row>
    <row r="33">
      <c r="I33" s="1220" t="s">
        <v>968</v>
      </c>
      <c r="J33" s="1221">
        <v>600.0</v>
      </c>
      <c r="K33" s="1187" t="s">
        <v>969</v>
      </c>
      <c r="L33" s="147"/>
      <c r="M33" s="1184">
        <f>J27*J28*J29</f>
        <v>169260</v>
      </c>
      <c r="N33" s="1208">
        <f>J29*J33</f>
        <v>13020</v>
      </c>
      <c r="O33" s="1171" t="s">
        <v>85</v>
      </c>
      <c r="P33" s="1181">
        <f>SUM(P28:P32)</f>
        <v>1140824</v>
      </c>
      <c r="Q33" s="1188"/>
      <c r="R33" s="1188"/>
    </row>
    <row r="34">
      <c r="I34" s="1220" t="s">
        <v>970</v>
      </c>
      <c r="J34" s="1179">
        <v>225000.0</v>
      </c>
      <c r="K34" s="1187" t="s">
        <v>971</v>
      </c>
      <c r="L34" s="147"/>
      <c r="M34" s="1184">
        <f>J30*J31*J32</f>
        <v>55800</v>
      </c>
      <c r="N34" s="1184"/>
      <c r="O34" s="1188"/>
      <c r="P34" s="1188"/>
      <c r="Q34" s="1188"/>
      <c r="R34" s="1219"/>
    </row>
    <row r="35">
      <c r="I35" s="1220" t="s">
        <v>965</v>
      </c>
      <c r="J35" s="1189">
        <v>0.13</v>
      </c>
      <c r="K35" s="1187" t="s">
        <v>972</v>
      </c>
      <c r="L35" s="147"/>
      <c r="M35" s="1184">
        <f>SUM(M30:N31)</f>
        <v>982250</v>
      </c>
      <c r="N35" s="1208"/>
      <c r="O35" s="1188"/>
      <c r="P35" s="1188"/>
      <c r="Q35" s="1188"/>
      <c r="R35" s="1188"/>
    </row>
    <row r="37">
      <c r="I37" s="1164" t="s">
        <v>931</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933</v>
      </c>
      <c r="J38" s="1172">
        <f>DAY(EOMONTH(J37,0))</f>
        <v>30</v>
      </c>
      <c r="K38" s="1173" t="s">
        <v>934</v>
      </c>
      <c r="L38" s="1173" t="s">
        <v>463</v>
      </c>
      <c r="M38" s="1173" t="s">
        <v>935</v>
      </c>
      <c r="N38" s="1173" t="s">
        <v>936</v>
      </c>
      <c r="O38" s="1173" t="s">
        <v>937</v>
      </c>
      <c r="P38" s="1173" t="s">
        <v>938</v>
      </c>
      <c r="Q38" s="1171" t="s">
        <v>939</v>
      </c>
      <c r="R38" s="1174">
        <v>1070.0</v>
      </c>
    </row>
    <row r="39">
      <c r="I39" s="1171" t="s">
        <v>463</v>
      </c>
      <c r="J39" s="1172">
        <f t="array" ref="J39">xlookup(K37,$B$3:$B$14,$C$3:$C$14)*100</f>
        <v>77.5</v>
      </c>
      <c r="K39" s="1179">
        <f>SUM(M39:O39)</f>
        <v>139</v>
      </c>
      <c r="L39" s="1179">
        <v>100.0</v>
      </c>
      <c r="M39" s="1174">
        <v>71.0</v>
      </c>
      <c r="N39" s="1174">
        <v>62.0</v>
      </c>
      <c r="O39" s="1174">
        <v>6.0</v>
      </c>
      <c r="P39" s="1179">
        <f>K39*J38</f>
        <v>4170</v>
      </c>
      <c r="Q39" s="1180" t="s">
        <v>940</v>
      </c>
      <c r="R39" s="1181">
        <f>P51</f>
        <v>1137210</v>
      </c>
    </row>
    <row r="40">
      <c r="I40" s="1171" t="s">
        <v>941</v>
      </c>
      <c r="J40" s="1174">
        <v>320000.0</v>
      </c>
      <c r="K40" s="1179">
        <f>K39*L40%</f>
        <v>107.725</v>
      </c>
      <c r="L40" s="1184">
        <f>J39</f>
        <v>77.5</v>
      </c>
      <c r="M40" s="1179">
        <f>M39*L40%</f>
        <v>55.025</v>
      </c>
      <c r="N40" s="1179">
        <f>N39*L40%</f>
        <v>48.05</v>
      </c>
      <c r="O40" s="1179">
        <f>O39*L40%</f>
        <v>4.65</v>
      </c>
      <c r="P40" s="1179">
        <f>K40*J38</f>
        <v>3231.75</v>
      </c>
      <c r="Q40" s="1171" t="s">
        <v>464</v>
      </c>
      <c r="R40" s="1181">
        <f>R38*P40+R39</f>
        <v>4595182.5</v>
      </c>
    </row>
    <row r="41">
      <c r="I41" s="1171" t="s">
        <v>942</v>
      </c>
      <c r="J41" s="1186">
        <v>270000.0</v>
      </c>
      <c r="K41" s="1187" t="s">
        <v>943</v>
      </c>
      <c r="L41" s="147"/>
      <c r="M41" s="1223">
        <v>23.9</v>
      </c>
      <c r="N41" s="1223">
        <v>26.34</v>
      </c>
      <c r="O41" s="1223">
        <v>28.78</v>
      </c>
      <c r="P41" s="1188"/>
      <c r="Q41" s="1171" t="s">
        <v>944</v>
      </c>
      <c r="R41" s="1179">
        <f>M46+SUM(M50:N52)</f>
        <v>2460008.398</v>
      </c>
    </row>
    <row r="42">
      <c r="I42" s="1191" t="s">
        <v>945</v>
      </c>
      <c r="J42" s="1192">
        <v>1300.0</v>
      </c>
      <c r="K42" s="1193" t="s">
        <v>946</v>
      </c>
      <c r="L42" s="147"/>
      <c r="M42" s="1179">
        <f t="shared" ref="M42:O42" si="20">M40/(360/M41)</f>
        <v>3.653048611</v>
      </c>
      <c r="N42" s="1179">
        <f t="shared" si="20"/>
        <v>3.515658333</v>
      </c>
      <c r="O42" s="1179">
        <f t="shared" si="20"/>
        <v>0.3717416667</v>
      </c>
      <c r="P42" s="1179">
        <f t="shared" ref="P42:P43" si="21">M42+N42+O42</f>
        <v>7.540448611</v>
      </c>
      <c r="Q42" s="1171" t="s">
        <v>462</v>
      </c>
      <c r="R42" s="1189">
        <f>R41/R40</f>
        <v>0.5353450918</v>
      </c>
    </row>
    <row r="43">
      <c r="I43" s="1195" t="s">
        <v>948</v>
      </c>
      <c r="J43" s="1196">
        <v>6.0</v>
      </c>
      <c r="K43" s="1197" t="s">
        <v>949</v>
      </c>
      <c r="L43" s="1174">
        <v>1230.0</v>
      </c>
      <c r="M43" s="1179">
        <f>M42*(L43*6)</f>
        <v>26959.49875</v>
      </c>
      <c r="N43" s="1179">
        <f>N42*(L43*6)</f>
        <v>25945.5585</v>
      </c>
      <c r="O43" s="1179">
        <f>O42*(L43*6)</f>
        <v>2743.4535</v>
      </c>
      <c r="P43" s="1179">
        <f t="shared" si="21"/>
        <v>55648.51075</v>
      </c>
      <c r="Q43" s="1171" t="s">
        <v>947</v>
      </c>
      <c r="R43" s="1181">
        <f>R40-R41-M53</f>
        <v>1152924.103</v>
      </c>
    </row>
    <row r="44">
      <c r="I44" s="1198" t="s">
        <v>950</v>
      </c>
      <c r="J44" s="1199"/>
      <c r="K44" s="1200"/>
      <c r="L44" s="1188"/>
      <c r="M44" s="1188"/>
      <c r="N44" s="1188"/>
      <c r="O44" s="1188"/>
      <c r="P44" s="1188"/>
      <c r="Q44" s="1171" t="s">
        <v>461</v>
      </c>
      <c r="R44" s="1189">
        <f>R43/R40</f>
        <v>0.250898436</v>
      </c>
    </row>
    <row r="45">
      <c r="I45" s="1201" t="s">
        <v>951</v>
      </c>
      <c r="J45" s="1192">
        <v>1300.0</v>
      </c>
      <c r="K45" s="1193" t="s">
        <v>952</v>
      </c>
      <c r="L45" s="147"/>
      <c r="M45" s="1179">
        <f>P43+(P42*J51)</f>
        <v>60172.77992</v>
      </c>
      <c r="N45" s="1188"/>
      <c r="O45" s="1202" t="s">
        <v>953</v>
      </c>
      <c r="P45" s="1180" t="s">
        <v>954</v>
      </c>
      <c r="Q45" s="1188"/>
      <c r="R45" s="1188"/>
    </row>
    <row r="46">
      <c r="I46" s="1204" t="s">
        <v>955</v>
      </c>
      <c r="J46" s="1192">
        <v>6.0</v>
      </c>
      <c r="K46" s="1193" t="s">
        <v>956</v>
      </c>
      <c r="L46" s="147"/>
      <c r="M46" s="1179">
        <f>M45*J38+K39*J53*J38*50</f>
        <v>1832288.398</v>
      </c>
      <c r="N46" s="1205"/>
      <c r="O46" s="1206" t="s">
        <v>547</v>
      </c>
      <c r="P46" s="1207">
        <v>302000.0</v>
      </c>
      <c r="Q46" s="1188"/>
      <c r="R46" s="1208"/>
    </row>
    <row r="47">
      <c r="I47" s="1204" t="s">
        <v>957</v>
      </c>
      <c r="J47" s="1192">
        <v>21.7</v>
      </c>
      <c r="K47" s="1193" t="s">
        <v>958</v>
      </c>
      <c r="L47" s="147"/>
      <c r="M47" s="1171" t="s">
        <v>557</v>
      </c>
      <c r="N47" s="1198" t="s">
        <v>531</v>
      </c>
      <c r="O47" s="1206" t="s">
        <v>959</v>
      </c>
      <c r="P47" s="1209">
        <v>350000.0</v>
      </c>
      <c r="Q47" s="1188"/>
      <c r="R47" s="1188"/>
    </row>
    <row r="48">
      <c r="I48" s="1201" t="s">
        <v>960</v>
      </c>
      <c r="J48" s="1210">
        <v>600.0</v>
      </c>
      <c r="K48" s="1193" t="s">
        <v>961</v>
      </c>
      <c r="L48" s="147"/>
      <c r="M48" s="1184">
        <f>J40*1.15</f>
        <v>368000</v>
      </c>
      <c r="N48" s="1211">
        <v>15000.0</v>
      </c>
      <c r="O48" s="1212" t="s">
        <v>962</v>
      </c>
      <c r="P48" s="1174">
        <v>90350.0</v>
      </c>
      <c r="Q48" s="1188"/>
      <c r="R48" s="1188"/>
    </row>
    <row r="49">
      <c r="I49" s="1201" t="s">
        <v>963</v>
      </c>
      <c r="J49" s="1210">
        <v>3.0</v>
      </c>
      <c r="K49" s="1193" t="s">
        <v>964</v>
      </c>
      <c r="L49" s="147"/>
      <c r="M49" s="1184">
        <f>(J41+J52)*1.15</f>
        <v>569250</v>
      </c>
      <c r="N49" s="1213">
        <v>30000.0</v>
      </c>
      <c r="O49" s="1214" t="s">
        <v>965</v>
      </c>
      <c r="P49" s="1174">
        <f>K39*J53*J38*200</f>
        <v>108420</v>
      </c>
      <c r="Q49" s="1188"/>
      <c r="R49" s="1188"/>
    </row>
    <row r="50">
      <c r="I50" s="1201" t="s">
        <v>966</v>
      </c>
      <c r="J50" s="1199">
        <f>J38</f>
        <v>30</v>
      </c>
      <c r="K50" s="1216" t="s">
        <v>967</v>
      </c>
      <c r="L50" s="147"/>
      <c r="M50" s="1184">
        <f>(J38*3-21.7*2)*J42*J43</f>
        <v>363480</v>
      </c>
      <c r="N50" s="1184">
        <f>(J38*3-21.7*2)*J51</f>
        <v>27960</v>
      </c>
      <c r="O50" s="1217" t="s">
        <v>589</v>
      </c>
      <c r="P50" s="1218">
        <v>286440.0</v>
      </c>
      <c r="Q50" s="1188"/>
      <c r="R50" s="1219"/>
    </row>
    <row r="51">
      <c r="I51" s="1220" t="s">
        <v>968</v>
      </c>
      <c r="J51" s="1221">
        <v>600.0</v>
      </c>
      <c r="K51" s="1187" t="s">
        <v>969</v>
      </c>
      <c r="L51" s="147"/>
      <c r="M51" s="1184">
        <f>J45*J46*J47</f>
        <v>169260</v>
      </c>
      <c r="N51" s="1208">
        <f>J47*J51</f>
        <v>13020</v>
      </c>
      <c r="O51" s="1171" t="s">
        <v>85</v>
      </c>
      <c r="P51" s="1181">
        <f>SUM(P46:P50)</f>
        <v>1137210</v>
      </c>
      <c r="Q51" s="1188"/>
      <c r="R51" s="1188"/>
    </row>
    <row r="52">
      <c r="I52" s="1220" t="s">
        <v>970</v>
      </c>
      <c r="J52" s="1179">
        <v>225000.0</v>
      </c>
      <c r="K52" s="1187" t="s">
        <v>971</v>
      </c>
      <c r="L52" s="147"/>
      <c r="M52" s="1184">
        <f>J48*J49*J50</f>
        <v>54000</v>
      </c>
      <c r="N52" s="1184"/>
      <c r="O52" s="1188"/>
      <c r="P52" s="1188"/>
      <c r="Q52" s="1188"/>
      <c r="R52" s="1219"/>
    </row>
    <row r="53">
      <c r="I53" s="1220" t="s">
        <v>965</v>
      </c>
      <c r="J53" s="1189">
        <v>0.13</v>
      </c>
      <c r="K53" s="1187" t="s">
        <v>972</v>
      </c>
      <c r="L53" s="147"/>
      <c r="M53" s="1184">
        <f>SUM(M48:N49)</f>
        <v>982250</v>
      </c>
      <c r="N53" s="1208"/>
      <c r="O53" s="1188"/>
      <c r="P53" s="1188"/>
      <c r="Q53" s="1188"/>
      <c r="R53" s="1188"/>
    </row>
    <row r="55">
      <c r="I55" s="1164" t="s">
        <v>931</v>
      </c>
      <c r="J55" s="1165">
        <f>A6</f>
        <v>46143</v>
      </c>
      <c r="K55" s="1164" t="str">
        <f>"①R"&amp;year(J55)-2018&amp;"_"&amp;month(J55)&amp;"集計"</f>
        <v>①R8_5集計</v>
      </c>
      <c r="L55" s="1163"/>
      <c r="M55" s="1163"/>
      <c r="N55" s="1166">
        <f>R58</f>
        <v>4368265</v>
      </c>
      <c r="O55" s="1166">
        <f>R61</f>
        <v>1018448.662</v>
      </c>
      <c r="P55" s="1167">
        <f>R62</f>
        <v>0.2331471791</v>
      </c>
      <c r="Q55" s="1167">
        <f>R60</f>
        <v>0.5419923786</v>
      </c>
      <c r="R55" s="1163"/>
    </row>
    <row r="56">
      <c r="I56" s="1171" t="s">
        <v>933</v>
      </c>
      <c r="J56" s="1172">
        <f>DAY(EOMONTH(J55,0))</f>
        <v>31</v>
      </c>
      <c r="K56" s="1173" t="s">
        <v>934</v>
      </c>
      <c r="L56" s="1173" t="s">
        <v>463</v>
      </c>
      <c r="M56" s="1173" t="s">
        <v>935</v>
      </c>
      <c r="N56" s="1173" t="s">
        <v>936</v>
      </c>
      <c r="O56" s="1173" t="s">
        <v>937</v>
      </c>
      <c r="P56" s="1173" t="s">
        <v>938</v>
      </c>
      <c r="Q56" s="1171" t="s">
        <v>939</v>
      </c>
      <c r="R56" s="1174">
        <v>1070.0</v>
      </c>
    </row>
    <row r="57">
      <c r="I57" s="1171" t="s">
        <v>463</v>
      </c>
      <c r="J57" s="1172">
        <f t="array" ref="J57">xlookup(K55,$B$3:$B$14,$C$3:$C$14)*100</f>
        <v>70</v>
      </c>
      <c r="K57" s="1179">
        <f>SUM(M57:O57)</f>
        <v>139</v>
      </c>
      <c r="L57" s="1179">
        <v>100.0</v>
      </c>
      <c r="M57" s="1174">
        <v>71.0</v>
      </c>
      <c r="N57" s="1174">
        <v>62.0</v>
      </c>
      <c r="O57" s="1174">
        <v>6.0</v>
      </c>
      <c r="P57" s="1179">
        <f>K57*J56</f>
        <v>4309</v>
      </c>
      <c r="Q57" s="1180" t="s">
        <v>940</v>
      </c>
      <c r="R57" s="1181">
        <f>P69</f>
        <v>1140824</v>
      </c>
    </row>
    <row r="58">
      <c r="I58" s="1171" t="s">
        <v>941</v>
      </c>
      <c r="J58" s="1174">
        <v>320000.0</v>
      </c>
      <c r="K58" s="1179">
        <f>K57*L58%</f>
        <v>97.3</v>
      </c>
      <c r="L58" s="1184">
        <f>J57</f>
        <v>70</v>
      </c>
      <c r="M58" s="1179">
        <f>M57*L58%</f>
        <v>49.7</v>
      </c>
      <c r="N58" s="1179">
        <f>N57*L58%</f>
        <v>43.4</v>
      </c>
      <c r="O58" s="1179">
        <f>O57*L58%</f>
        <v>4.2</v>
      </c>
      <c r="P58" s="1179">
        <f>K58*J56</f>
        <v>3016.3</v>
      </c>
      <c r="Q58" s="1171" t="s">
        <v>464</v>
      </c>
      <c r="R58" s="1181">
        <f>R56*P58+R57</f>
        <v>4368265</v>
      </c>
    </row>
    <row r="59">
      <c r="I59" s="1171" t="s">
        <v>942</v>
      </c>
      <c r="J59" s="1186">
        <v>270000.0</v>
      </c>
      <c r="K59" s="1187" t="s">
        <v>943</v>
      </c>
      <c r="L59" s="147"/>
      <c r="M59" s="1223">
        <v>23.9</v>
      </c>
      <c r="N59" s="1223">
        <v>26.34</v>
      </c>
      <c r="O59" s="1223">
        <v>28.78</v>
      </c>
      <c r="P59" s="1188"/>
      <c r="Q59" s="1171" t="s">
        <v>944</v>
      </c>
      <c r="R59" s="1179">
        <f>M64+SUM(M68:N70)</f>
        <v>2367566.338</v>
      </c>
    </row>
    <row r="60">
      <c r="I60" s="1191" t="s">
        <v>945</v>
      </c>
      <c r="J60" s="1192">
        <v>1300.0</v>
      </c>
      <c r="K60" s="1193" t="s">
        <v>946</v>
      </c>
      <c r="L60" s="147"/>
      <c r="M60" s="1179">
        <f t="shared" ref="M60:O60" si="22">M58/(360/M59)</f>
        <v>3.299527778</v>
      </c>
      <c r="N60" s="1179">
        <f t="shared" si="22"/>
        <v>3.175433333</v>
      </c>
      <c r="O60" s="1179">
        <f t="shared" si="22"/>
        <v>0.3357666667</v>
      </c>
      <c r="P60" s="1179">
        <f t="shared" ref="P60:P61" si="23">M60+N60+O60</f>
        <v>6.810727778</v>
      </c>
      <c r="Q60" s="1171" t="s">
        <v>462</v>
      </c>
      <c r="R60" s="1189">
        <f>R59/R58</f>
        <v>0.5419923786</v>
      </c>
    </row>
    <row r="61">
      <c r="I61" s="1195" t="s">
        <v>948</v>
      </c>
      <c r="J61" s="1196">
        <v>6.0</v>
      </c>
      <c r="K61" s="1197" t="s">
        <v>949</v>
      </c>
      <c r="L61" s="1174">
        <v>1230.0</v>
      </c>
      <c r="M61" s="1179">
        <f>M60*(L61*6)</f>
        <v>24350.515</v>
      </c>
      <c r="N61" s="1179">
        <f>N60*(L61*6)</f>
        <v>23434.698</v>
      </c>
      <c r="O61" s="1179">
        <f>O60*(L61*6)</f>
        <v>2477.958</v>
      </c>
      <c r="P61" s="1179">
        <f t="shared" si="23"/>
        <v>50263.171</v>
      </c>
      <c r="Q61" s="1171" t="s">
        <v>947</v>
      </c>
      <c r="R61" s="1181">
        <f>R58-R59-M71</f>
        <v>1018448.662</v>
      </c>
    </row>
    <row r="62">
      <c r="I62" s="1198" t="s">
        <v>950</v>
      </c>
      <c r="J62" s="1199"/>
      <c r="K62" s="1200"/>
      <c r="L62" s="1188"/>
      <c r="M62" s="1188"/>
      <c r="N62" s="1188"/>
      <c r="O62" s="1188"/>
      <c r="P62" s="1188"/>
      <c r="Q62" s="1171" t="s">
        <v>461</v>
      </c>
      <c r="R62" s="1189">
        <f>R61/R58</f>
        <v>0.2331471791</v>
      </c>
    </row>
    <row r="63">
      <c r="I63" s="1201" t="s">
        <v>951</v>
      </c>
      <c r="J63" s="1192">
        <v>1300.0</v>
      </c>
      <c r="K63" s="1193" t="s">
        <v>952</v>
      </c>
      <c r="L63" s="147"/>
      <c r="M63" s="1179">
        <f>P61+(P60*J69)</f>
        <v>54349.60767</v>
      </c>
      <c r="N63" s="1188"/>
      <c r="O63" s="1202" t="s">
        <v>953</v>
      </c>
      <c r="P63" s="1180" t="s">
        <v>954</v>
      </c>
      <c r="Q63" s="1188"/>
      <c r="R63" s="1188"/>
    </row>
    <row r="64">
      <c r="I64" s="1204" t="s">
        <v>955</v>
      </c>
      <c r="J64" s="1192">
        <v>6.0</v>
      </c>
      <c r="K64" s="1193" t="s">
        <v>956</v>
      </c>
      <c r="L64" s="147"/>
      <c r="M64" s="1179">
        <f>M63*J56+K57*J71*J56*50</f>
        <v>1712846.338</v>
      </c>
      <c r="N64" s="1205"/>
      <c r="O64" s="1206" t="s">
        <v>547</v>
      </c>
      <c r="P64" s="1207">
        <v>302000.0</v>
      </c>
      <c r="Q64" s="1188"/>
      <c r="R64" s="1208"/>
    </row>
    <row r="65">
      <c r="I65" s="1204" t="s">
        <v>957</v>
      </c>
      <c r="J65" s="1192">
        <v>21.7</v>
      </c>
      <c r="K65" s="1193" t="s">
        <v>958</v>
      </c>
      <c r="L65" s="147"/>
      <c r="M65" s="1171" t="s">
        <v>557</v>
      </c>
      <c r="N65" s="1198" t="s">
        <v>531</v>
      </c>
      <c r="O65" s="1206" t="s">
        <v>959</v>
      </c>
      <c r="P65" s="1209">
        <v>350000.0</v>
      </c>
      <c r="Q65" s="1188"/>
      <c r="R65" s="1188"/>
    </row>
    <row r="66">
      <c r="I66" s="1201" t="s">
        <v>960</v>
      </c>
      <c r="J66" s="1210">
        <v>600.0</v>
      </c>
      <c r="K66" s="1193" t="s">
        <v>961</v>
      </c>
      <c r="L66" s="147"/>
      <c r="M66" s="1184">
        <f>J58*1.15</f>
        <v>368000</v>
      </c>
      <c r="N66" s="1211">
        <v>15000.0</v>
      </c>
      <c r="O66" s="1212" t="s">
        <v>962</v>
      </c>
      <c r="P66" s="1174">
        <v>90350.0</v>
      </c>
      <c r="Q66" s="1188"/>
      <c r="R66" s="1188"/>
    </row>
    <row r="67">
      <c r="I67" s="1201" t="s">
        <v>963</v>
      </c>
      <c r="J67" s="1210">
        <v>3.0</v>
      </c>
      <c r="K67" s="1193" t="s">
        <v>964</v>
      </c>
      <c r="L67" s="147"/>
      <c r="M67" s="1184">
        <f>(J59+J70)*1.15</f>
        <v>569250</v>
      </c>
      <c r="N67" s="1213">
        <v>30000.0</v>
      </c>
      <c r="O67" s="1214" t="s">
        <v>965</v>
      </c>
      <c r="P67" s="1174">
        <f>K57*J71*J56*200</f>
        <v>112034</v>
      </c>
      <c r="Q67" s="1188"/>
      <c r="R67" s="1188"/>
    </row>
    <row r="68">
      <c r="I68" s="1201" t="s">
        <v>966</v>
      </c>
      <c r="J68" s="1199">
        <f>J56</f>
        <v>31</v>
      </c>
      <c r="K68" s="1216" t="s">
        <v>967</v>
      </c>
      <c r="L68" s="147"/>
      <c r="M68" s="1184">
        <f>(J56*3-21.7*2)*J60*J61</f>
        <v>386880</v>
      </c>
      <c r="N68" s="1184">
        <f>(J56*3-21.7*2)*J69</f>
        <v>29760</v>
      </c>
      <c r="O68" s="1217" t="s">
        <v>589</v>
      </c>
      <c r="P68" s="1218">
        <v>286440.0</v>
      </c>
      <c r="Q68" s="1188"/>
      <c r="R68" s="1219"/>
    </row>
    <row r="69">
      <c r="I69" s="1220" t="s">
        <v>968</v>
      </c>
      <c r="J69" s="1221">
        <v>600.0</v>
      </c>
      <c r="K69" s="1187" t="s">
        <v>969</v>
      </c>
      <c r="L69" s="147"/>
      <c r="M69" s="1184">
        <f>J63*J64*J65</f>
        <v>169260</v>
      </c>
      <c r="N69" s="1222">
        <f>J65*J69</f>
        <v>13020</v>
      </c>
      <c r="O69" s="1171" t="s">
        <v>85</v>
      </c>
      <c r="P69" s="1181">
        <f>SUM(P64:P68)</f>
        <v>1140824</v>
      </c>
      <c r="Q69" s="1188"/>
      <c r="R69" s="1188"/>
    </row>
    <row r="70">
      <c r="I70" s="1220" t="s">
        <v>970</v>
      </c>
      <c r="J70" s="1179">
        <v>225000.0</v>
      </c>
      <c r="K70" s="1187" t="s">
        <v>971</v>
      </c>
      <c r="L70" s="147"/>
      <c r="M70" s="1184">
        <f>J66*J67*J68</f>
        <v>55800</v>
      </c>
      <c r="N70" s="1184"/>
      <c r="O70" s="1188"/>
      <c r="P70" s="1188"/>
      <c r="Q70" s="1188"/>
      <c r="R70" s="1219"/>
    </row>
    <row r="71">
      <c r="I71" s="1220" t="s">
        <v>965</v>
      </c>
      <c r="J71" s="1189">
        <v>0.13</v>
      </c>
      <c r="K71" s="1187" t="s">
        <v>972</v>
      </c>
      <c r="L71" s="147"/>
      <c r="M71" s="1184">
        <f>SUM(M66:N67)</f>
        <v>982250</v>
      </c>
      <c r="N71" s="1208"/>
      <c r="O71" s="1188"/>
      <c r="P71" s="1188"/>
      <c r="Q71" s="1188"/>
      <c r="R71" s="1188"/>
    </row>
    <row r="73">
      <c r="I73" s="1164" t="s">
        <v>931</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933</v>
      </c>
      <c r="J74" s="1172">
        <f>DAY(EOMONTH(J73,0))</f>
        <v>30</v>
      </c>
      <c r="K74" s="1173" t="s">
        <v>934</v>
      </c>
      <c r="L74" s="1173" t="s">
        <v>463</v>
      </c>
      <c r="M74" s="1173" t="s">
        <v>935</v>
      </c>
      <c r="N74" s="1173" t="s">
        <v>936</v>
      </c>
      <c r="O74" s="1173" t="s">
        <v>937</v>
      </c>
      <c r="P74" s="1173" t="s">
        <v>938</v>
      </c>
      <c r="Q74" s="1171" t="s">
        <v>939</v>
      </c>
      <c r="R74" s="1174">
        <v>1070.0</v>
      </c>
    </row>
    <row r="75">
      <c r="I75" s="1171" t="s">
        <v>463</v>
      </c>
      <c r="J75" s="1172">
        <f t="array" ref="J75">xlookup(K73,$B$3:$B$14,$C$3:$C$14)*100</f>
        <v>0</v>
      </c>
      <c r="K75" s="1179">
        <f>SUM(M75:O75)</f>
        <v>139</v>
      </c>
      <c r="L75" s="1179">
        <v>100.0</v>
      </c>
      <c r="M75" s="1174">
        <v>71.0</v>
      </c>
      <c r="N75" s="1174">
        <v>62.0</v>
      </c>
      <c r="O75" s="1174">
        <v>6.0</v>
      </c>
      <c r="P75" s="1179">
        <f>K75*J74</f>
        <v>4170</v>
      </c>
      <c r="Q75" s="1180" t="s">
        <v>940</v>
      </c>
      <c r="R75" s="1181">
        <f>P87</f>
        <v>1137210</v>
      </c>
    </row>
    <row r="76">
      <c r="I76" s="1171" t="s">
        <v>941</v>
      </c>
      <c r="J76" s="1174">
        <v>320000.0</v>
      </c>
      <c r="K76" s="1179">
        <f>K75*L76%</f>
        <v>0</v>
      </c>
      <c r="L76" s="1184">
        <f>J75</f>
        <v>0</v>
      </c>
      <c r="M76" s="1179">
        <f>M75*L76%</f>
        <v>0</v>
      </c>
      <c r="N76" s="1179">
        <f>N75*L76%</f>
        <v>0</v>
      </c>
      <c r="O76" s="1179">
        <f>O75*L76%</f>
        <v>0</v>
      </c>
      <c r="P76" s="1179">
        <f>K76*J74</f>
        <v>0</v>
      </c>
      <c r="Q76" s="1171" t="s">
        <v>464</v>
      </c>
      <c r="R76" s="1181">
        <f>R74*P76+R75</f>
        <v>1137210</v>
      </c>
    </row>
    <row r="77">
      <c r="I77" s="1171" t="s">
        <v>942</v>
      </c>
      <c r="J77" s="1224">
        <v>540000.0</v>
      </c>
      <c r="K77" s="1187" t="s">
        <v>943</v>
      </c>
      <c r="L77" s="147"/>
      <c r="M77" s="1174">
        <v>22.926</v>
      </c>
      <c r="N77" s="1174">
        <v>25.365</v>
      </c>
      <c r="O77" s="1174">
        <v>27.8</v>
      </c>
      <c r="P77" s="1188"/>
      <c r="Q77" s="1171" t="s">
        <v>944</v>
      </c>
      <c r="R77" s="1179">
        <f>M82+SUM(M86:N88)</f>
        <v>470055</v>
      </c>
    </row>
    <row r="78">
      <c r="I78" s="1191" t="s">
        <v>945</v>
      </c>
      <c r="J78" s="1196">
        <v>1250.0</v>
      </c>
      <c r="K78" s="1193" t="s">
        <v>946</v>
      </c>
      <c r="L78" s="147"/>
      <c r="M78" s="1179">
        <f t="shared" ref="M78:O78" si="24">M76/(360/M77)</f>
        <v>0</v>
      </c>
      <c r="N78" s="1179">
        <f t="shared" si="24"/>
        <v>0</v>
      </c>
      <c r="O78" s="1179">
        <f t="shared" si="24"/>
        <v>0</v>
      </c>
      <c r="P78" s="1179">
        <f t="shared" ref="P78:P79" si="25">M78+N78+O78</f>
        <v>0</v>
      </c>
      <c r="Q78" s="1171" t="s">
        <v>462</v>
      </c>
      <c r="R78" s="1189">
        <f>R77/R76</f>
        <v>0.413340544</v>
      </c>
    </row>
    <row r="79">
      <c r="I79" s="1195" t="s">
        <v>948</v>
      </c>
      <c r="J79" s="1196">
        <v>6.0</v>
      </c>
      <c r="K79" s="1197" t="s">
        <v>949</v>
      </c>
      <c r="L79" s="1174">
        <v>1230.0</v>
      </c>
      <c r="M79" s="1179">
        <f>M78*(L79*6)</f>
        <v>0</v>
      </c>
      <c r="N79" s="1179">
        <f>N78*(L79*6)</f>
        <v>0</v>
      </c>
      <c r="O79" s="1179">
        <f>O78*(L79*6)</f>
        <v>0</v>
      </c>
      <c r="P79" s="1179">
        <f t="shared" si="25"/>
        <v>0</v>
      </c>
      <c r="Q79" s="1171" t="s">
        <v>947</v>
      </c>
      <c r="R79" s="1181">
        <f>R76-R77-M89</f>
        <v>-640595</v>
      </c>
    </row>
    <row r="80">
      <c r="I80" s="1198" t="s">
        <v>950</v>
      </c>
      <c r="J80" s="1199"/>
      <c r="K80" s="1200"/>
      <c r="L80" s="1188"/>
      <c r="M80" s="1188"/>
      <c r="N80" s="1188"/>
      <c r="O80" s="1188"/>
      <c r="P80" s="1188"/>
      <c r="Q80" s="1171" t="s">
        <v>461</v>
      </c>
      <c r="R80" s="1189">
        <f>R79/R76</f>
        <v>-0.5633040511</v>
      </c>
    </row>
    <row r="81">
      <c r="I81" s="1201" t="s">
        <v>951</v>
      </c>
      <c r="J81" s="1192">
        <v>1300.0</v>
      </c>
      <c r="K81" s="1193" t="s">
        <v>952</v>
      </c>
      <c r="L81" s="147"/>
      <c r="M81" s="1179">
        <f>P79+(P78*J87)</f>
        <v>0</v>
      </c>
      <c r="N81" s="1188"/>
      <c r="O81" s="1202" t="s">
        <v>953</v>
      </c>
      <c r="P81" s="1180" t="s">
        <v>954</v>
      </c>
      <c r="Q81" s="1188"/>
      <c r="R81" s="1188"/>
    </row>
    <row r="82">
      <c r="I82" s="1204" t="s">
        <v>955</v>
      </c>
      <c r="J82" s="1192">
        <v>6.0</v>
      </c>
      <c r="K82" s="1193" t="s">
        <v>956</v>
      </c>
      <c r="L82" s="147"/>
      <c r="M82" s="1179">
        <f>M81*J74+K75*J89*J74*50</f>
        <v>27105</v>
      </c>
      <c r="N82" s="1205"/>
      <c r="O82" s="1206" t="s">
        <v>547</v>
      </c>
      <c r="P82" s="1207">
        <v>302000.0</v>
      </c>
      <c r="Q82" s="1188"/>
      <c r="R82" s="1208"/>
    </row>
    <row r="83">
      <c r="I83" s="1204" t="s">
        <v>957</v>
      </c>
      <c r="J83" s="1192">
        <v>21.7</v>
      </c>
      <c r="K83" s="1193" t="s">
        <v>958</v>
      </c>
      <c r="L83" s="147"/>
      <c r="M83" s="1171" t="s">
        <v>557</v>
      </c>
      <c r="N83" s="1198" t="s">
        <v>531</v>
      </c>
      <c r="O83" s="1206" t="s">
        <v>959</v>
      </c>
      <c r="P83" s="1209">
        <v>350000.0</v>
      </c>
      <c r="Q83" s="1188"/>
      <c r="R83" s="1188"/>
    </row>
    <row r="84">
      <c r="I84" s="1201" t="s">
        <v>960</v>
      </c>
      <c r="J84" s="1210">
        <v>600.0</v>
      </c>
      <c r="K84" s="1193" t="s">
        <v>961</v>
      </c>
      <c r="L84" s="147"/>
      <c r="M84" s="1184">
        <f>J76*1.15</f>
        <v>368000</v>
      </c>
      <c r="N84" s="1211">
        <v>15000.0</v>
      </c>
      <c r="O84" s="1212" t="s">
        <v>962</v>
      </c>
      <c r="P84" s="1174">
        <v>90350.0</v>
      </c>
      <c r="Q84" s="1188"/>
      <c r="R84" s="1188"/>
    </row>
    <row r="85">
      <c r="I85" s="1201" t="s">
        <v>963</v>
      </c>
      <c r="J85" s="1210">
        <v>3.0</v>
      </c>
      <c r="K85" s="1193" t="s">
        <v>964</v>
      </c>
      <c r="L85" s="147"/>
      <c r="M85" s="1184">
        <f>(J77+J88)*1.15</f>
        <v>879750</v>
      </c>
      <c r="N85" s="1184">
        <v>45000.0</v>
      </c>
      <c r="O85" s="1214" t="s">
        <v>965</v>
      </c>
      <c r="P85" s="1174">
        <f>K75*J89*J74*200</f>
        <v>108420</v>
      </c>
      <c r="Q85" s="1188"/>
      <c r="R85" s="1188"/>
    </row>
    <row r="86">
      <c r="I86" s="1201" t="s">
        <v>966</v>
      </c>
      <c r="J86" s="1199">
        <f>J74</f>
        <v>30</v>
      </c>
      <c r="K86" s="1216" t="s">
        <v>967</v>
      </c>
      <c r="L86" s="147"/>
      <c r="M86" s="1184">
        <f>(J74*3-21.7*3)*J78*J79</f>
        <v>186750</v>
      </c>
      <c r="N86" s="1184">
        <f>(J74*3-21.7*3)*J87</f>
        <v>14940</v>
      </c>
      <c r="O86" s="1217" t="s">
        <v>589</v>
      </c>
      <c r="P86" s="1218">
        <v>286440.0</v>
      </c>
      <c r="Q86" s="1188"/>
      <c r="R86" s="1219"/>
    </row>
    <row r="87">
      <c r="I87" s="1220" t="s">
        <v>968</v>
      </c>
      <c r="J87" s="1221">
        <v>600.0</v>
      </c>
      <c r="K87" s="1187" t="s">
        <v>969</v>
      </c>
      <c r="L87" s="147"/>
      <c r="M87" s="1184">
        <f>J81*J82*J83</f>
        <v>169260</v>
      </c>
      <c r="N87" s="1208"/>
      <c r="O87" s="1171" t="s">
        <v>85</v>
      </c>
      <c r="P87" s="1181">
        <f>SUM(P82:P86)</f>
        <v>1137210</v>
      </c>
      <c r="Q87" s="1188"/>
      <c r="R87" s="1188"/>
    </row>
    <row r="88">
      <c r="I88" s="1220" t="s">
        <v>970</v>
      </c>
      <c r="J88" s="1179">
        <v>225000.0</v>
      </c>
      <c r="K88" s="1187" t="s">
        <v>971</v>
      </c>
      <c r="L88" s="147"/>
      <c r="M88" s="1184">
        <f>J84*J85*J86</f>
        <v>54000</v>
      </c>
      <c r="N88" s="1184">
        <f>J86*J87</f>
        <v>18000</v>
      </c>
      <c r="O88" s="1188"/>
      <c r="P88" s="1188"/>
      <c r="Q88" s="1188"/>
      <c r="R88" s="1219"/>
    </row>
    <row r="89">
      <c r="I89" s="1220" t="s">
        <v>965</v>
      </c>
      <c r="J89" s="1189">
        <v>0.13</v>
      </c>
      <c r="K89" s="1187" t="s">
        <v>972</v>
      </c>
      <c r="L89" s="147"/>
      <c r="M89" s="1184">
        <f>SUM(M84:N85)</f>
        <v>1307750</v>
      </c>
      <c r="N89" s="1208"/>
      <c r="O89" s="1188"/>
      <c r="P89" s="1188"/>
      <c r="Q89" s="1188"/>
      <c r="R89" s="1188"/>
    </row>
    <row r="91">
      <c r="I91" s="1164" t="s">
        <v>931</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933</v>
      </c>
      <c r="J92" s="1172">
        <f>DAY(EOMONTH(J91,0))</f>
        <v>31</v>
      </c>
      <c r="K92" s="1173" t="s">
        <v>934</v>
      </c>
      <c r="L92" s="1173" t="s">
        <v>463</v>
      </c>
      <c r="M92" s="1173" t="s">
        <v>935</v>
      </c>
      <c r="N92" s="1173" t="s">
        <v>936</v>
      </c>
      <c r="O92" s="1173" t="s">
        <v>937</v>
      </c>
      <c r="P92" s="1173" t="s">
        <v>938</v>
      </c>
      <c r="Q92" s="1171" t="s">
        <v>939</v>
      </c>
      <c r="R92" s="1174">
        <v>1070.0</v>
      </c>
    </row>
    <row r="93">
      <c r="I93" s="1171" t="s">
        <v>463</v>
      </c>
      <c r="J93" s="1172">
        <f t="array" ref="J93">xlookup(K91,$B$3:$B$14,$C$3:$C$14)*100</f>
        <v>0</v>
      </c>
      <c r="K93" s="1179">
        <f>SUM(M93:O93)</f>
        <v>139</v>
      </c>
      <c r="L93" s="1179">
        <v>100.0</v>
      </c>
      <c r="M93" s="1174">
        <v>71.0</v>
      </c>
      <c r="N93" s="1174">
        <v>62.0</v>
      </c>
      <c r="O93" s="1174">
        <v>6.0</v>
      </c>
      <c r="P93" s="1179">
        <f>K93*J92</f>
        <v>4309</v>
      </c>
      <c r="Q93" s="1180" t="s">
        <v>940</v>
      </c>
      <c r="R93" s="1181">
        <f>P105</f>
        <v>1140824</v>
      </c>
    </row>
    <row r="94">
      <c r="I94" s="1171" t="s">
        <v>941</v>
      </c>
      <c r="J94" s="1174">
        <v>320000.0</v>
      </c>
      <c r="K94" s="1179">
        <f>K93*L94%</f>
        <v>0</v>
      </c>
      <c r="L94" s="1184">
        <f>J93</f>
        <v>0</v>
      </c>
      <c r="M94" s="1179">
        <f>M93*L94%</f>
        <v>0</v>
      </c>
      <c r="N94" s="1179">
        <f>N93*L94%</f>
        <v>0</v>
      </c>
      <c r="O94" s="1179">
        <f>O93*L94%</f>
        <v>0</v>
      </c>
      <c r="P94" s="1179">
        <f>K94*J92</f>
        <v>0</v>
      </c>
      <c r="Q94" s="1171" t="s">
        <v>464</v>
      </c>
      <c r="R94" s="1181">
        <f>R92*P94+R93</f>
        <v>1140824</v>
      </c>
    </row>
    <row r="95">
      <c r="I95" s="1171" t="s">
        <v>942</v>
      </c>
      <c r="J95" s="1224">
        <v>540000.0</v>
      </c>
      <c r="K95" s="1187" t="s">
        <v>943</v>
      </c>
      <c r="L95" s="147"/>
      <c r="M95" s="1174">
        <v>22.926</v>
      </c>
      <c r="N95" s="1174">
        <v>25.365</v>
      </c>
      <c r="O95" s="1174">
        <v>27.8</v>
      </c>
      <c r="P95" s="1188"/>
      <c r="Q95" s="1171" t="s">
        <v>944</v>
      </c>
      <c r="R95" s="1179">
        <f>M100+SUM(M104:N106)</f>
        <v>497658.5</v>
      </c>
    </row>
    <row r="96">
      <c r="I96" s="1191" t="s">
        <v>945</v>
      </c>
      <c r="J96" s="1196">
        <v>1250.0</v>
      </c>
      <c r="K96" s="1193" t="s">
        <v>946</v>
      </c>
      <c r="L96" s="147"/>
      <c r="M96" s="1179">
        <f t="shared" ref="M96:O96" si="26">M94/(360/M95)</f>
        <v>0</v>
      </c>
      <c r="N96" s="1179">
        <f t="shared" si="26"/>
        <v>0</v>
      </c>
      <c r="O96" s="1179">
        <f t="shared" si="26"/>
        <v>0</v>
      </c>
      <c r="P96" s="1179">
        <f t="shared" ref="P96:P97" si="27">M96+N96+O96</f>
        <v>0</v>
      </c>
      <c r="Q96" s="1171" t="s">
        <v>462</v>
      </c>
      <c r="R96" s="1189">
        <f>R95/R94</f>
        <v>0.4362272358</v>
      </c>
    </row>
    <row r="97">
      <c r="I97" s="1195" t="s">
        <v>948</v>
      </c>
      <c r="J97" s="1196">
        <v>6.0</v>
      </c>
      <c r="K97" s="1197" t="s">
        <v>949</v>
      </c>
      <c r="L97" s="1174">
        <v>1230.0</v>
      </c>
      <c r="M97" s="1179">
        <f>M96*(L97*6)</f>
        <v>0</v>
      </c>
      <c r="N97" s="1179">
        <f>N96*(L97*6)</f>
        <v>0</v>
      </c>
      <c r="O97" s="1179">
        <f>O96*(L97*6)</f>
        <v>0</v>
      </c>
      <c r="P97" s="1179">
        <f t="shared" si="27"/>
        <v>0</v>
      </c>
      <c r="Q97" s="1171" t="s">
        <v>947</v>
      </c>
      <c r="R97" s="1181">
        <f>R94-R95-M107</f>
        <v>-664584.5</v>
      </c>
    </row>
    <row r="98">
      <c r="I98" s="1198" t="s">
        <v>950</v>
      </c>
      <c r="J98" s="1199"/>
      <c r="K98" s="1200"/>
      <c r="L98" s="1188"/>
      <c r="M98" s="1188"/>
      <c r="N98" s="1188"/>
      <c r="O98" s="1188"/>
      <c r="P98" s="1188"/>
      <c r="Q98" s="1171" t="s">
        <v>461</v>
      </c>
      <c r="R98" s="1189">
        <f>R97/R94</f>
        <v>-0.58254779</v>
      </c>
    </row>
    <row r="99">
      <c r="I99" s="1201" t="s">
        <v>951</v>
      </c>
      <c r="J99" s="1192">
        <v>1300.0</v>
      </c>
      <c r="K99" s="1193" t="s">
        <v>952</v>
      </c>
      <c r="L99" s="147"/>
      <c r="M99" s="1179">
        <f>P97+(P96*J105)</f>
        <v>0</v>
      </c>
      <c r="N99" s="1188"/>
      <c r="O99" s="1202" t="s">
        <v>953</v>
      </c>
      <c r="P99" s="1180" t="s">
        <v>954</v>
      </c>
      <c r="Q99" s="1188"/>
      <c r="R99" s="1188"/>
    </row>
    <row r="100">
      <c r="I100" s="1204" t="s">
        <v>955</v>
      </c>
      <c r="J100" s="1192">
        <v>6.0</v>
      </c>
      <c r="K100" s="1193" t="s">
        <v>956</v>
      </c>
      <c r="L100" s="147"/>
      <c r="M100" s="1179">
        <f>M99*J92+K93*J107*J92*50</f>
        <v>28008.5</v>
      </c>
      <c r="N100" s="1205"/>
      <c r="O100" s="1206" t="s">
        <v>547</v>
      </c>
      <c r="P100" s="1207">
        <v>302000.0</v>
      </c>
      <c r="Q100" s="1188"/>
      <c r="R100" s="1208"/>
    </row>
    <row r="101">
      <c r="I101" s="1204" t="s">
        <v>957</v>
      </c>
      <c r="J101" s="1192">
        <v>21.7</v>
      </c>
      <c r="K101" s="1193" t="s">
        <v>958</v>
      </c>
      <c r="L101" s="147"/>
      <c r="M101" s="1171" t="s">
        <v>557</v>
      </c>
      <c r="N101" s="1198" t="s">
        <v>531</v>
      </c>
      <c r="O101" s="1206" t="s">
        <v>959</v>
      </c>
      <c r="P101" s="1209">
        <v>350000.0</v>
      </c>
      <c r="Q101" s="1188"/>
      <c r="R101" s="1188"/>
    </row>
    <row r="102">
      <c r="I102" s="1201" t="s">
        <v>960</v>
      </c>
      <c r="J102" s="1210">
        <v>600.0</v>
      </c>
      <c r="K102" s="1193" t="s">
        <v>961</v>
      </c>
      <c r="L102" s="147"/>
      <c r="M102" s="1184">
        <f>J94*1.15</f>
        <v>368000</v>
      </c>
      <c r="N102" s="1211">
        <v>15000.0</v>
      </c>
      <c r="O102" s="1212" t="s">
        <v>962</v>
      </c>
      <c r="P102" s="1174">
        <v>90350.0</v>
      </c>
      <c r="Q102" s="1188"/>
      <c r="R102" s="1188"/>
    </row>
    <row r="103">
      <c r="I103" s="1201" t="s">
        <v>963</v>
      </c>
      <c r="J103" s="1210">
        <v>3.0</v>
      </c>
      <c r="K103" s="1193" t="s">
        <v>964</v>
      </c>
      <c r="L103" s="147"/>
      <c r="M103" s="1184">
        <f>(J95+J106)*1.15</f>
        <v>879750</v>
      </c>
      <c r="N103" s="1184">
        <v>45000.0</v>
      </c>
      <c r="O103" s="1214" t="s">
        <v>965</v>
      </c>
      <c r="P103" s="1174">
        <f>K93*J107*J92*200</f>
        <v>112034</v>
      </c>
      <c r="Q103" s="1188"/>
      <c r="R103" s="1188"/>
    </row>
    <row r="104">
      <c r="I104" s="1201" t="s">
        <v>966</v>
      </c>
      <c r="J104" s="1199">
        <f>J92</f>
        <v>31</v>
      </c>
      <c r="K104" s="1216" t="s">
        <v>967</v>
      </c>
      <c r="L104" s="147"/>
      <c r="M104" s="1184">
        <f>(J92*3-21.7*3)*J96*J97</f>
        <v>209250</v>
      </c>
      <c r="N104" s="1184">
        <f>(J92*3-21.7*3)*J105</f>
        <v>16740</v>
      </c>
      <c r="O104" s="1217" t="s">
        <v>589</v>
      </c>
      <c r="P104" s="1218">
        <v>286440.0</v>
      </c>
      <c r="Q104" s="1188"/>
      <c r="R104" s="1219"/>
    </row>
    <row r="105">
      <c r="I105" s="1220" t="s">
        <v>968</v>
      </c>
      <c r="J105" s="1221">
        <v>600.0</v>
      </c>
      <c r="K105" s="1187" t="s">
        <v>969</v>
      </c>
      <c r="L105" s="147"/>
      <c r="M105" s="1184">
        <f>J99*J100*J101</f>
        <v>169260</v>
      </c>
      <c r="N105" s="1208"/>
      <c r="O105" s="1171" t="s">
        <v>85</v>
      </c>
      <c r="P105" s="1181">
        <f>SUM(P100:P104)</f>
        <v>1140824</v>
      </c>
      <c r="Q105" s="1188"/>
      <c r="R105" s="1188"/>
    </row>
    <row r="106">
      <c r="I106" s="1220" t="s">
        <v>970</v>
      </c>
      <c r="J106" s="1179">
        <v>225000.0</v>
      </c>
      <c r="K106" s="1187" t="s">
        <v>971</v>
      </c>
      <c r="L106" s="147"/>
      <c r="M106" s="1184">
        <f>J102*J103*J104</f>
        <v>55800</v>
      </c>
      <c r="N106" s="1184">
        <f>J104*J105</f>
        <v>18600</v>
      </c>
      <c r="O106" s="1188"/>
      <c r="P106" s="1188"/>
      <c r="Q106" s="1188"/>
      <c r="R106" s="1219"/>
    </row>
    <row r="107">
      <c r="I107" s="1220" t="s">
        <v>965</v>
      </c>
      <c r="J107" s="1189">
        <v>0.13</v>
      </c>
      <c r="K107" s="1187" t="s">
        <v>972</v>
      </c>
      <c r="L107" s="147"/>
      <c r="M107" s="1184">
        <f>SUM(M102:N103)</f>
        <v>1307750</v>
      </c>
      <c r="N107" s="1208"/>
      <c r="O107" s="1188"/>
      <c r="P107" s="1188"/>
      <c r="Q107" s="1188"/>
      <c r="R107" s="1188"/>
    </row>
    <row r="109">
      <c r="I109" s="1164" t="s">
        <v>931</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933</v>
      </c>
      <c r="J110" s="1172">
        <f>DAY(EOMONTH(J109,0))</f>
        <v>31</v>
      </c>
      <c r="K110" s="1173" t="s">
        <v>934</v>
      </c>
      <c r="L110" s="1173" t="s">
        <v>463</v>
      </c>
      <c r="M110" s="1173" t="s">
        <v>935</v>
      </c>
      <c r="N110" s="1173" t="s">
        <v>936</v>
      </c>
      <c r="O110" s="1173" t="s">
        <v>937</v>
      </c>
      <c r="P110" s="1173" t="s">
        <v>938</v>
      </c>
      <c r="Q110" s="1171" t="s">
        <v>939</v>
      </c>
      <c r="R110" s="1174">
        <v>1070.0</v>
      </c>
    </row>
    <row r="111">
      <c r="I111" s="1171" t="s">
        <v>463</v>
      </c>
      <c r="J111" s="1172">
        <f t="array" ref="J111">xlookup(K109,$B$3:$B$14,$C$3:$C$14)*100</f>
        <v>0</v>
      </c>
      <c r="K111" s="1179">
        <f>SUM(M111:O111)</f>
        <v>139</v>
      </c>
      <c r="L111" s="1179">
        <v>100.0</v>
      </c>
      <c r="M111" s="1174">
        <v>71.0</v>
      </c>
      <c r="N111" s="1174">
        <v>62.0</v>
      </c>
      <c r="O111" s="1174">
        <v>6.0</v>
      </c>
      <c r="P111" s="1179">
        <f>K111*J110</f>
        <v>4309</v>
      </c>
      <c r="Q111" s="1180" t="s">
        <v>940</v>
      </c>
      <c r="R111" s="1181">
        <f>P123</f>
        <v>1140824</v>
      </c>
    </row>
    <row r="112">
      <c r="I112" s="1171" t="s">
        <v>941</v>
      </c>
      <c r="J112" s="1174">
        <v>320000.0</v>
      </c>
      <c r="K112" s="1179">
        <f>K111*L112%</f>
        <v>0</v>
      </c>
      <c r="L112" s="1184">
        <f>J111</f>
        <v>0</v>
      </c>
      <c r="M112" s="1179">
        <f>M111*L112%</f>
        <v>0</v>
      </c>
      <c r="N112" s="1179">
        <f>N111*L112%</f>
        <v>0</v>
      </c>
      <c r="O112" s="1179">
        <f>O111*L112%</f>
        <v>0</v>
      </c>
      <c r="P112" s="1179">
        <f>K112*J110</f>
        <v>0</v>
      </c>
      <c r="Q112" s="1171" t="s">
        <v>464</v>
      </c>
      <c r="R112" s="1181">
        <f>R110*P112+R111</f>
        <v>1140824</v>
      </c>
    </row>
    <row r="113">
      <c r="I113" s="1171" t="s">
        <v>942</v>
      </c>
      <c r="J113" s="1224">
        <v>540000.0</v>
      </c>
      <c r="K113" s="1187" t="s">
        <v>943</v>
      </c>
      <c r="L113" s="147"/>
      <c r="M113" s="1174">
        <v>22.926</v>
      </c>
      <c r="N113" s="1174">
        <v>25.365</v>
      </c>
      <c r="O113" s="1174">
        <v>27.8</v>
      </c>
      <c r="P113" s="1188"/>
      <c r="Q113" s="1171" t="s">
        <v>944</v>
      </c>
      <c r="R113" s="1179">
        <f>M118+SUM(M122:N124)</f>
        <v>497658.5</v>
      </c>
    </row>
    <row r="114">
      <c r="I114" s="1191" t="s">
        <v>945</v>
      </c>
      <c r="J114" s="1196">
        <v>1250.0</v>
      </c>
      <c r="K114" s="1193" t="s">
        <v>946</v>
      </c>
      <c r="L114" s="147"/>
      <c r="M114" s="1179">
        <f t="shared" ref="M114:O114" si="28">M112/(360/M113)</f>
        <v>0</v>
      </c>
      <c r="N114" s="1179">
        <f t="shared" si="28"/>
        <v>0</v>
      </c>
      <c r="O114" s="1179">
        <f t="shared" si="28"/>
        <v>0</v>
      </c>
      <c r="P114" s="1179">
        <f t="shared" ref="P114:P115" si="29">M114+N114+O114</f>
        <v>0</v>
      </c>
      <c r="Q114" s="1171" t="s">
        <v>462</v>
      </c>
      <c r="R114" s="1189">
        <f>R113/R112</f>
        <v>0.4362272358</v>
      </c>
    </row>
    <row r="115">
      <c r="I115" s="1195" t="s">
        <v>948</v>
      </c>
      <c r="J115" s="1196">
        <v>6.0</v>
      </c>
      <c r="K115" s="1197" t="s">
        <v>949</v>
      </c>
      <c r="L115" s="1174">
        <v>1230.0</v>
      </c>
      <c r="M115" s="1179">
        <f>M114*(L115*6)</f>
        <v>0</v>
      </c>
      <c r="N115" s="1179">
        <f>N114*(L115*6)</f>
        <v>0</v>
      </c>
      <c r="O115" s="1179">
        <f>O114*(L115*6)</f>
        <v>0</v>
      </c>
      <c r="P115" s="1179">
        <f t="shared" si="29"/>
        <v>0</v>
      </c>
      <c r="Q115" s="1171" t="s">
        <v>947</v>
      </c>
      <c r="R115" s="1181">
        <f>R112-R113-M125</f>
        <v>-664584.5</v>
      </c>
    </row>
    <row r="116">
      <c r="I116" s="1198" t="s">
        <v>950</v>
      </c>
      <c r="J116" s="1199"/>
      <c r="K116" s="1200"/>
      <c r="L116" s="1188"/>
      <c r="M116" s="1188"/>
      <c r="N116" s="1188"/>
      <c r="O116" s="1188"/>
      <c r="P116" s="1188"/>
      <c r="Q116" s="1171" t="s">
        <v>461</v>
      </c>
      <c r="R116" s="1189">
        <f>R115/R112</f>
        <v>-0.58254779</v>
      </c>
    </row>
    <row r="117">
      <c r="I117" s="1201" t="s">
        <v>951</v>
      </c>
      <c r="J117" s="1192">
        <v>1300.0</v>
      </c>
      <c r="K117" s="1193" t="s">
        <v>952</v>
      </c>
      <c r="L117" s="147"/>
      <c r="M117" s="1179">
        <f>P115+(P114*J123)</f>
        <v>0</v>
      </c>
      <c r="N117" s="1188"/>
      <c r="O117" s="1202" t="s">
        <v>953</v>
      </c>
      <c r="P117" s="1180" t="s">
        <v>954</v>
      </c>
      <c r="Q117" s="1188"/>
      <c r="R117" s="1188"/>
    </row>
    <row r="118">
      <c r="I118" s="1204" t="s">
        <v>955</v>
      </c>
      <c r="J118" s="1192">
        <v>6.0</v>
      </c>
      <c r="K118" s="1193" t="s">
        <v>956</v>
      </c>
      <c r="L118" s="147"/>
      <c r="M118" s="1179">
        <f>M117*J110+K111*J125*J110*50</f>
        <v>28008.5</v>
      </c>
      <c r="N118" s="1205"/>
      <c r="O118" s="1206" t="s">
        <v>547</v>
      </c>
      <c r="P118" s="1207">
        <v>302000.0</v>
      </c>
      <c r="Q118" s="1188"/>
      <c r="R118" s="1208"/>
    </row>
    <row r="119">
      <c r="I119" s="1204" t="s">
        <v>957</v>
      </c>
      <c r="J119" s="1192">
        <v>21.7</v>
      </c>
      <c r="K119" s="1193" t="s">
        <v>958</v>
      </c>
      <c r="L119" s="147"/>
      <c r="M119" s="1171" t="s">
        <v>557</v>
      </c>
      <c r="N119" s="1198" t="s">
        <v>531</v>
      </c>
      <c r="O119" s="1206" t="s">
        <v>959</v>
      </c>
      <c r="P119" s="1209">
        <v>350000.0</v>
      </c>
      <c r="Q119" s="1188"/>
      <c r="R119" s="1188"/>
    </row>
    <row r="120">
      <c r="I120" s="1201" t="s">
        <v>960</v>
      </c>
      <c r="J120" s="1210">
        <v>600.0</v>
      </c>
      <c r="K120" s="1193" t="s">
        <v>961</v>
      </c>
      <c r="L120" s="147"/>
      <c r="M120" s="1184">
        <f>J112*1.15</f>
        <v>368000</v>
      </c>
      <c r="N120" s="1211">
        <v>15000.0</v>
      </c>
      <c r="O120" s="1212" t="s">
        <v>962</v>
      </c>
      <c r="P120" s="1174">
        <v>90350.0</v>
      </c>
      <c r="Q120" s="1188"/>
      <c r="R120" s="1188"/>
    </row>
    <row r="121">
      <c r="I121" s="1201" t="s">
        <v>963</v>
      </c>
      <c r="J121" s="1210">
        <v>3.0</v>
      </c>
      <c r="K121" s="1193" t="s">
        <v>964</v>
      </c>
      <c r="L121" s="147"/>
      <c r="M121" s="1184">
        <f>(J113+J124)*1.15</f>
        <v>879750</v>
      </c>
      <c r="N121" s="1184">
        <v>45000.0</v>
      </c>
      <c r="O121" s="1214" t="s">
        <v>965</v>
      </c>
      <c r="P121" s="1174">
        <f>K111*J125*J110*200</f>
        <v>112034</v>
      </c>
      <c r="Q121" s="1188"/>
      <c r="R121" s="1188"/>
    </row>
    <row r="122">
      <c r="I122" s="1201" t="s">
        <v>966</v>
      </c>
      <c r="J122" s="1199">
        <f>J110</f>
        <v>31</v>
      </c>
      <c r="K122" s="1216" t="s">
        <v>967</v>
      </c>
      <c r="L122" s="147"/>
      <c r="M122" s="1184">
        <f>(J110*3-21.7*3)*J114*J115</f>
        <v>209250</v>
      </c>
      <c r="N122" s="1184">
        <f>(J110*3-21.7*3)*J123</f>
        <v>16740</v>
      </c>
      <c r="O122" s="1217" t="s">
        <v>589</v>
      </c>
      <c r="P122" s="1218">
        <v>286440.0</v>
      </c>
      <c r="Q122" s="1188"/>
      <c r="R122" s="1219"/>
    </row>
    <row r="123">
      <c r="I123" s="1220" t="s">
        <v>968</v>
      </c>
      <c r="J123" s="1221">
        <v>600.0</v>
      </c>
      <c r="K123" s="1187" t="s">
        <v>969</v>
      </c>
      <c r="L123" s="147"/>
      <c r="M123" s="1184">
        <f>J117*J118*J119</f>
        <v>169260</v>
      </c>
      <c r="N123" s="1208"/>
      <c r="O123" s="1171" t="s">
        <v>85</v>
      </c>
      <c r="P123" s="1181">
        <f>SUM(P118:P122)</f>
        <v>1140824</v>
      </c>
      <c r="Q123" s="1188"/>
      <c r="R123" s="1188"/>
    </row>
    <row r="124">
      <c r="I124" s="1220" t="s">
        <v>970</v>
      </c>
      <c r="J124" s="1179">
        <v>225000.0</v>
      </c>
      <c r="K124" s="1187" t="s">
        <v>971</v>
      </c>
      <c r="L124" s="147"/>
      <c r="M124" s="1184">
        <f>J120*J121*J122</f>
        <v>55800</v>
      </c>
      <c r="N124" s="1184">
        <f>J122*J123</f>
        <v>18600</v>
      </c>
      <c r="O124" s="1188"/>
      <c r="P124" s="1188"/>
      <c r="Q124" s="1188"/>
      <c r="R124" s="1219"/>
    </row>
    <row r="125">
      <c r="I125" s="1220" t="s">
        <v>965</v>
      </c>
      <c r="J125" s="1189">
        <v>0.13</v>
      </c>
      <c r="K125" s="1187" t="s">
        <v>972</v>
      </c>
      <c r="L125" s="147"/>
      <c r="M125" s="1184">
        <f>SUM(M120:N121)</f>
        <v>1307750</v>
      </c>
      <c r="N125" s="1208"/>
      <c r="O125" s="1188"/>
      <c r="P125" s="1188"/>
      <c r="Q125" s="1188"/>
      <c r="R125" s="1188"/>
    </row>
    <row r="127">
      <c r="I127" s="1164" t="s">
        <v>931</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933</v>
      </c>
      <c r="J128" s="1172">
        <f>DAY(EOMONTH(J127,0))</f>
        <v>30</v>
      </c>
      <c r="K128" s="1173" t="s">
        <v>934</v>
      </c>
      <c r="L128" s="1173" t="s">
        <v>463</v>
      </c>
      <c r="M128" s="1173" t="s">
        <v>935</v>
      </c>
      <c r="N128" s="1173" t="s">
        <v>936</v>
      </c>
      <c r="O128" s="1173" t="s">
        <v>937</v>
      </c>
      <c r="P128" s="1173" t="s">
        <v>938</v>
      </c>
      <c r="Q128" s="1171" t="s">
        <v>939</v>
      </c>
      <c r="R128" s="1174">
        <v>1070.0</v>
      </c>
    </row>
    <row r="129">
      <c r="I129" s="1171" t="s">
        <v>463</v>
      </c>
      <c r="J129" s="1172">
        <f t="array" ref="J129">xlookup(K127,$B$3:$B$14,$C$3:$C$14)*100</f>
        <v>0</v>
      </c>
      <c r="K129" s="1179">
        <f>SUM(M129:O129)</f>
        <v>139</v>
      </c>
      <c r="L129" s="1179">
        <v>100.0</v>
      </c>
      <c r="M129" s="1174">
        <v>71.0</v>
      </c>
      <c r="N129" s="1174">
        <v>62.0</v>
      </c>
      <c r="O129" s="1174">
        <v>6.0</v>
      </c>
      <c r="P129" s="1179">
        <f>K129*J128</f>
        <v>4170</v>
      </c>
      <c r="Q129" s="1180" t="s">
        <v>940</v>
      </c>
      <c r="R129" s="1181">
        <f>P141</f>
        <v>1137210</v>
      </c>
    </row>
    <row r="130">
      <c r="I130" s="1171" t="s">
        <v>941</v>
      </c>
      <c r="J130" s="1174">
        <v>320000.0</v>
      </c>
      <c r="K130" s="1179">
        <f>K129*L130%</f>
        <v>0</v>
      </c>
      <c r="L130" s="1184">
        <f>J129</f>
        <v>0</v>
      </c>
      <c r="M130" s="1179">
        <f>M129*L130%</f>
        <v>0</v>
      </c>
      <c r="N130" s="1179">
        <f>N129*L130%</f>
        <v>0</v>
      </c>
      <c r="O130" s="1179">
        <f>O129*L130%</f>
        <v>0</v>
      </c>
      <c r="P130" s="1179">
        <f>K130*J128</f>
        <v>0</v>
      </c>
      <c r="Q130" s="1171" t="s">
        <v>464</v>
      </c>
      <c r="R130" s="1181">
        <f>R128*P130+R129</f>
        <v>1137210</v>
      </c>
    </row>
    <row r="131">
      <c r="I131" s="1171" t="s">
        <v>942</v>
      </c>
      <c r="J131" s="1224">
        <v>540000.0</v>
      </c>
      <c r="K131" s="1187" t="s">
        <v>943</v>
      </c>
      <c r="L131" s="147"/>
      <c r="M131" s="1174">
        <v>22.926</v>
      </c>
      <c r="N131" s="1174">
        <v>25.365</v>
      </c>
      <c r="O131" s="1174">
        <v>27.8</v>
      </c>
      <c r="P131" s="1188"/>
      <c r="Q131" s="1171" t="s">
        <v>944</v>
      </c>
      <c r="R131" s="1179">
        <f>M136+SUM(M140:N142)</f>
        <v>470055</v>
      </c>
    </row>
    <row r="132">
      <c r="I132" s="1191" t="s">
        <v>945</v>
      </c>
      <c r="J132" s="1196">
        <v>1250.0</v>
      </c>
      <c r="K132" s="1193" t="s">
        <v>946</v>
      </c>
      <c r="L132" s="147"/>
      <c r="M132" s="1179">
        <f t="shared" ref="M132:O132" si="30">M130/(360/M131)</f>
        <v>0</v>
      </c>
      <c r="N132" s="1179">
        <f t="shared" si="30"/>
        <v>0</v>
      </c>
      <c r="O132" s="1179">
        <f t="shared" si="30"/>
        <v>0</v>
      </c>
      <c r="P132" s="1179">
        <f t="shared" ref="P132:P133" si="31">M132+N132+O132</f>
        <v>0</v>
      </c>
      <c r="Q132" s="1171" t="s">
        <v>462</v>
      </c>
      <c r="R132" s="1189">
        <f>R131/R130</f>
        <v>0.413340544</v>
      </c>
    </row>
    <row r="133">
      <c r="I133" s="1195" t="s">
        <v>948</v>
      </c>
      <c r="J133" s="1196">
        <v>6.0</v>
      </c>
      <c r="K133" s="1197" t="s">
        <v>949</v>
      </c>
      <c r="L133" s="1174">
        <v>1230.0</v>
      </c>
      <c r="M133" s="1179">
        <f>M132*(L133*6)</f>
        <v>0</v>
      </c>
      <c r="N133" s="1179">
        <f>N132*(L133*6)</f>
        <v>0</v>
      </c>
      <c r="O133" s="1179">
        <f>O132*(L133*6)</f>
        <v>0</v>
      </c>
      <c r="P133" s="1179">
        <f t="shared" si="31"/>
        <v>0</v>
      </c>
      <c r="Q133" s="1171" t="s">
        <v>947</v>
      </c>
      <c r="R133" s="1181">
        <f>R130-R131-M143</f>
        <v>-640595</v>
      </c>
    </row>
    <row r="134">
      <c r="I134" s="1198" t="s">
        <v>950</v>
      </c>
      <c r="J134" s="1199"/>
      <c r="K134" s="1200"/>
      <c r="L134" s="1188"/>
      <c r="M134" s="1188"/>
      <c r="N134" s="1188"/>
      <c r="O134" s="1188"/>
      <c r="P134" s="1188"/>
      <c r="Q134" s="1171" t="s">
        <v>461</v>
      </c>
      <c r="R134" s="1189">
        <f>R133/R130</f>
        <v>-0.5633040511</v>
      </c>
    </row>
    <row r="135">
      <c r="I135" s="1201" t="s">
        <v>951</v>
      </c>
      <c r="J135" s="1192">
        <v>1300.0</v>
      </c>
      <c r="K135" s="1193" t="s">
        <v>952</v>
      </c>
      <c r="L135" s="147"/>
      <c r="M135" s="1179">
        <f>P133+(P132*J141)</f>
        <v>0</v>
      </c>
      <c r="N135" s="1188"/>
      <c r="O135" s="1202" t="s">
        <v>953</v>
      </c>
      <c r="P135" s="1180" t="s">
        <v>954</v>
      </c>
      <c r="Q135" s="1188"/>
      <c r="R135" s="1188"/>
    </row>
    <row r="136">
      <c r="I136" s="1204" t="s">
        <v>955</v>
      </c>
      <c r="J136" s="1192">
        <v>6.0</v>
      </c>
      <c r="K136" s="1193" t="s">
        <v>956</v>
      </c>
      <c r="L136" s="147"/>
      <c r="M136" s="1179">
        <f>M135*J128+K129*J143*J128*50</f>
        <v>27105</v>
      </c>
      <c r="N136" s="1205"/>
      <c r="O136" s="1206" t="s">
        <v>547</v>
      </c>
      <c r="P136" s="1207">
        <v>302000.0</v>
      </c>
      <c r="Q136" s="1188"/>
      <c r="R136" s="1208"/>
    </row>
    <row r="137">
      <c r="I137" s="1204" t="s">
        <v>957</v>
      </c>
      <c r="J137" s="1192">
        <v>21.7</v>
      </c>
      <c r="K137" s="1193" t="s">
        <v>958</v>
      </c>
      <c r="L137" s="147"/>
      <c r="M137" s="1171" t="s">
        <v>557</v>
      </c>
      <c r="N137" s="1198" t="s">
        <v>531</v>
      </c>
      <c r="O137" s="1206" t="s">
        <v>959</v>
      </c>
      <c r="P137" s="1209">
        <v>350000.0</v>
      </c>
      <c r="Q137" s="1188"/>
      <c r="R137" s="1188"/>
    </row>
    <row r="138">
      <c r="I138" s="1201" t="s">
        <v>960</v>
      </c>
      <c r="J138" s="1210">
        <v>600.0</v>
      </c>
      <c r="K138" s="1193" t="s">
        <v>961</v>
      </c>
      <c r="L138" s="147"/>
      <c r="M138" s="1184">
        <f>J130*1.15</f>
        <v>368000</v>
      </c>
      <c r="N138" s="1211">
        <v>15000.0</v>
      </c>
      <c r="O138" s="1212" t="s">
        <v>962</v>
      </c>
      <c r="P138" s="1174">
        <v>90350.0</v>
      </c>
      <c r="Q138" s="1188"/>
      <c r="R138" s="1188"/>
    </row>
    <row r="139">
      <c r="I139" s="1201" t="s">
        <v>963</v>
      </c>
      <c r="J139" s="1210">
        <v>3.0</v>
      </c>
      <c r="K139" s="1193" t="s">
        <v>964</v>
      </c>
      <c r="L139" s="147"/>
      <c r="M139" s="1184">
        <f>(J131+J142)*1.15</f>
        <v>879750</v>
      </c>
      <c r="N139" s="1184">
        <v>45000.0</v>
      </c>
      <c r="O139" s="1214" t="s">
        <v>965</v>
      </c>
      <c r="P139" s="1174">
        <f>K129*J143*J128*200</f>
        <v>108420</v>
      </c>
      <c r="Q139" s="1188"/>
      <c r="R139" s="1188"/>
    </row>
    <row r="140">
      <c r="I140" s="1201" t="s">
        <v>966</v>
      </c>
      <c r="J140" s="1199">
        <f>J128</f>
        <v>30</v>
      </c>
      <c r="K140" s="1216" t="s">
        <v>967</v>
      </c>
      <c r="L140" s="147"/>
      <c r="M140" s="1184">
        <f>(J128*3-21.7*3)*J132*J133</f>
        <v>186750</v>
      </c>
      <c r="N140" s="1184">
        <f>(J128*3-21.7*3)*J141</f>
        <v>14940</v>
      </c>
      <c r="O140" s="1217" t="s">
        <v>589</v>
      </c>
      <c r="P140" s="1218">
        <v>286440.0</v>
      </c>
      <c r="Q140" s="1188"/>
      <c r="R140" s="1219"/>
    </row>
    <row r="141">
      <c r="I141" s="1220" t="s">
        <v>968</v>
      </c>
      <c r="J141" s="1221">
        <v>600.0</v>
      </c>
      <c r="K141" s="1187" t="s">
        <v>969</v>
      </c>
      <c r="L141" s="147"/>
      <c r="M141" s="1184">
        <f>J135*J136*J137</f>
        <v>169260</v>
      </c>
      <c r="N141" s="1208"/>
      <c r="O141" s="1171" t="s">
        <v>85</v>
      </c>
      <c r="P141" s="1181">
        <f>SUM(P136:P140)</f>
        <v>1137210</v>
      </c>
      <c r="Q141" s="1188"/>
      <c r="R141" s="1188"/>
    </row>
    <row r="142">
      <c r="I142" s="1220" t="s">
        <v>970</v>
      </c>
      <c r="J142" s="1179">
        <v>225000.0</v>
      </c>
      <c r="K142" s="1187" t="s">
        <v>971</v>
      </c>
      <c r="L142" s="147"/>
      <c r="M142" s="1184">
        <f>J138*J139*J140</f>
        <v>54000</v>
      </c>
      <c r="N142" s="1184">
        <f>J140*J141</f>
        <v>18000</v>
      </c>
      <c r="O142" s="1188"/>
      <c r="P142" s="1188"/>
      <c r="Q142" s="1188"/>
      <c r="R142" s="1219"/>
    </row>
    <row r="143">
      <c r="I143" s="1220" t="s">
        <v>965</v>
      </c>
      <c r="J143" s="1189">
        <v>0.13</v>
      </c>
      <c r="K143" s="1187" t="s">
        <v>972</v>
      </c>
      <c r="L143" s="147"/>
      <c r="M143" s="1184">
        <f>SUM(M138:N139)</f>
        <v>1307750</v>
      </c>
      <c r="N143" s="1208"/>
      <c r="O143" s="1188"/>
      <c r="P143" s="1188"/>
      <c r="Q143" s="1188"/>
      <c r="R143" s="1188"/>
    </row>
    <row r="145">
      <c r="I145" s="1164" t="s">
        <v>931</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933</v>
      </c>
      <c r="J146" s="1172">
        <f>DAY(EOMONTH(J145,0))</f>
        <v>31</v>
      </c>
      <c r="K146" s="1173" t="s">
        <v>934</v>
      </c>
      <c r="L146" s="1173" t="s">
        <v>463</v>
      </c>
      <c r="M146" s="1173" t="s">
        <v>935</v>
      </c>
      <c r="N146" s="1173" t="s">
        <v>936</v>
      </c>
      <c r="O146" s="1173" t="s">
        <v>937</v>
      </c>
      <c r="P146" s="1173" t="s">
        <v>938</v>
      </c>
      <c r="Q146" s="1171" t="s">
        <v>939</v>
      </c>
      <c r="R146" s="1174">
        <v>1070.0</v>
      </c>
    </row>
    <row r="147">
      <c r="I147" s="1171" t="s">
        <v>463</v>
      </c>
      <c r="J147" s="1172">
        <f t="array" ref="J147">xlookup(K145,$B$3:$B$14,$C$3:$C$14)*100</f>
        <v>0</v>
      </c>
      <c r="K147" s="1179">
        <f>SUM(M147:O147)</f>
        <v>139</v>
      </c>
      <c r="L147" s="1179">
        <v>100.0</v>
      </c>
      <c r="M147" s="1174">
        <v>71.0</v>
      </c>
      <c r="N147" s="1174">
        <v>62.0</v>
      </c>
      <c r="O147" s="1174">
        <v>6.0</v>
      </c>
      <c r="P147" s="1179">
        <f>K147*J146</f>
        <v>4309</v>
      </c>
      <c r="Q147" s="1180" t="s">
        <v>940</v>
      </c>
      <c r="R147" s="1181">
        <f>P159</f>
        <v>1140824</v>
      </c>
    </row>
    <row r="148">
      <c r="I148" s="1171" t="s">
        <v>941</v>
      </c>
      <c r="J148" s="1174">
        <v>320000.0</v>
      </c>
      <c r="K148" s="1179">
        <f>K147*L148%</f>
        <v>0</v>
      </c>
      <c r="L148" s="1184">
        <f>J147</f>
        <v>0</v>
      </c>
      <c r="M148" s="1179">
        <f>M147*L148%</f>
        <v>0</v>
      </c>
      <c r="N148" s="1179">
        <f>N147*L148%</f>
        <v>0</v>
      </c>
      <c r="O148" s="1179">
        <f>O147*L148%</f>
        <v>0</v>
      </c>
      <c r="P148" s="1179">
        <f>K148*J146</f>
        <v>0</v>
      </c>
      <c r="Q148" s="1171" t="s">
        <v>464</v>
      </c>
      <c r="R148" s="1181">
        <f>R146*P148+R147</f>
        <v>1140824</v>
      </c>
    </row>
    <row r="149">
      <c r="I149" s="1171" t="s">
        <v>942</v>
      </c>
      <c r="J149" s="1224">
        <v>540000.0</v>
      </c>
      <c r="K149" s="1187" t="s">
        <v>943</v>
      </c>
      <c r="L149" s="147"/>
      <c r="M149" s="1174">
        <v>22.926</v>
      </c>
      <c r="N149" s="1174">
        <v>25.365</v>
      </c>
      <c r="O149" s="1174">
        <v>27.8</v>
      </c>
      <c r="P149" s="1188"/>
      <c r="Q149" s="1171" t="s">
        <v>944</v>
      </c>
      <c r="R149" s="1179">
        <f>M154+SUM(M158:N159)</f>
        <v>423258.5</v>
      </c>
    </row>
    <row r="150">
      <c r="I150" s="1191" t="s">
        <v>945</v>
      </c>
      <c r="J150" s="1196">
        <v>1250.0</v>
      </c>
      <c r="K150" s="1193" t="s">
        <v>946</v>
      </c>
      <c r="L150" s="147"/>
      <c r="M150" s="1179">
        <f t="shared" ref="M150:O150" si="32">M148/(360/M149)</f>
        <v>0</v>
      </c>
      <c r="N150" s="1179">
        <f t="shared" si="32"/>
        <v>0</v>
      </c>
      <c r="O150" s="1179">
        <f t="shared" si="32"/>
        <v>0</v>
      </c>
      <c r="P150" s="1179">
        <f t="shared" ref="P150:P151" si="33">M150+N150+O150</f>
        <v>0</v>
      </c>
      <c r="Q150" s="1171" t="s">
        <v>462</v>
      </c>
      <c r="R150" s="1189">
        <f>R149/R148</f>
        <v>0.3710112165</v>
      </c>
    </row>
    <row r="151">
      <c r="I151" s="1195" t="s">
        <v>948</v>
      </c>
      <c r="J151" s="1196">
        <v>6.0</v>
      </c>
      <c r="K151" s="1197" t="s">
        <v>949</v>
      </c>
      <c r="L151" s="1174">
        <v>1230.0</v>
      </c>
      <c r="M151" s="1179">
        <f>M150*(L151*6)</f>
        <v>0</v>
      </c>
      <c r="N151" s="1179">
        <f>N150*(L151*6)</f>
        <v>0</v>
      </c>
      <c r="O151" s="1179">
        <f>O150*(L151*6)</f>
        <v>0</v>
      </c>
      <c r="P151" s="1179">
        <f t="shared" si="33"/>
        <v>0</v>
      </c>
      <c r="Q151" s="1171" t="s">
        <v>947</v>
      </c>
      <c r="R151" s="1181">
        <f>R148-R149-M161</f>
        <v>-590184.5</v>
      </c>
    </row>
    <row r="152">
      <c r="I152" s="1198" t="s">
        <v>950</v>
      </c>
      <c r="J152" s="1199"/>
      <c r="K152" s="1200"/>
      <c r="L152" s="1188"/>
      <c r="M152" s="1188"/>
      <c r="N152" s="1188"/>
      <c r="O152" s="1188"/>
      <c r="P152" s="1188"/>
      <c r="Q152" s="1171" t="s">
        <v>461</v>
      </c>
      <c r="R152" s="1189">
        <f>R151/R148</f>
        <v>-0.5173317707</v>
      </c>
    </row>
    <row r="153">
      <c r="I153" s="1201" t="s">
        <v>951</v>
      </c>
      <c r="J153" s="1192">
        <v>1300.0</v>
      </c>
      <c r="K153" s="1193" t="s">
        <v>952</v>
      </c>
      <c r="L153" s="147"/>
      <c r="M153" s="1179">
        <f>P151+(P150*J159)</f>
        <v>0</v>
      </c>
      <c r="N153" s="1188"/>
      <c r="O153" s="1202" t="s">
        <v>953</v>
      </c>
      <c r="P153" s="1180" t="s">
        <v>954</v>
      </c>
      <c r="Q153" s="1188"/>
      <c r="R153" s="1188"/>
    </row>
    <row r="154">
      <c r="I154" s="1204" t="s">
        <v>955</v>
      </c>
      <c r="J154" s="1192">
        <v>6.0</v>
      </c>
      <c r="K154" s="1193" t="s">
        <v>956</v>
      </c>
      <c r="L154" s="147"/>
      <c r="M154" s="1179">
        <f>M153*J146+K147*J161*J146*50</f>
        <v>28008.5</v>
      </c>
      <c r="N154" s="1205"/>
      <c r="O154" s="1206" t="s">
        <v>547</v>
      </c>
      <c r="P154" s="1207">
        <v>302000.0</v>
      </c>
      <c r="Q154" s="1188"/>
      <c r="R154" s="1208"/>
    </row>
    <row r="155">
      <c r="I155" s="1204" t="s">
        <v>957</v>
      </c>
      <c r="J155" s="1192">
        <v>21.7</v>
      </c>
      <c r="K155" s="1193" t="s">
        <v>958</v>
      </c>
      <c r="L155" s="147"/>
      <c r="M155" s="1171" t="s">
        <v>557</v>
      </c>
      <c r="N155" s="1198" t="s">
        <v>531</v>
      </c>
      <c r="O155" s="1206" t="s">
        <v>959</v>
      </c>
      <c r="P155" s="1209">
        <v>350000.0</v>
      </c>
      <c r="Q155" s="1188"/>
      <c r="R155" s="1188"/>
    </row>
    <row r="156">
      <c r="I156" s="1201" t="s">
        <v>960</v>
      </c>
      <c r="J156" s="1210">
        <v>600.0</v>
      </c>
      <c r="K156" s="1193" t="s">
        <v>961</v>
      </c>
      <c r="L156" s="147"/>
      <c r="M156" s="1184">
        <f>J148*1.15</f>
        <v>368000</v>
      </c>
      <c r="N156" s="1211">
        <v>15000.0</v>
      </c>
      <c r="O156" s="1212" t="s">
        <v>962</v>
      </c>
      <c r="P156" s="1174">
        <v>90350.0</v>
      </c>
      <c r="Q156" s="1188"/>
      <c r="R156" s="1188"/>
    </row>
    <row r="157">
      <c r="I157" s="1201" t="s">
        <v>963</v>
      </c>
      <c r="J157" s="1210">
        <v>3.0</v>
      </c>
      <c r="K157" s="1193" t="s">
        <v>964</v>
      </c>
      <c r="L157" s="147"/>
      <c r="M157" s="1184">
        <f>(J149+J160)*1.15</f>
        <v>879750</v>
      </c>
      <c r="N157" s="1184">
        <v>45000.0</v>
      </c>
      <c r="O157" s="1214" t="s">
        <v>965</v>
      </c>
      <c r="P157" s="1174">
        <f>K147*J161*J146*200</f>
        <v>112034</v>
      </c>
      <c r="Q157" s="1188"/>
      <c r="R157" s="1188"/>
    </row>
    <row r="158">
      <c r="I158" s="1201" t="s">
        <v>966</v>
      </c>
      <c r="J158" s="1199">
        <f>J146</f>
        <v>31</v>
      </c>
      <c r="K158" s="1216" t="s">
        <v>967</v>
      </c>
      <c r="L158" s="147"/>
      <c r="M158" s="1184">
        <f>(J146*3-21.7*3)*J150*J151</f>
        <v>209250</v>
      </c>
      <c r="N158" s="1184">
        <f>(J146*3-21.7*3)*J159</f>
        <v>16740</v>
      </c>
      <c r="O158" s="1217" t="s">
        <v>589</v>
      </c>
      <c r="P158" s="1218">
        <v>286440.0</v>
      </c>
      <c r="Q158" s="1188"/>
      <c r="R158" s="1219"/>
    </row>
    <row r="159">
      <c r="I159" s="1220" t="s">
        <v>968</v>
      </c>
      <c r="J159" s="1221">
        <v>600.0</v>
      </c>
      <c r="K159" s="1187" t="s">
        <v>969</v>
      </c>
      <c r="L159" s="147"/>
      <c r="M159" s="1184">
        <f>J153*J154*J155</f>
        <v>169260</v>
      </c>
      <c r="N159" s="1208"/>
      <c r="O159" s="1171" t="s">
        <v>85</v>
      </c>
      <c r="P159" s="1181">
        <f>SUM(P154:P158)</f>
        <v>1140824</v>
      </c>
      <c r="Q159" s="1188"/>
      <c r="R159" s="1188"/>
    </row>
    <row r="160">
      <c r="I160" s="1220" t="s">
        <v>970</v>
      </c>
      <c r="J160" s="1179">
        <v>225000.0</v>
      </c>
      <c r="K160" s="1187" t="s">
        <v>971</v>
      </c>
      <c r="L160" s="147"/>
      <c r="M160" s="1184">
        <f>J156*J157*J158</f>
        <v>55800</v>
      </c>
      <c r="N160" s="1184">
        <f>J158*J159</f>
        <v>18600</v>
      </c>
      <c r="O160" s="1188"/>
      <c r="P160" s="1188"/>
      <c r="Q160" s="1188"/>
      <c r="R160" s="1219"/>
    </row>
    <row r="161">
      <c r="I161" s="1220" t="s">
        <v>965</v>
      </c>
      <c r="J161" s="1189">
        <v>0.13</v>
      </c>
      <c r="K161" s="1187" t="s">
        <v>972</v>
      </c>
      <c r="L161" s="147"/>
      <c r="M161" s="1184">
        <f>SUM(M156:N157)</f>
        <v>1307750</v>
      </c>
      <c r="N161" s="1208"/>
      <c r="O161" s="1188"/>
      <c r="P161" s="1188"/>
      <c r="Q161" s="1188"/>
      <c r="R161" s="1188"/>
    </row>
    <row r="163">
      <c r="I163" s="1164" t="s">
        <v>931</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933</v>
      </c>
      <c r="J164" s="1172">
        <f>DAY(EOMONTH(J163,0))</f>
        <v>30</v>
      </c>
      <c r="K164" s="1173" t="s">
        <v>934</v>
      </c>
      <c r="L164" s="1173" t="s">
        <v>463</v>
      </c>
      <c r="M164" s="1173" t="s">
        <v>935</v>
      </c>
      <c r="N164" s="1173" t="s">
        <v>936</v>
      </c>
      <c r="O164" s="1173" t="s">
        <v>937</v>
      </c>
      <c r="P164" s="1173" t="s">
        <v>938</v>
      </c>
      <c r="Q164" s="1171" t="s">
        <v>939</v>
      </c>
      <c r="R164" s="1174">
        <v>1070.0</v>
      </c>
    </row>
    <row r="165">
      <c r="I165" s="1171" t="s">
        <v>463</v>
      </c>
      <c r="J165" s="1172">
        <f t="array" ref="J165">xlookup(K163,$B$3:$B$14,$C$3:$C$14)*100</f>
        <v>0</v>
      </c>
      <c r="K165" s="1179">
        <f>SUM(M165:O165)</f>
        <v>139</v>
      </c>
      <c r="L165" s="1179">
        <v>100.0</v>
      </c>
      <c r="M165" s="1174">
        <v>71.0</v>
      </c>
      <c r="N165" s="1174">
        <v>62.0</v>
      </c>
      <c r="O165" s="1174">
        <v>6.0</v>
      </c>
      <c r="P165" s="1179">
        <f>K165*J164</f>
        <v>4170</v>
      </c>
      <c r="Q165" s="1180" t="s">
        <v>940</v>
      </c>
      <c r="R165" s="1181">
        <f>P177</f>
        <v>1137210</v>
      </c>
    </row>
    <row r="166">
      <c r="I166" s="1171" t="s">
        <v>941</v>
      </c>
      <c r="J166" s="1174">
        <v>320000.0</v>
      </c>
      <c r="K166" s="1179">
        <f>K165*L166%</f>
        <v>0</v>
      </c>
      <c r="L166" s="1184">
        <f>J165</f>
        <v>0</v>
      </c>
      <c r="M166" s="1179">
        <f>M165*L166%</f>
        <v>0</v>
      </c>
      <c r="N166" s="1179">
        <f>N165*L166%</f>
        <v>0</v>
      </c>
      <c r="O166" s="1179">
        <f>O165*L166%</f>
        <v>0</v>
      </c>
      <c r="P166" s="1179">
        <f>K166*J164</f>
        <v>0</v>
      </c>
      <c r="Q166" s="1171" t="s">
        <v>464</v>
      </c>
      <c r="R166" s="1181">
        <f>R164*P166+R165</f>
        <v>1137210</v>
      </c>
    </row>
    <row r="167">
      <c r="I167" s="1171" t="s">
        <v>942</v>
      </c>
      <c r="J167" s="1224">
        <v>540000.0</v>
      </c>
      <c r="K167" s="1187" t="s">
        <v>943</v>
      </c>
      <c r="L167" s="147"/>
      <c r="M167" s="1174">
        <v>22.926</v>
      </c>
      <c r="N167" s="1174">
        <v>25.365</v>
      </c>
      <c r="O167" s="1174">
        <v>27.8</v>
      </c>
      <c r="P167" s="1188"/>
      <c r="Q167" s="1171" t="s">
        <v>944</v>
      </c>
      <c r="R167" s="1179">
        <f>M172+SUM(M176:N177)</f>
        <v>405525</v>
      </c>
    </row>
    <row r="168">
      <c r="I168" s="1191" t="s">
        <v>945</v>
      </c>
      <c r="J168" s="1192">
        <v>1300.0</v>
      </c>
      <c r="K168" s="1193" t="s">
        <v>946</v>
      </c>
      <c r="L168" s="147"/>
      <c r="M168" s="1179">
        <f t="shared" ref="M168:O168" si="34">M166/(360/M167)</f>
        <v>0</v>
      </c>
      <c r="N168" s="1179">
        <f t="shared" si="34"/>
        <v>0</v>
      </c>
      <c r="O168" s="1179">
        <f t="shared" si="34"/>
        <v>0</v>
      </c>
      <c r="P168" s="1179">
        <f t="shared" ref="P168:P169" si="35">M168+N168+O168</f>
        <v>0</v>
      </c>
      <c r="Q168" s="1171" t="s">
        <v>462</v>
      </c>
      <c r="R168" s="1189">
        <f>R167/R166</f>
        <v>0.356596407</v>
      </c>
    </row>
    <row r="169">
      <c r="I169" s="1195" t="s">
        <v>948</v>
      </c>
      <c r="J169" s="1196">
        <v>6.0</v>
      </c>
      <c r="K169" s="1197" t="s">
        <v>949</v>
      </c>
      <c r="L169" s="1174">
        <v>1230.0</v>
      </c>
      <c r="M169" s="1179">
        <f>M168*(L169*6)</f>
        <v>0</v>
      </c>
      <c r="N169" s="1179">
        <f>N168*(L169*6)</f>
        <v>0</v>
      </c>
      <c r="O169" s="1179">
        <f>O168*(L169*6)</f>
        <v>0</v>
      </c>
      <c r="P169" s="1179">
        <f t="shared" si="35"/>
        <v>0</v>
      </c>
      <c r="Q169" s="1171" t="s">
        <v>947</v>
      </c>
      <c r="R169" s="1181">
        <f>R166-R167-M179</f>
        <v>-576065</v>
      </c>
    </row>
    <row r="170">
      <c r="I170" s="1198" t="s">
        <v>950</v>
      </c>
      <c r="J170" s="1199"/>
      <c r="K170" s="1200"/>
      <c r="L170" s="1188"/>
      <c r="M170" s="1188"/>
      <c r="N170" s="1188"/>
      <c r="O170" s="1188"/>
      <c r="P170" s="1188"/>
      <c r="Q170" s="1171" t="s">
        <v>461</v>
      </c>
      <c r="R170" s="1189">
        <f>R169/R166</f>
        <v>-0.5065599142</v>
      </c>
    </row>
    <row r="171">
      <c r="I171" s="1201" t="s">
        <v>951</v>
      </c>
      <c r="J171" s="1192">
        <v>1300.0</v>
      </c>
      <c r="K171" s="1193" t="s">
        <v>952</v>
      </c>
      <c r="L171" s="147"/>
      <c r="M171" s="1179">
        <f>P169+(P168*J177)</f>
        <v>0</v>
      </c>
      <c r="N171" s="1188"/>
      <c r="O171" s="1202" t="s">
        <v>953</v>
      </c>
      <c r="P171" s="1180" t="s">
        <v>954</v>
      </c>
      <c r="Q171" s="1188"/>
      <c r="R171" s="1188"/>
    </row>
    <row r="172">
      <c r="I172" s="1204" t="s">
        <v>955</v>
      </c>
      <c r="J172" s="1192">
        <v>6.0</v>
      </c>
      <c r="K172" s="1193" t="s">
        <v>956</v>
      </c>
      <c r="L172" s="147"/>
      <c r="M172" s="1179">
        <f>M171*J164+K165*J179*J164*50</f>
        <v>27105</v>
      </c>
      <c r="N172" s="1205"/>
      <c r="O172" s="1206" t="s">
        <v>547</v>
      </c>
      <c r="P172" s="1207">
        <v>302000.0</v>
      </c>
      <c r="Q172" s="1188"/>
      <c r="R172" s="1208"/>
    </row>
    <row r="173">
      <c r="I173" s="1204" t="s">
        <v>957</v>
      </c>
      <c r="J173" s="1192">
        <v>21.7</v>
      </c>
      <c r="K173" s="1193" t="s">
        <v>958</v>
      </c>
      <c r="L173" s="147"/>
      <c r="M173" s="1171" t="s">
        <v>557</v>
      </c>
      <c r="N173" s="1198" t="s">
        <v>531</v>
      </c>
      <c r="O173" s="1206" t="s">
        <v>959</v>
      </c>
      <c r="P173" s="1209">
        <v>350000.0</v>
      </c>
      <c r="Q173" s="1188"/>
      <c r="R173" s="1188"/>
    </row>
    <row r="174">
      <c r="I174" s="1201" t="s">
        <v>960</v>
      </c>
      <c r="J174" s="1210">
        <v>600.0</v>
      </c>
      <c r="K174" s="1193" t="s">
        <v>961</v>
      </c>
      <c r="L174" s="147"/>
      <c r="M174" s="1184">
        <f>J166*1.15</f>
        <v>368000</v>
      </c>
      <c r="N174" s="1211">
        <v>15000.0</v>
      </c>
      <c r="O174" s="1212" t="s">
        <v>962</v>
      </c>
      <c r="P174" s="1174">
        <v>90350.0</v>
      </c>
      <c r="Q174" s="1188"/>
      <c r="R174" s="1188"/>
    </row>
    <row r="175">
      <c r="I175" s="1201" t="s">
        <v>963</v>
      </c>
      <c r="J175" s="1210">
        <v>3.0</v>
      </c>
      <c r="K175" s="1193" t="s">
        <v>964</v>
      </c>
      <c r="L175" s="147"/>
      <c r="M175" s="1184">
        <f>(J167+J178)*1.15</f>
        <v>879750</v>
      </c>
      <c r="N175" s="1184">
        <v>45000.0</v>
      </c>
      <c r="O175" s="1214" t="s">
        <v>965</v>
      </c>
      <c r="P175" s="1174">
        <f>K165*J179*J164*200</f>
        <v>108420</v>
      </c>
      <c r="Q175" s="1188"/>
      <c r="R175" s="1188"/>
    </row>
    <row r="176">
      <c r="I176" s="1201" t="s">
        <v>966</v>
      </c>
      <c r="J176" s="1199">
        <f>J164</f>
        <v>30</v>
      </c>
      <c r="K176" s="1216" t="s">
        <v>967</v>
      </c>
      <c r="L176" s="147"/>
      <c r="M176" s="1184">
        <f>(J164*3-21.7*3)*J168*J169</f>
        <v>194220</v>
      </c>
      <c r="N176" s="1184">
        <f>(J164*3-21.7*3)*J177</f>
        <v>14940</v>
      </c>
      <c r="O176" s="1217" t="s">
        <v>589</v>
      </c>
      <c r="P176" s="1218">
        <v>286440.0</v>
      </c>
      <c r="Q176" s="1188"/>
      <c r="R176" s="1219"/>
    </row>
    <row r="177">
      <c r="I177" s="1220" t="s">
        <v>968</v>
      </c>
      <c r="J177" s="1221">
        <v>600.0</v>
      </c>
      <c r="K177" s="1187" t="s">
        <v>969</v>
      </c>
      <c r="L177" s="147"/>
      <c r="M177" s="1184">
        <f>J171*J172*J173</f>
        <v>169260</v>
      </c>
      <c r="N177" s="1208"/>
      <c r="O177" s="1171" t="s">
        <v>85</v>
      </c>
      <c r="P177" s="1181">
        <f>SUM(P172:P176)</f>
        <v>1137210</v>
      </c>
      <c r="Q177" s="1188"/>
      <c r="R177" s="1188"/>
    </row>
    <row r="178">
      <c r="I178" s="1220" t="s">
        <v>970</v>
      </c>
      <c r="J178" s="1179">
        <v>225000.0</v>
      </c>
      <c r="K178" s="1187" t="s">
        <v>971</v>
      </c>
      <c r="L178" s="147"/>
      <c r="M178" s="1184">
        <f>J174*J175*J176</f>
        <v>54000</v>
      </c>
      <c r="N178" s="1184">
        <f>J176*J177</f>
        <v>18000</v>
      </c>
      <c r="O178" s="1188"/>
      <c r="P178" s="1188"/>
      <c r="Q178" s="1188"/>
      <c r="R178" s="1219"/>
    </row>
    <row r="179">
      <c r="I179" s="1220" t="s">
        <v>965</v>
      </c>
      <c r="J179" s="1189">
        <v>0.13</v>
      </c>
      <c r="K179" s="1187" t="s">
        <v>972</v>
      </c>
      <c r="L179" s="147"/>
      <c r="M179" s="1184">
        <f>SUM(M174:N175)</f>
        <v>1307750</v>
      </c>
      <c r="N179" s="1208"/>
      <c r="O179" s="1188"/>
      <c r="P179" s="1188"/>
      <c r="Q179" s="1188"/>
      <c r="R179" s="1188"/>
    </row>
    <row r="181">
      <c r="I181" s="1164" t="s">
        <v>931</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933</v>
      </c>
      <c r="J182" s="1172">
        <f>DAY(EOMONTH(J181,0))</f>
        <v>31</v>
      </c>
      <c r="K182" s="1173" t="s">
        <v>934</v>
      </c>
      <c r="L182" s="1173" t="s">
        <v>463</v>
      </c>
      <c r="M182" s="1173" t="s">
        <v>935</v>
      </c>
      <c r="N182" s="1173" t="s">
        <v>936</v>
      </c>
      <c r="O182" s="1173" t="s">
        <v>937</v>
      </c>
      <c r="P182" s="1173" t="s">
        <v>938</v>
      </c>
      <c r="Q182" s="1171" t="s">
        <v>939</v>
      </c>
      <c r="R182" s="1174">
        <v>1070.0</v>
      </c>
    </row>
    <row r="183">
      <c r="I183" s="1171" t="s">
        <v>463</v>
      </c>
      <c r="J183" s="1172">
        <f t="array" ref="J183">xlookup(K181,$B$3:$B$14,$C$3:$C$14)*100</f>
        <v>0</v>
      </c>
      <c r="K183" s="1179">
        <f>SUM(M183:O183)</f>
        <v>139</v>
      </c>
      <c r="L183" s="1179">
        <v>100.0</v>
      </c>
      <c r="M183" s="1174">
        <v>71.0</v>
      </c>
      <c r="N183" s="1174">
        <v>62.0</v>
      </c>
      <c r="O183" s="1174">
        <v>6.0</v>
      </c>
      <c r="P183" s="1179">
        <f>K183*J182</f>
        <v>4309</v>
      </c>
      <c r="Q183" s="1180" t="s">
        <v>940</v>
      </c>
      <c r="R183" s="1181">
        <f>P195</f>
        <v>1140824</v>
      </c>
    </row>
    <row r="184">
      <c r="I184" s="1171" t="s">
        <v>941</v>
      </c>
      <c r="J184" s="1174">
        <v>320000.0</v>
      </c>
      <c r="K184" s="1179">
        <f>K183*L184%</f>
        <v>0</v>
      </c>
      <c r="L184" s="1184">
        <f>J183</f>
        <v>0</v>
      </c>
      <c r="M184" s="1179">
        <f>M183*L184%</f>
        <v>0</v>
      </c>
      <c r="N184" s="1179">
        <f>N183*L184%</f>
        <v>0</v>
      </c>
      <c r="O184" s="1179">
        <f>O183*L184%</f>
        <v>0</v>
      </c>
      <c r="P184" s="1179">
        <f>K184*J182</f>
        <v>0</v>
      </c>
      <c r="Q184" s="1171" t="s">
        <v>464</v>
      </c>
      <c r="R184" s="1181">
        <f>R182*P184+R183</f>
        <v>1140824</v>
      </c>
    </row>
    <row r="185">
      <c r="I185" s="1171" t="s">
        <v>942</v>
      </c>
      <c r="J185" s="1224">
        <v>540000.0</v>
      </c>
      <c r="K185" s="1187" t="s">
        <v>943</v>
      </c>
      <c r="L185" s="147"/>
      <c r="M185" s="1174">
        <v>22.926</v>
      </c>
      <c r="N185" s="1174">
        <v>25.365</v>
      </c>
      <c r="O185" s="1174">
        <v>27.8</v>
      </c>
      <c r="P185" s="1188"/>
      <c r="Q185" s="1171" t="s">
        <v>944</v>
      </c>
      <c r="R185" s="1179">
        <f>M190+SUM(M194:N195)</f>
        <v>444648.5</v>
      </c>
    </row>
    <row r="186">
      <c r="I186" s="1191" t="s">
        <v>945</v>
      </c>
      <c r="J186" s="1192">
        <v>1300.0</v>
      </c>
      <c r="K186" s="1193" t="s">
        <v>946</v>
      </c>
      <c r="L186" s="147"/>
      <c r="M186" s="1179">
        <f t="shared" ref="M186:O186" si="36">M184/(360/M185)</f>
        <v>0</v>
      </c>
      <c r="N186" s="1179">
        <f t="shared" si="36"/>
        <v>0</v>
      </c>
      <c r="O186" s="1179">
        <f t="shared" si="36"/>
        <v>0</v>
      </c>
      <c r="P186" s="1179">
        <f t="shared" ref="P186:P187" si="37">M186+N186+O186</f>
        <v>0</v>
      </c>
      <c r="Q186" s="1171" t="s">
        <v>462</v>
      </c>
      <c r="R186" s="1189">
        <f>R185/R184</f>
        <v>0.389760822</v>
      </c>
    </row>
    <row r="187">
      <c r="I187" s="1195" t="s">
        <v>948</v>
      </c>
      <c r="J187" s="1196">
        <v>6.0</v>
      </c>
      <c r="K187" s="1197" t="s">
        <v>949</v>
      </c>
      <c r="L187" s="1174">
        <v>1230.0</v>
      </c>
      <c r="M187" s="1179">
        <f>M186*(L187*6)</f>
        <v>0</v>
      </c>
      <c r="N187" s="1179">
        <f>N186*(L187*6)</f>
        <v>0</v>
      </c>
      <c r="O187" s="1179">
        <f>O186*(L187*6)</f>
        <v>0</v>
      </c>
      <c r="P187" s="1179">
        <f t="shared" si="37"/>
        <v>0</v>
      </c>
      <c r="Q187" s="1171" t="s">
        <v>947</v>
      </c>
      <c r="R187" s="1181">
        <f>R184-R185-M197</f>
        <v>-611574.5</v>
      </c>
    </row>
    <row r="188">
      <c r="I188" s="1198" t="s">
        <v>950</v>
      </c>
      <c r="J188" s="1199"/>
      <c r="K188" s="1200"/>
      <c r="L188" s="1188"/>
      <c r="M188" s="1188"/>
      <c r="N188" s="1188"/>
      <c r="O188" s="1188"/>
      <c r="P188" s="1188"/>
      <c r="Q188" s="1171" t="s">
        <v>461</v>
      </c>
      <c r="R188" s="1189">
        <f>R187/R184</f>
        <v>-0.5360813763</v>
      </c>
    </row>
    <row r="189">
      <c r="I189" s="1201" t="s">
        <v>951</v>
      </c>
      <c r="J189" s="1192">
        <v>1300.0</v>
      </c>
      <c r="K189" s="1193" t="s">
        <v>952</v>
      </c>
      <c r="L189" s="147"/>
      <c r="M189" s="1179">
        <f>P187+(P186*J195)</f>
        <v>0</v>
      </c>
      <c r="N189" s="1188"/>
      <c r="O189" s="1202" t="s">
        <v>953</v>
      </c>
      <c r="P189" s="1180" t="s">
        <v>954</v>
      </c>
      <c r="Q189" s="1188"/>
      <c r="R189" s="1188"/>
    </row>
    <row r="190">
      <c r="I190" s="1204" t="s">
        <v>955</v>
      </c>
      <c r="J190" s="1192">
        <v>6.0</v>
      </c>
      <c r="K190" s="1193" t="s">
        <v>956</v>
      </c>
      <c r="L190" s="147"/>
      <c r="M190" s="1179">
        <f>M189*J182+K183*J197*J182*50</f>
        <v>28008.5</v>
      </c>
      <c r="N190" s="1205"/>
      <c r="O190" s="1206" t="s">
        <v>547</v>
      </c>
      <c r="P190" s="1207">
        <v>302000.0</v>
      </c>
      <c r="Q190" s="1188"/>
      <c r="R190" s="1208"/>
    </row>
    <row r="191">
      <c r="I191" s="1204" t="s">
        <v>957</v>
      </c>
      <c r="J191" s="1192">
        <v>21.7</v>
      </c>
      <c r="K191" s="1193" t="s">
        <v>958</v>
      </c>
      <c r="L191" s="147"/>
      <c r="M191" s="1171" t="s">
        <v>557</v>
      </c>
      <c r="N191" s="1198" t="s">
        <v>531</v>
      </c>
      <c r="O191" s="1206" t="s">
        <v>959</v>
      </c>
      <c r="P191" s="1209">
        <v>350000.0</v>
      </c>
      <c r="Q191" s="1188"/>
      <c r="R191" s="1188"/>
    </row>
    <row r="192">
      <c r="I192" s="1201" t="s">
        <v>960</v>
      </c>
      <c r="J192" s="1210">
        <v>600.0</v>
      </c>
      <c r="K192" s="1193" t="s">
        <v>961</v>
      </c>
      <c r="L192" s="147"/>
      <c r="M192" s="1184">
        <f>J184*1.15</f>
        <v>368000</v>
      </c>
      <c r="N192" s="1211">
        <v>15000.0</v>
      </c>
      <c r="O192" s="1212" t="s">
        <v>962</v>
      </c>
      <c r="P192" s="1174">
        <v>90350.0</v>
      </c>
      <c r="Q192" s="1188"/>
      <c r="R192" s="1188"/>
    </row>
    <row r="193">
      <c r="I193" s="1201" t="s">
        <v>963</v>
      </c>
      <c r="J193" s="1210">
        <v>3.0</v>
      </c>
      <c r="K193" s="1193" t="s">
        <v>964</v>
      </c>
      <c r="L193" s="147"/>
      <c r="M193" s="1184">
        <f>(J185+J196)*1.15</f>
        <v>879750</v>
      </c>
      <c r="N193" s="1184">
        <v>45000.0</v>
      </c>
      <c r="O193" s="1214" t="s">
        <v>965</v>
      </c>
      <c r="P193" s="1174">
        <f>K183*J197*J182*200</f>
        <v>112034</v>
      </c>
      <c r="Q193" s="1188"/>
      <c r="R193" s="1188"/>
    </row>
    <row r="194">
      <c r="I194" s="1201" t="s">
        <v>966</v>
      </c>
      <c r="J194" s="1199">
        <f>J182</f>
        <v>31</v>
      </c>
      <c r="K194" s="1216" t="s">
        <v>967</v>
      </c>
      <c r="L194" s="147"/>
      <c r="M194" s="1184">
        <f>(J182*3-21.7*3)*J186*J187</f>
        <v>217620</v>
      </c>
      <c r="N194" s="1184">
        <f>(J182*3-21.7*3)*J195</f>
        <v>16740</v>
      </c>
      <c r="O194" s="1225" t="s">
        <v>589</v>
      </c>
      <c r="P194" s="1223">
        <v>286440.0</v>
      </c>
      <c r="Q194" s="1188"/>
      <c r="R194" s="1219"/>
    </row>
    <row r="195">
      <c r="I195" s="1220" t="s">
        <v>968</v>
      </c>
      <c r="J195" s="1221">
        <v>600.0</v>
      </c>
      <c r="K195" s="1187" t="s">
        <v>969</v>
      </c>
      <c r="L195" s="147"/>
      <c r="M195" s="1184">
        <f>J189*J190*J191</f>
        <v>169260</v>
      </c>
      <c r="N195" s="1222">
        <f>J191*J195</f>
        <v>13020</v>
      </c>
      <c r="O195" s="1171" t="s">
        <v>85</v>
      </c>
      <c r="P195" s="1181">
        <f>SUM(P190:P194)</f>
        <v>1140824</v>
      </c>
      <c r="Q195" s="1188"/>
      <c r="R195" s="1188"/>
    </row>
    <row r="196">
      <c r="I196" s="1220" t="s">
        <v>970</v>
      </c>
      <c r="J196" s="1179">
        <v>225000.0</v>
      </c>
      <c r="K196" s="1187" t="s">
        <v>971</v>
      </c>
      <c r="L196" s="147"/>
      <c r="M196" s="1184">
        <f>J192*J193*J194</f>
        <v>55800</v>
      </c>
      <c r="N196" s="1184"/>
      <c r="O196" s="1188"/>
      <c r="P196" s="1188"/>
      <c r="Q196" s="1188"/>
      <c r="R196" s="1219"/>
    </row>
    <row r="197">
      <c r="I197" s="1220" t="s">
        <v>965</v>
      </c>
      <c r="J197" s="1189">
        <v>0.13</v>
      </c>
      <c r="K197" s="1187" t="s">
        <v>972</v>
      </c>
      <c r="L197" s="147"/>
      <c r="M197" s="1184">
        <f>SUM(M192:N193)</f>
        <v>1307750</v>
      </c>
      <c r="N197" s="1208"/>
      <c r="O197" s="1188"/>
      <c r="P197" s="1188"/>
      <c r="Q197" s="1188"/>
      <c r="R197" s="1188"/>
    </row>
    <row r="199">
      <c r="I199" s="1164" t="s">
        <v>931</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933</v>
      </c>
      <c r="J200" s="1172">
        <f>DAY(EOMONTH(J199,0))</f>
        <v>31</v>
      </c>
      <c r="K200" s="1173" t="s">
        <v>934</v>
      </c>
      <c r="L200" s="1173" t="s">
        <v>463</v>
      </c>
      <c r="M200" s="1173" t="s">
        <v>935</v>
      </c>
      <c r="N200" s="1173" t="s">
        <v>936</v>
      </c>
      <c r="O200" s="1173" t="s">
        <v>937</v>
      </c>
      <c r="P200" s="1173" t="s">
        <v>938</v>
      </c>
      <c r="Q200" s="1171" t="s">
        <v>939</v>
      </c>
      <c r="R200" s="1174">
        <v>1070.0</v>
      </c>
    </row>
    <row r="201">
      <c r="I201" s="1171" t="s">
        <v>463</v>
      </c>
      <c r="J201" s="1172">
        <f t="array" ref="J201">xlookup(K199,$B$3:$B$14,$C$3:$C$14)*100</f>
        <v>0</v>
      </c>
      <c r="K201" s="1179">
        <f>SUM(M201:O201)</f>
        <v>139</v>
      </c>
      <c r="L201" s="1179">
        <v>100.0</v>
      </c>
      <c r="M201" s="1174">
        <v>71.0</v>
      </c>
      <c r="N201" s="1174">
        <v>62.0</v>
      </c>
      <c r="O201" s="1174">
        <v>6.0</v>
      </c>
      <c r="P201" s="1179">
        <f>K201*J200</f>
        <v>4309</v>
      </c>
      <c r="Q201" s="1180" t="s">
        <v>940</v>
      </c>
      <c r="R201" s="1181">
        <f>P213</f>
        <v>1140824</v>
      </c>
    </row>
    <row r="202">
      <c r="I202" s="1171" t="s">
        <v>941</v>
      </c>
      <c r="J202" s="1174">
        <v>320000.0</v>
      </c>
      <c r="K202" s="1179">
        <f>K201*L202%</f>
        <v>0</v>
      </c>
      <c r="L202" s="1184">
        <f>J201</f>
        <v>0</v>
      </c>
      <c r="M202" s="1179">
        <f>M201*L202%</f>
        <v>0</v>
      </c>
      <c r="N202" s="1179">
        <f>N201*L202%</f>
        <v>0</v>
      </c>
      <c r="O202" s="1179">
        <f>O201*L202%</f>
        <v>0</v>
      </c>
      <c r="P202" s="1179">
        <f>K202*J200</f>
        <v>0</v>
      </c>
      <c r="Q202" s="1171" t="s">
        <v>464</v>
      </c>
      <c r="R202" s="1181">
        <f>R200*P202+R201</f>
        <v>1140824</v>
      </c>
    </row>
    <row r="203">
      <c r="I203" s="1171" t="s">
        <v>942</v>
      </c>
      <c r="J203" s="1224">
        <v>540000.0</v>
      </c>
      <c r="K203" s="1187" t="s">
        <v>943</v>
      </c>
      <c r="L203" s="147"/>
      <c r="M203" s="1174">
        <v>22.926</v>
      </c>
      <c r="N203" s="1174">
        <v>25.365</v>
      </c>
      <c r="O203" s="1174">
        <v>27.8</v>
      </c>
      <c r="P203" s="1188"/>
      <c r="Q203" s="1171" t="s">
        <v>944</v>
      </c>
      <c r="R203" s="1179">
        <f>M208+SUM(M212:N214)</f>
        <v>500448.5</v>
      </c>
    </row>
    <row r="204">
      <c r="I204" s="1191" t="s">
        <v>945</v>
      </c>
      <c r="J204" s="1192">
        <v>1300.0</v>
      </c>
      <c r="K204" s="1193" t="s">
        <v>946</v>
      </c>
      <c r="L204" s="147"/>
      <c r="M204" s="1179">
        <f t="shared" ref="M204:O204" si="38">M202/(360/M203)</f>
        <v>0</v>
      </c>
      <c r="N204" s="1179">
        <f t="shared" si="38"/>
        <v>0</v>
      </c>
      <c r="O204" s="1179">
        <f t="shared" si="38"/>
        <v>0</v>
      </c>
      <c r="P204" s="1179">
        <f t="shared" ref="P204:P205" si="39">M204+N204+O204</f>
        <v>0</v>
      </c>
      <c r="Q204" s="1171" t="s">
        <v>462</v>
      </c>
      <c r="R204" s="1189">
        <f>R203/R202</f>
        <v>0.4386728365</v>
      </c>
    </row>
    <row r="205">
      <c r="I205" s="1195" t="s">
        <v>948</v>
      </c>
      <c r="J205" s="1196">
        <v>6.0</v>
      </c>
      <c r="K205" s="1197" t="s">
        <v>949</v>
      </c>
      <c r="L205" s="1174">
        <v>1230.0</v>
      </c>
      <c r="M205" s="1179">
        <f>M204*(L205*6)</f>
        <v>0</v>
      </c>
      <c r="N205" s="1179">
        <f>N204*(L205*6)</f>
        <v>0</v>
      </c>
      <c r="O205" s="1179">
        <f>O204*(L205*6)</f>
        <v>0</v>
      </c>
      <c r="P205" s="1179">
        <f t="shared" si="39"/>
        <v>0</v>
      </c>
      <c r="Q205" s="1171" t="s">
        <v>947</v>
      </c>
      <c r="R205" s="1181">
        <f>R202-R203-M215</f>
        <v>-667374.5</v>
      </c>
    </row>
    <row r="206">
      <c r="I206" s="1198" t="s">
        <v>950</v>
      </c>
      <c r="J206" s="1199"/>
      <c r="K206" s="1200"/>
      <c r="L206" s="1188"/>
      <c r="M206" s="1188"/>
      <c r="N206" s="1188"/>
      <c r="O206" s="1188"/>
      <c r="P206" s="1188"/>
      <c r="Q206" s="1171" t="s">
        <v>461</v>
      </c>
      <c r="R206" s="1189">
        <f>R205/R202</f>
        <v>-0.5849933907</v>
      </c>
    </row>
    <row r="207">
      <c r="I207" s="1201" t="s">
        <v>951</v>
      </c>
      <c r="J207" s="1192">
        <v>1300.0</v>
      </c>
      <c r="K207" s="1193" t="s">
        <v>952</v>
      </c>
      <c r="L207" s="147"/>
      <c r="M207" s="1179">
        <f>P205+(P204*J213)</f>
        <v>0</v>
      </c>
      <c r="N207" s="1188"/>
      <c r="O207" s="1202" t="s">
        <v>953</v>
      </c>
      <c r="P207" s="1180" t="s">
        <v>954</v>
      </c>
      <c r="Q207" s="1188"/>
      <c r="R207" s="1188"/>
    </row>
    <row r="208">
      <c r="I208" s="1204" t="s">
        <v>955</v>
      </c>
      <c r="J208" s="1192">
        <v>6.0</v>
      </c>
      <c r="K208" s="1193" t="s">
        <v>956</v>
      </c>
      <c r="L208" s="147"/>
      <c r="M208" s="1179">
        <f>M207*J200+K201*J215*J200*50</f>
        <v>28008.5</v>
      </c>
      <c r="N208" s="1205"/>
      <c r="O208" s="1206" t="s">
        <v>547</v>
      </c>
      <c r="P208" s="1207">
        <v>302000.0</v>
      </c>
      <c r="Q208" s="1188"/>
      <c r="R208" s="1208"/>
    </row>
    <row r="209">
      <c r="I209" s="1204" t="s">
        <v>957</v>
      </c>
      <c r="J209" s="1192">
        <v>21.7</v>
      </c>
      <c r="K209" s="1193" t="s">
        <v>958</v>
      </c>
      <c r="L209" s="147"/>
      <c r="M209" s="1171" t="s">
        <v>557</v>
      </c>
      <c r="N209" s="1198" t="s">
        <v>531</v>
      </c>
      <c r="O209" s="1206" t="s">
        <v>959</v>
      </c>
      <c r="P209" s="1209">
        <v>350000.0</v>
      </c>
      <c r="Q209" s="1188"/>
      <c r="R209" s="1188"/>
    </row>
    <row r="210">
      <c r="I210" s="1201" t="s">
        <v>960</v>
      </c>
      <c r="J210" s="1210">
        <v>600.0</v>
      </c>
      <c r="K210" s="1193" t="s">
        <v>961</v>
      </c>
      <c r="L210" s="147"/>
      <c r="M210" s="1184">
        <f>J202*1.15</f>
        <v>368000</v>
      </c>
      <c r="N210" s="1211">
        <v>15000.0</v>
      </c>
      <c r="O210" s="1212" t="s">
        <v>962</v>
      </c>
      <c r="P210" s="1174">
        <v>90350.0</v>
      </c>
      <c r="Q210" s="1188"/>
      <c r="R210" s="1188"/>
    </row>
    <row r="211">
      <c r="I211" s="1201" t="s">
        <v>963</v>
      </c>
      <c r="J211" s="1210">
        <v>3.0</v>
      </c>
      <c r="K211" s="1193" t="s">
        <v>964</v>
      </c>
      <c r="L211" s="147"/>
      <c r="M211" s="1184">
        <f>(J203+J214)*1.15</f>
        <v>879750</v>
      </c>
      <c r="N211" s="1184">
        <v>45000.0</v>
      </c>
      <c r="O211" s="1214" t="s">
        <v>965</v>
      </c>
      <c r="P211" s="1174">
        <f>K201*J215*J200*200</f>
        <v>112034</v>
      </c>
      <c r="Q211" s="1188"/>
      <c r="R211" s="1188"/>
    </row>
    <row r="212">
      <c r="I212" s="1201" t="s">
        <v>966</v>
      </c>
      <c r="J212" s="1199">
        <f>J200</f>
        <v>31</v>
      </c>
      <c r="K212" s="1216" t="s">
        <v>967</v>
      </c>
      <c r="L212" s="147"/>
      <c r="M212" s="1184">
        <f>(J200*3-21.7*3)*J204*J205</f>
        <v>217620</v>
      </c>
      <c r="N212" s="1184">
        <f>(J200*3-21.7*3)*J213</f>
        <v>16740</v>
      </c>
      <c r="O212" s="1217" t="s">
        <v>589</v>
      </c>
      <c r="P212" s="1218">
        <v>286440.0</v>
      </c>
      <c r="Q212" s="1188"/>
      <c r="R212" s="1219"/>
    </row>
    <row r="213">
      <c r="I213" s="1220" t="s">
        <v>968</v>
      </c>
      <c r="J213" s="1221">
        <v>600.0</v>
      </c>
      <c r="K213" s="1187" t="s">
        <v>969</v>
      </c>
      <c r="L213" s="147"/>
      <c r="M213" s="1184">
        <f>J207*J208*J209</f>
        <v>169260</v>
      </c>
      <c r="N213" s="1222">
        <f>J209*J213</f>
        <v>13020</v>
      </c>
      <c r="O213" s="1171" t="s">
        <v>85</v>
      </c>
      <c r="P213" s="1181">
        <f>SUM(P208:P212)</f>
        <v>1140824</v>
      </c>
      <c r="Q213" s="1188"/>
      <c r="R213" s="1188"/>
    </row>
    <row r="214">
      <c r="I214" s="1220" t="s">
        <v>970</v>
      </c>
      <c r="J214" s="1179">
        <v>225000.0</v>
      </c>
      <c r="K214" s="1187" t="s">
        <v>971</v>
      </c>
      <c r="L214" s="147"/>
      <c r="M214" s="1184">
        <f>J210*J211*J212</f>
        <v>55800</v>
      </c>
      <c r="N214" s="1184"/>
      <c r="O214" s="1188"/>
      <c r="P214" s="1188"/>
      <c r="Q214" s="1188"/>
      <c r="R214" s="1219"/>
    </row>
    <row r="215">
      <c r="I215" s="1220" t="s">
        <v>965</v>
      </c>
      <c r="J215" s="1189">
        <v>0.13</v>
      </c>
      <c r="K215" s="1187" t="s">
        <v>972</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973</v>
      </c>
      <c r="C1" s="1227"/>
      <c r="D1" s="1227"/>
      <c r="E1" s="328"/>
      <c r="F1" s="1228" t="s">
        <v>974</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975</v>
      </c>
      <c r="C2" s="328"/>
      <c r="D2" s="328"/>
      <c r="E2" s="328"/>
      <c r="F2" s="351"/>
      <c r="G2" s="328"/>
      <c r="H2" s="328"/>
      <c r="I2" s="328"/>
      <c r="J2" s="328"/>
      <c r="K2" s="328"/>
      <c r="L2" s="328"/>
      <c r="M2" s="328"/>
      <c r="N2" s="328"/>
      <c r="O2" s="1229"/>
      <c r="P2" s="1237">
        <f>month(P3)</f>
        <v>2</v>
      </c>
      <c r="Q2" s="1238" t="s">
        <v>976</v>
      </c>
      <c r="R2" s="1239" t="s">
        <v>977</v>
      </c>
      <c r="S2" s="1240" t="s">
        <v>978</v>
      </c>
      <c r="T2" s="1240" t="s">
        <v>979</v>
      </c>
      <c r="U2" s="1240" t="s">
        <v>980</v>
      </c>
      <c r="V2" s="1241" t="s">
        <v>981</v>
      </c>
      <c r="W2" s="1240" t="s">
        <v>982</v>
      </c>
      <c r="X2" s="1240" t="s">
        <v>983</v>
      </c>
      <c r="Y2" s="1237"/>
      <c r="Z2" s="1237">
        <f>month(Z3)</f>
        <v>3</v>
      </c>
      <c r="AA2" s="1238" t="s">
        <v>976</v>
      </c>
      <c r="AB2" s="1239" t="s">
        <v>977</v>
      </c>
      <c r="AC2" s="1240" t="s">
        <v>978</v>
      </c>
      <c r="AD2" s="1240" t="s">
        <v>979</v>
      </c>
      <c r="AE2" s="1240" t="s">
        <v>980</v>
      </c>
      <c r="AF2" s="1241" t="s">
        <v>984</v>
      </c>
      <c r="AG2" s="1240" t="s">
        <v>982</v>
      </c>
      <c r="AH2" s="1240" t="s">
        <v>983</v>
      </c>
      <c r="AI2" s="1237"/>
      <c r="AJ2" s="1237">
        <f>month(AJ3)</f>
        <v>4</v>
      </c>
      <c r="AK2" s="1238" t="s">
        <v>976</v>
      </c>
      <c r="AL2" s="1239" t="s">
        <v>977</v>
      </c>
      <c r="AM2" s="1240" t="s">
        <v>978</v>
      </c>
      <c r="AN2" s="1240" t="s">
        <v>979</v>
      </c>
      <c r="AO2" s="1240" t="s">
        <v>980</v>
      </c>
      <c r="AP2" s="1241" t="s">
        <v>985</v>
      </c>
      <c r="AQ2" s="1240" t="s">
        <v>982</v>
      </c>
      <c r="AR2" s="1240" t="s">
        <v>983</v>
      </c>
      <c r="AS2" s="1240"/>
      <c r="AT2" s="1237">
        <f>month(AT3)</f>
        <v>5</v>
      </c>
      <c r="AU2" s="1242" t="s">
        <v>976</v>
      </c>
      <c r="AV2" s="1243" t="s">
        <v>977</v>
      </c>
      <c r="AW2" s="1244" t="s">
        <v>978</v>
      </c>
      <c r="AX2" s="1244" t="s">
        <v>979</v>
      </c>
      <c r="AY2" s="1244" t="s">
        <v>980</v>
      </c>
      <c r="AZ2" s="1245" t="s">
        <v>986</v>
      </c>
      <c r="BA2" s="1244" t="s">
        <v>982</v>
      </c>
      <c r="BB2" s="1244" t="s">
        <v>983</v>
      </c>
      <c r="BC2" s="1237"/>
      <c r="BD2" s="1237">
        <f>month(BD3)</f>
        <v>6</v>
      </c>
      <c r="BE2" s="1238" t="s">
        <v>976</v>
      </c>
      <c r="BF2" s="1239" t="s">
        <v>977</v>
      </c>
      <c r="BG2" s="1240" t="s">
        <v>978</v>
      </c>
      <c r="BH2" s="1240" t="s">
        <v>979</v>
      </c>
      <c r="BI2" s="1240" t="s">
        <v>980</v>
      </c>
      <c r="BJ2" s="1241" t="s">
        <v>987</v>
      </c>
      <c r="BK2" s="1240" t="s">
        <v>982</v>
      </c>
      <c r="BL2" s="1240" t="s">
        <v>983</v>
      </c>
      <c r="BM2" s="1237"/>
      <c r="BN2" s="1237">
        <f>month(BN3)</f>
        <v>7</v>
      </c>
      <c r="BO2" s="1238" t="s">
        <v>976</v>
      </c>
      <c r="BP2" s="1239" t="s">
        <v>977</v>
      </c>
      <c r="BQ2" s="1240" t="s">
        <v>978</v>
      </c>
      <c r="BR2" s="1240" t="s">
        <v>979</v>
      </c>
      <c r="BS2" s="1240" t="s">
        <v>980</v>
      </c>
      <c r="BT2" s="1241" t="s">
        <v>988</v>
      </c>
      <c r="BU2" s="1240" t="s">
        <v>982</v>
      </c>
      <c r="BV2" s="1240" t="s">
        <v>983</v>
      </c>
      <c r="BW2" s="1240"/>
      <c r="BX2" s="1237">
        <f>month(BX3)</f>
        <v>8</v>
      </c>
      <c r="BY2" s="1238" t="s">
        <v>976</v>
      </c>
      <c r="BZ2" s="1239" t="s">
        <v>977</v>
      </c>
      <c r="CA2" s="1240" t="s">
        <v>978</v>
      </c>
      <c r="CB2" s="1240" t="s">
        <v>979</v>
      </c>
      <c r="CC2" s="1240" t="s">
        <v>980</v>
      </c>
      <c r="CD2" s="1241" t="s">
        <v>989</v>
      </c>
      <c r="CE2" s="1240" t="s">
        <v>982</v>
      </c>
      <c r="CF2" s="1240" t="s">
        <v>983</v>
      </c>
      <c r="CG2" s="1237"/>
      <c r="CH2" s="1237">
        <f>month(CH3)</f>
        <v>9</v>
      </c>
      <c r="CI2" s="1238" t="s">
        <v>976</v>
      </c>
      <c r="CJ2" s="1239" t="s">
        <v>977</v>
      </c>
      <c r="CK2" s="1240" t="s">
        <v>978</v>
      </c>
      <c r="CL2" s="1240" t="s">
        <v>979</v>
      </c>
      <c r="CM2" s="1240" t="s">
        <v>980</v>
      </c>
      <c r="CN2" s="1241" t="s">
        <v>990</v>
      </c>
      <c r="CO2" s="1240" t="s">
        <v>982</v>
      </c>
      <c r="CP2" s="1240" t="s">
        <v>983</v>
      </c>
      <c r="CQ2" s="1237"/>
      <c r="CR2" s="1237">
        <f>month(CR3)</f>
        <v>10</v>
      </c>
      <c r="CS2" s="1238" t="s">
        <v>976</v>
      </c>
      <c r="CT2" s="1239" t="s">
        <v>977</v>
      </c>
      <c r="CU2" s="1240" t="s">
        <v>978</v>
      </c>
      <c r="CV2" s="1240" t="s">
        <v>979</v>
      </c>
      <c r="CW2" s="1240" t="s">
        <v>980</v>
      </c>
      <c r="CX2" s="1241" t="s">
        <v>991</v>
      </c>
      <c r="CY2" s="1240" t="s">
        <v>982</v>
      </c>
      <c r="CZ2" s="1240" t="s">
        <v>983</v>
      </c>
      <c r="DA2" s="1240"/>
      <c r="DB2" s="1237">
        <f>month(DB3)</f>
        <v>11</v>
      </c>
      <c r="DC2" s="1238" t="s">
        <v>976</v>
      </c>
      <c r="DD2" s="1239" t="s">
        <v>977</v>
      </c>
      <c r="DE2" s="1240" t="s">
        <v>978</v>
      </c>
      <c r="DF2" s="1240" t="s">
        <v>979</v>
      </c>
      <c r="DG2" s="1240" t="s">
        <v>980</v>
      </c>
      <c r="DH2" s="1241" t="s">
        <v>992</v>
      </c>
      <c r="DI2" s="1240" t="s">
        <v>982</v>
      </c>
      <c r="DJ2" s="1240" t="s">
        <v>983</v>
      </c>
      <c r="DK2" s="1237"/>
      <c r="DL2" s="1237">
        <f>month(DL3)</f>
        <v>12</v>
      </c>
      <c r="DM2" s="1238" t="s">
        <v>976</v>
      </c>
      <c r="DN2" s="1239" t="s">
        <v>977</v>
      </c>
      <c r="DO2" s="1240" t="s">
        <v>978</v>
      </c>
      <c r="DP2" s="1240" t="s">
        <v>979</v>
      </c>
      <c r="DQ2" s="1240" t="s">
        <v>980</v>
      </c>
      <c r="DR2" s="1241" t="s">
        <v>993</v>
      </c>
      <c r="DS2" s="1240" t="s">
        <v>982</v>
      </c>
      <c r="DT2" s="1240" t="s">
        <v>983</v>
      </c>
      <c r="DU2" s="1237"/>
      <c r="DV2" s="1237">
        <f>month(DV3)</f>
        <v>1</v>
      </c>
      <c r="DW2" s="1238" t="s">
        <v>976</v>
      </c>
      <c r="DX2" s="1239" t="s">
        <v>977</v>
      </c>
      <c r="DY2" s="1240" t="s">
        <v>978</v>
      </c>
      <c r="DZ2" s="1240" t="s">
        <v>979</v>
      </c>
      <c r="EA2" s="1240" t="s">
        <v>980</v>
      </c>
      <c r="EB2" s="1241" t="s">
        <v>994</v>
      </c>
      <c r="EC2" s="1240" t="s">
        <v>982</v>
      </c>
      <c r="ED2" s="1240" t="s">
        <v>983</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995</v>
      </c>
      <c r="D3" s="1251" t="s">
        <v>609</v>
      </c>
      <c r="E3" s="1251" t="s">
        <v>996</v>
      </c>
      <c r="F3" s="1252" t="s">
        <v>997</v>
      </c>
      <c r="G3" s="1253" t="s">
        <v>998</v>
      </c>
      <c r="H3" s="1254" t="s">
        <v>999</v>
      </c>
      <c r="I3" s="1251" t="s">
        <v>1000</v>
      </c>
      <c r="J3" s="1251" t="s">
        <v>1001</v>
      </c>
      <c r="K3" s="328"/>
      <c r="L3" s="1255" t="s">
        <v>242</v>
      </c>
      <c r="M3" s="1255" t="s">
        <v>579</v>
      </c>
      <c r="N3" s="328"/>
      <c r="O3" s="1229"/>
      <c r="P3" s="1256">
        <v>46054.0</v>
      </c>
      <c r="Q3" s="1257" t="s">
        <v>231</v>
      </c>
      <c r="R3" s="1258" t="s">
        <v>995</v>
      </c>
      <c r="S3" s="1257" t="s">
        <v>609</v>
      </c>
      <c r="T3" s="1257" t="s">
        <v>1002</v>
      </c>
      <c r="U3" s="1257" t="s">
        <v>1003</v>
      </c>
      <c r="V3" s="1257" t="s">
        <v>1004</v>
      </c>
      <c r="W3" s="1257" t="s">
        <v>1005</v>
      </c>
      <c r="X3" s="1257" t="s">
        <v>1006</v>
      </c>
      <c r="Y3" s="1259"/>
      <c r="Z3" s="1256">
        <v>46082.0</v>
      </c>
      <c r="AA3" s="1257" t="s">
        <v>231</v>
      </c>
      <c r="AB3" s="1258" t="s">
        <v>995</v>
      </c>
      <c r="AC3" s="1257" t="s">
        <v>609</v>
      </c>
      <c r="AD3" s="1257" t="s">
        <v>1002</v>
      </c>
      <c r="AE3" s="1257" t="s">
        <v>1003</v>
      </c>
      <c r="AF3" s="1257" t="s">
        <v>1004</v>
      </c>
      <c r="AG3" s="1257" t="s">
        <v>1005</v>
      </c>
      <c r="AH3" s="1257" t="s">
        <v>1006</v>
      </c>
      <c r="AI3" s="1260"/>
      <c r="AJ3" s="1261">
        <v>46113.0</v>
      </c>
      <c r="AK3" s="1257" t="s">
        <v>231</v>
      </c>
      <c r="AL3" s="1258" t="s">
        <v>995</v>
      </c>
      <c r="AM3" s="1257" t="s">
        <v>609</v>
      </c>
      <c r="AN3" s="1257" t="s">
        <v>1002</v>
      </c>
      <c r="AO3" s="1257" t="s">
        <v>1003</v>
      </c>
      <c r="AP3" s="1257" t="s">
        <v>1004</v>
      </c>
      <c r="AQ3" s="1257" t="s">
        <v>1005</v>
      </c>
      <c r="AR3" s="1257" t="s">
        <v>1006</v>
      </c>
      <c r="AS3" s="1259"/>
      <c r="AT3" s="1261">
        <v>46143.0</v>
      </c>
      <c r="AU3" s="1262" t="s">
        <v>231</v>
      </c>
      <c r="AV3" s="1263" t="s">
        <v>995</v>
      </c>
      <c r="AW3" s="1262" t="s">
        <v>609</v>
      </c>
      <c r="AX3" s="1262" t="s">
        <v>1002</v>
      </c>
      <c r="AY3" s="1262" t="s">
        <v>1003</v>
      </c>
      <c r="AZ3" s="1262" t="s">
        <v>1004</v>
      </c>
      <c r="BA3" s="1262" t="s">
        <v>1005</v>
      </c>
      <c r="BB3" s="1262" t="s">
        <v>1006</v>
      </c>
      <c r="BC3" s="1259"/>
      <c r="BD3" s="1261">
        <v>46174.0</v>
      </c>
      <c r="BE3" s="1257" t="s">
        <v>231</v>
      </c>
      <c r="BF3" s="1258" t="s">
        <v>995</v>
      </c>
      <c r="BG3" s="1257" t="s">
        <v>609</v>
      </c>
      <c r="BH3" s="1257" t="s">
        <v>1002</v>
      </c>
      <c r="BI3" s="1257" t="s">
        <v>1003</v>
      </c>
      <c r="BJ3" s="1257" t="s">
        <v>1004</v>
      </c>
      <c r="BK3" s="1257" t="s">
        <v>1005</v>
      </c>
      <c r="BL3" s="1257" t="s">
        <v>1006</v>
      </c>
      <c r="BM3" s="1260"/>
      <c r="BN3" s="1261">
        <v>46205.0</v>
      </c>
      <c r="BO3" s="1257" t="s">
        <v>231</v>
      </c>
      <c r="BP3" s="1258" t="s">
        <v>995</v>
      </c>
      <c r="BQ3" s="1257" t="s">
        <v>609</v>
      </c>
      <c r="BR3" s="1257" t="s">
        <v>1002</v>
      </c>
      <c r="BS3" s="1257" t="s">
        <v>1003</v>
      </c>
      <c r="BT3" s="1257" t="s">
        <v>1004</v>
      </c>
      <c r="BU3" s="1257" t="s">
        <v>1005</v>
      </c>
      <c r="BV3" s="1257" t="s">
        <v>1006</v>
      </c>
      <c r="BW3" s="1259"/>
      <c r="BX3" s="1261">
        <v>46235.0</v>
      </c>
      <c r="BY3" s="1257" t="s">
        <v>231</v>
      </c>
      <c r="BZ3" s="1258" t="s">
        <v>995</v>
      </c>
      <c r="CA3" s="1257" t="s">
        <v>609</v>
      </c>
      <c r="CB3" s="1257" t="s">
        <v>1002</v>
      </c>
      <c r="CC3" s="1257" t="s">
        <v>1003</v>
      </c>
      <c r="CD3" s="1257" t="s">
        <v>1004</v>
      </c>
      <c r="CE3" s="1257" t="s">
        <v>1005</v>
      </c>
      <c r="CF3" s="1257" t="s">
        <v>1006</v>
      </c>
      <c r="CG3" s="1259"/>
      <c r="CH3" s="1261">
        <v>46266.0</v>
      </c>
      <c r="CI3" s="1257" t="s">
        <v>231</v>
      </c>
      <c r="CJ3" s="1258" t="s">
        <v>995</v>
      </c>
      <c r="CK3" s="1257" t="s">
        <v>609</v>
      </c>
      <c r="CL3" s="1257" t="s">
        <v>1002</v>
      </c>
      <c r="CM3" s="1257" t="s">
        <v>1003</v>
      </c>
      <c r="CN3" s="1257" t="s">
        <v>1004</v>
      </c>
      <c r="CO3" s="1257" t="s">
        <v>1005</v>
      </c>
      <c r="CP3" s="1257" t="s">
        <v>1006</v>
      </c>
      <c r="CQ3" s="1260"/>
      <c r="CR3" s="1261">
        <v>46296.0</v>
      </c>
      <c r="CS3" s="1257" t="s">
        <v>231</v>
      </c>
      <c r="CT3" s="1258" t="s">
        <v>995</v>
      </c>
      <c r="CU3" s="1257" t="s">
        <v>609</v>
      </c>
      <c r="CV3" s="1257" t="s">
        <v>1002</v>
      </c>
      <c r="CW3" s="1257" t="s">
        <v>1003</v>
      </c>
      <c r="CX3" s="1257" t="s">
        <v>1004</v>
      </c>
      <c r="CY3" s="1257" t="s">
        <v>1005</v>
      </c>
      <c r="CZ3" s="1257" t="s">
        <v>1006</v>
      </c>
      <c r="DA3" s="1259"/>
      <c r="DB3" s="1261">
        <v>46327.0</v>
      </c>
      <c r="DC3" s="1257" t="s">
        <v>231</v>
      </c>
      <c r="DD3" s="1258" t="s">
        <v>995</v>
      </c>
      <c r="DE3" s="1257" t="s">
        <v>609</v>
      </c>
      <c r="DF3" s="1257" t="s">
        <v>1002</v>
      </c>
      <c r="DG3" s="1257" t="s">
        <v>1003</v>
      </c>
      <c r="DH3" s="1257" t="s">
        <v>1004</v>
      </c>
      <c r="DI3" s="1257" t="s">
        <v>1005</v>
      </c>
      <c r="DJ3" s="1257" t="s">
        <v>1006</v>
      </c>
      <c r="DK3" s="1259"/>
      <c r="DL3" s="1261">
        <v>46357.0</v>
      </c>
      <c r="DM3" s="1257" t="s">
        <v>231</v>
      </c>
      <c r="DN3" s="1258" t="s">
        <v>995</v>
      </c>
      <c r="DO3" s="1257" t="s">
        <v>609</v>
      </c>
      <c r="DP3" s="1257" t="s">
        <v>1002</v>
      </c>
      <c r="DQ3" s="1257" t="s">
        <v>1003</v>
      </c>
      <c r="DR3" s="1257" t="s">
        <v>1004</v>
      </c>
      <c r="DS3" s="1257" t="s">
        <v>1005</v>
      </c>
      <c r="DT3" s="1257" t="s">
        <v>1006</v>
      </c>
      <c r="DU3" s="1259"/>
      <c r="DV3" s="1261">
        <v>46388.0</v>
      </c>
      <c r="DW3" s="1257" t="s">
        <v>231</v>
      </c>
      <c r="DX3" s="1258" t="s">
        <v>995</v>
      </c>
      <c r="DY3" s="1257" t="s">
        <v>609</v>
      </c>
      <c r="DZ3" s="1257" t="s">
        <v>1002</v>
      </c>
      <c r="EA3" s="1257" t="s">
        <v>1003</v>
      </c>
      <c r="EB3" s="1257" t="s">
        <v>1004</v>
      </c>
      <c r="EC3" s="1257" t="s">
        <v>1005</v>
      </c>
      <c r="ED3" s="1257" t="s">
        <v>1006</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80</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1508</v>
      </c>
      <c r="K4" s="1264"/>
      <c r="L4" s="356" t="str">
        <f t="array" ref="L4">IFERROR(INDEX('💻シート作成'!$D$6:$D999, MATCH(M4, '💻シート作成'!$E$6:$E999, 0)), "")</f>
        <v/>
      </c>
      <c r="M4" s="298" t="str">
        <f>IFERROR(__xludf.DUMMYFUNCTION("filter('💻シート作成'!E6:E999,'💻シート作成'!E6:E999&lt;&gt;"""")"),"💭口コミ")</f>
        <v>💭口コミ</v>
      </c>
      <c r="N4" s="1264"/>
      <c r="O4" s="1272"/>
      <c r="P4" s="1273" t="s">
        <v>1007</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IFERROR(__xludf.DUMMYFUNCTION("IMPORTRANGE($P$8,$P$4&amp;AY$2)"),3.0)</f>
        <v>3</v>
      </c>
      <c r="AZ4" s="1281">
        <f t="shared" ref="AZ4:AZ299" si="8">COUNTIF(INDIRECT(AZ$2 &amp; "L9:L"), AV4)</f>
        <v>0</v>
      </c>
      <c r="BA4" s="1283">
        <f>IFERROR(__xludf.DUMMYFUNCTION("IMPORTRANGE($P$8,$P$4&amp;BA$2)"),11.45)</f>
        <v>11.45</v>
      </c>
      <c r="BB4" s="1281">
        <f>IFERROR(__xludf.DUMMYFUNCTION("IMPORTRANGE($P$8,$P$4&amp;BB$2)"),47.0)</f>
        <v>47</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1008</v>
      </c>
      <c r="F5" s="1268">
        <f t="shared" si="2"/>
        <v>74</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1428</v>
      </c>
      <c r="K5" s="328"/>
      <c r="L5" s="356" t="str">
        <f t="array" ref="L5">IFERROR(INDEX('💻シート作成'!$D$6:$D999, MATCH(M5, '💻シート作成'!$E$6:$E999, 0)), "")</f>
        <v/>
      </c>
      <c r="M5" s="1129" t="str">
        <f>IFERROR(__xludf.DUMMYFUNCTION("""COMPUTED_VALUE"""),"🔵クレーム")</f>
        <v>🔵クレーム</v>
      </c>
      <c r="N5" s="328"/>
      <c r="O5" s="1285">
        <v>2.0</v>
      </c>
      <c r="P5" s="1286" t="s">
        <v>1009</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IFERROR(__xludf.DUMMYFUNCTION("""COMPUTED_VALUE"""),3.0)</f>
        <v>3</v>
      </c>
      <c r="AZ5" s="1281">
        <f t="shared" si="8"/>
        <v>0</v>
      </c>
      <c r="BA5" s="1283">
        <f>IFERROR(__xludf.DUMMYFUNCTION("""COMPUTED_VALUE"""),7.316666666666666)</f>
        <v>7.316666667</v>
      </c>
      <c r="BB5" s="1281">
        <f>IFERROR(__xludf.DUMMYFUNCTION("""COMPUTED_VALUE"""),55.0)</f>
        <v>55</v>
      </c>
      <c r="BC5" s="328"/>
      <c r="BD5" s="423"/>
      <c r="BE5" s="1274"/>
      <c r="BF5" s="309"/>
      <c r="BG5" s="1128"/>
      <c r="BH5" s="1128"/>
      <c r="BI5" s="1276"/>
      <c r="BJ5" s="356">
        <f t="shared" si="9"/>
        <v>0</v>
      </c>
      <c r="BK5" s="1277"/>
      <c r="BL5" s="356"/>
      <c r="BM5" s="328"/>
      <c r="BN5" s="423"/>
      <c r="BO5" s="1274"/>
      <c r="BP5" s="309"/>
      <c r="BQ5" s="1128"/>
      <c r="BR5" s="1128"/>
      <c r="BS5" s="1276"/>
      <c r="BT5" s="356">
        <f t="shared" si="10"/>
        <v>0</v>
      </c>
      <c r="BU5" s="1277"/>
      <c r="BV5" s="356"/>
      <c r="BW5" s="351"/>
      <c r="BX5" s="423"/>
      <c r="BY5" s="1274"/>
      <c r="BZ5" s="309"/>
      <c r="CA5" s="1128"/>
      <c r="CB5" s="1128"/>
      <c r="CC5" s="1276"/>
      <c r="CD5" s="356">
        <f t="shared" si="11"/>
        <v>0</v>
      </c>
      <c r="CE5" s="1277"/>
      <c r="CF5" s="356"/>
      <c r="CG5" s="328"/>
      <c r="CH5" s="423"/>
      <c r="CI5" s="1274"/>
      <c r="CJ5" s="309"/>
      <c r="CK5" s="1128"/>
      <c r="CL5" s="1128"/>
      <c r="CM5" s="1276"/>
      <c r="CN5" s="356">
        <f t="shared" si="12"/>
        <v>0</v>
      </c>
      <c r="CO5" s="1277"/>
      <c r="CP5" s="356"/>
      <c r="CQ5" s="328"/>
      <c r="CR5" s="423"/>
      <c r="CS5" s="1274"/>
      <c r="CT5" s="309"/>
      <c r="CU5" s="1128"/>
      <c r="CV5" s="1128"/>
      <c r="CW5" s="1276"/>
      <c r="CX5" s="356">
        <f t="shared" si="13"/>
        <v>0</v>
      </c>
      <c r="CY5" s="1277"/>
      <c r="CZ5" s="356"/>
      <c r="DA5" s="351"/>
      <c r="DB5" s="423"/>
      <c r="DC5" s="1274"/>
      <c r="DD5" s="309"/>
      <c r="DE5" s="1128"/>
      <c r="DF5" s="1128"/>
      <c r="DG5" s="1276"/>
      <c r="DH5" s="356">
        <f t="shared" si="14"/>
        <v>0</v>
      </c>
      <c r="DI5" s="1277"/>
      <c r="DJ5" s="356"/>
      <c r="DK5" s="328"/>
      <c r="DL5" s="423"/>
      <c r="DM5" s="1274"/>
      <c r="DN5" s="309"/>
      <c r="DO5" s="1128"/>
      <c r="DP5" s="1128"/>
      <c r="DQ5" s="1276"/>
      <c r="DR5" s="356">
        <f t="shared" si="15"/>
        <v>0</v>
      </c>
      <c r="DS5" s="1277"/>
      <c r="DT5" s="356"/>
      <c r="DU5" s="328"/>
      <c r="DV5" s="423"/>
      <c r="DW5" s="1274"/>
      <c r="DX5" s="309"/>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1008</v>
      </c>
      <c r="F6" s="1268">
        <f t="shared" si="2"/>
        <v>81</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1606</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1010</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IFERROR(__xludf.DUMMYFUNCTION("""COMPUTED_VALUE"""),4.0)</f>
        <v>4</v>
      </c>
      <c r="AZ6" s="1281">
        <f t="shared" si="8"/>
        <v>0</v>
      </c>
      <c r="BA6" s="1283">
        <f>IFERROR(__xludf.DUMMYFUNCTION("""COMPUTED_VALUE"""),7.25)</f>
        <v>7.25</v>
      </c>
      <c r="BB6" s="1281">
        <f>IFERROR(__xludf.DUMMYFUNCTION("""COMPUTED_VALUE"""),75.0)</f>
        <v>75</v>
      </c>
      <c r="BC6" s="328"/>
      <c r="BD6" s="328"/>
      <c r="BE6" s="1274"/>
      <c r="BF6" s="309"/>
      <c r="BG6" s="1128"/>
      <c r="BH6" s="1128"/>
      <c r="BI6" s="1276"/>
      <c r="BJ6" s="356">
        <f t="shared" si="9"/>
        <v>0</v>
      </c>
      <c r="BK6" s="1277"/>
      <c r="BL6" s="356"/>
      <c r="BM6" s="328"/>
      <c r="BN6" s="328"/>
      <c r="BO6" s="1274"/>
      <c r="BP6" s="309"/>
      <c r="BQ6" s="1128"/>
      <c r="BR6" s="1128"/>
      <c r="BS6" s="1276"/>
      <c r="BT6" s="356">
        <f t="shared" si="10"/>
        <v>0</v>
      </c>
      <c r="BU6" s="1277"/>
      <c r="BV6" s="356"/>
      <c r="BW6" s="351"/>
      <c r="BX6" s="328"/>
      <c r="BY6" s="1274"/>
      <c r="BZ6" s="309"/>
      <c r="CA6" s="1128"/>
      <c r="CB6" s="1128"/>
      <c r="CC6" s="1276"/>
      <c r="CD6" s="356">
        <f t="shared" si="11"/>
        <v>0</v>
      </c>
      <c r="CE6" s="1277"/>
      <c r="CF6" s="356"/>
      <c r="CG6" s="328"/>
      <c r="CH6" s="328"/>
      <c r="CI6" s="1274"/>
      <c r="CJ6" s="309"/>
      <c r="CK6" s="1128"/>
      <c r="CL6" s="1128"/>
      <c r="CM6" s="1276"/>
      <c r="CN6" s="356">
        <f t="shared" si="12"/>
        <v>0</v>
      </c>
      <c r="CO6" s="1277"/>
      <c r="CP6" s="356"/>
      <c r="CQ6" s="328"/>
      <c r="CR6" s="328"/>
      <c r="CS6" s="1274"/>
      <c r="CT6" s="309"/>
      <c r="CU6" s="1128"/>
      <c r="CV6" s="1128"/>
      <c r="CW6" s="1276"/>
      <c r="CX6" s="356">
        <f t="shared" si="13"/>
        <v>0</v>
      </c>
      <c r="CY6" s="1277"/>
      <c r="CZ6" s="356"/>
      <c r="DA6" s="351"/>
      <c r="DB6" s="328"/>
      <c r="DC6" s="1274"/>
      <c r="DD6" s="309"/>
      <c r="DE6" s="1128"/>
      <c r="DF6" s="1128"/>
      <c r="DG6" s="1276"/>
      <c r="DH6" s="356">
        <f t="shared" si="14"/>
        <v>0</v>
      </c>
      <c r="DI6" s="1277"/>
      <c r="DJ6" s="356"/>
      <c r="DK6" s="328"/>
      <c r="DL6" s="328"/>
      <c r="DM6" s="1274"/>
      <c r="DN6" s="309"/>
      <c r="DO6" s="1128"/>
      <c r="DP6" s="1128"/>
      <c r="DQ6" s="1276"/>
      <c r="DR6" s="356">
        <f t="shared" si="15"/>
        <v>0</v>
      </c>
      <c r="DS6" s="1277"/>
      <c r="DT6" s="356"/>
      <c r="DU6" s="328"/>
      <c r="DV6" s="328"/>
      <c r="DW6" s="1274"/>
      <c r="DX6" s="309"/>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1008</v>
      </c>
      <c r="F7" s="1268">
        <f t="shared" si="2"/>
        <v>78</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1392</v>
      </c>
      <c r="K7" s="328"/>
      <c r="L7" s="356" t="str">
        <f t="array" ref="L7">IFERROR(INDEX('💻シート作成'!$D$6:$D999, MATCH(M7, '💻シート作成'!$E$6:$E999, 0)), "")</f>
        <v/>
      </c>
      <c r="M7" s="1148" t="str">
        <f>IFERROR(__xludf.DUMMYFUNCTION("""COMPUTED_VALUE"""),"✅安全チェック")</f>
        <v>✅安全チェック</v>
      </c>
      <c r="N7" s="328"/>
      <c r="O7" s="1285">
        <v>4.0</v>
      </c>
      <c r="P7" s="1290" t="s">
        <v>1011</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IFERROR(__xludf.DUMMYFUNCTION("""COMPUTED_VALUE"""),2.0)</f>
        <v>2</v>
      </c>
      <c r="AZ7" s="1281">
        <f t="shared" si="8"/>
        <v>0</v>
      </c>
      <c r="BA7" s="1283">
        <f>IFERROR(__xludf.DUMMYFUNCTION("""COMPUTED_VALUE"""),7.25)</f>
        <v>7.25</v>
      </c>
      <c r="BB7" s="1281">
        <f>IFERROR(__xludf.DUMMYFUNCTION("""COMPUTED_VALUE"""),28.0)</f>
        <v>28</v>
      </c>
      <c r="BC7" s="328"/>
      <c r="BD7" s="328"/>
      <c r="BE7" s="1274"/>
      <c r="BF7" s="309"/>
      <c r="BG7" s="1128"/>
      <c r="BH7" s="1128"/>
      <c r="BI7" s="1276"/>
      <c r="BJ7" s="356">
        <f t="shared" si="9"/>
        <v>0</v>
      </c>
      <c r="BK7" s="1277"/>
      <c r="BL7" s="356"/>
      <c r="BM7" s="328"/>
      <c r="BN7" s="328"/>
      <c r="BO7" s="1274"/>
      <c r="BP7" s="309"/>
      <c r="BQ7" s="1128"/>
      <c r="BR7" s="1128"/>
      <c r="BS7" s="1276"/>
      <c r="BT7" s="356">
        <f t="shared" si="10"/>
        <v>0</v>
      </c>
      <c r="BU7" s="1277"/>
      <c r="BV7" s="356"/>
      <c r="BW7" s="351"/>
      <c r="BX7" s="328"/>
      <c r="BY7" s="1274"/>
      <c r="BZ7" s="309"/>
      <c r="CA7" s="1128"/>
      <c r="CB7" s="1128"/>
      <c r="CC7" s="1276"/>
      <c r="CD7" s="356">
        <f t="shared" si="11"/>
        <v>0</v>
      </c>
      <c r="CE7" s="1277"/>
      <c r="CF7" s="356"/>
      <c r="CG7" s="328"/>
      <c r="CH7" s="328"/>
      <c r="CI7" s="1274"/>
      <c r="CJ7" s="309"/>
      <c r="CK7" s="1128"/>
      <c r="CL7" s="1128"/>
      <c r="CM7" s="1276"/>
      <c r="CN7" s="356">
        <f t="shared" si="12"/>
        <v>0</v>
      </c>
      <c r="CO7" s="1277"/>
      <c r="CP7" s="356"/>
      <c r="CQ7" s="328"/>
      <c r="CR7" s="328"/>
      <c r="CS7" s="1274"/>
      <c r="CT7" s="309"/>
      <c r="CU7" s="1128"/>
      <c r="CV7" s="1128"/>
      <c r="CW7" s="1276"/>
      <c r="CX7" s="356">
        <f t="shared" si="13"/>
        <v>0</v>
      </c>
      <c r="CY7" s="1277"/>
      <c r="CZ7" s="356"/>
      <c r="DA7" s="351"/>
      <c r="DB7" s="328"/>
      <c r="DC7" s="1274"/>
      <c r="DD7" s="309"/>
      <c r="DE7" s="1128"/>
      <c r="DF7" s="1128"/>
      <c r="DG7" s="1276"/>
      <c r="DH7" s="356">
        <f t="shared" si="14"/>
        <v>0</v>
      </c>
      <c r="DI7" s="1277"/>
      <c r="DJ7" s="356"/>
      <c r="DK7" s="328"/>
      <c r="DL7" s="328"/>
      <c r="DM7" s="1274"/>
      <c r="DN7" s="309"/>
      <c r="DO7" s="1128"/>
      <c r="DP7" s="1128"/>
      <c r="DQ7" s="1276"/>
      <c r="DR7" s="356">
        <f t="shared" si="15"/>
        <v>0</v>
      </c>
      <c r="DS7" s="1277"/>
      <c r="DT7" s="356"/>
      <c r="DU7" s="328"/>
      <c r="DV7" s="328"/>
      <c r="DW7" s="1274"/>
      <c r="DX7" s="309"/>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1008</v>
      </c>
      <c r="F8" s="1268">
        <f t="shared" si="2"/>
        <v>79</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1466</v>
      </c>
      <c r="K8" s="328"/>
      <c r="L8" s="356" t="str">
        <f t="array" ref="L8">IFERROR(INDEX('💻シート作成'!$D$6:$D999, MATCH(M8, '💻シート作成'!$E$6:$E999, 0)), "")</f>
        <v/>
      </c>
      <c r="M8" s="1148" t="str">
        <f>IFERROR(__xludf.DUMMYFUNCTION("""COMPUTED_VALUE"""),"📝定例会議事録")</f>
        <v>📝定例会議事録</v>
      </c>
      <c r="N8" s="328"/>
      <c r="O8" s="1285">
        <v>5.0</v>
      </c>
      <c r="P8" s="1289" t="s">
        <v>1012</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09"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IFERROR(__xludf.DUMMYFUNCTION("""COMPUTED_VALUE"""),3.0)</f>
        <v>3</v>
      </c>
      <c r="AZ8" s="1281">
        <f t="shared" si="8"/>
        <v>0</v>
      </c>
      <c r="BA8" s="1283">
        <f>IFERROR(__xludf.DUMMYFUNCTION("""COMPUTED_VALUE"""),-4.4)</f>
        <v>-4.4</v>
      </c>
      <c r="BB8" s="1281">
        <f>IFERROR(__xludf.DUMMYFUNCTION("""COMPUTED_VALUE"""),52.0)</f>
        <v>52</v>
      </c>
      <c r="BC8" s="328"/>
      <c r="BD8" s="328"/>
      <c r="BE8" s="1274"/>
      <c r="BF8" s="309"/>
      <c r="BG8" s="1128"/>
      <c r="BH8" s="1128"/>
      <c r="BI8" s="1276"/>
      <c r="BJ8" s="356">
        <f t="shared" si="9"/>
        <v>0</v>
      </c>
      <c r="BK8" s="1277"/>
      <c r="BL8" s="356"/>
      <c r="BM8" s="328"/>
      <c r="BN8" s="328"/>
      <c r="BO8" s="1274"/>
      <c r="BP8" s="309"/>
      <c r="BQ8" s="1128"/>
      <c r="BR8" s="1128"/>
      <c r="BS8" s="1276"/>
      <c r="BT8" s="356">
        <f t="shared" si="10"/>
        <v>0</v>
      </c>
      <c r="BU8" s="1277"/>
      <c r="BV8" s="356"/>
      <c r="BW8" s="351"/>
      <c r="BX8" s="328"/>
      <c r="BY8" s="1274"/>
      <c r="BZ8" s="309"/>
      <c r="CA8" s="1128"/>
      <c r="CB8" s="1128"/>
      <c r="CC8" s="1276"/>
      <c r="CD8" s="356">
        <f t="shared" si="11"/>
        <v>0</v>
      </c>
      <c r="CE8" s="1277"/>
      <c r="CF8" s="356"/>
      <c r="CG8" s="328"/>
      <c r="CH8" s="328"/>
      <c r="CI8" s="1274"/>
      <c r="CJ8" s="309"/>
      <c r="CK8" s="1128"/>
      <c r="CL8" s="1128"/>
      <c r="CM8" s="1276"/>
      <c r="CN8" s="356">
        <f t="shared" si="12"/>
        <v>0</v>
      </c>
      <c r="CO8" s="1277"/>
      <c r="CP8" s="356"/>
      <c r="CQ8" s="328"/>
      <c r="CR8" s="328"/>
      <c r="CS8" s="1274"/>
      <c r="CT8" s="309"/>
      <c r="CU8" s="1128"/>
      <c r="CV8" s="1128"/>
      <c r="CW8" s="1276"/>
      <c r="CX8" s="356">
        <f t="shared" si="13"/>
        <v>0</v>
      </c>
      <c r="CY8" s="1277"/>
      <c r="CZ8" s="356"/>
      <c r="DA8" s="351"/>
      <c r="DB8" s="328"/>
      <c r="DC8" s="1274"/>
      <c r="DD8" s="309"/>
      <c r="DE8" s="1128"/>
      <c r="DF8" s="1128"/>
      <c r="DG8" s="1276"/>
      <c r="DH8" s="356">
        <f t="shared" si="14"/>
        <v>0</v>
      </c>
      <c r="DI8" s="1277"/>
      <c r="DJ8" s="356"/>
      <c r="DK8" s="328"/>
      <c r="DL8" s="328"/>
      <c r="DM8" s="1274"/>
      <c r="DN8" s="309"/>
      <c r="DO8" s="1128"/>
      <c r="DP8" s="1128"/>
      <c r="DQ8" s="1276"/>
      <c r="DR8" s="356">
        <f t="shared" si="15"/>
        <v>0</v>
      </c>
      <c r="DS8" s="1277"/>
      <c r="DT8" s="356"/>
      <c r="DU8" s="328"/>
      <c r="DV8" s="328"/>
      <c r="DW8" s="1274"/>
      <c r="DX8" s="309"/>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949</v>
      </c>
      <c r="F9" s="1268">
        <f t="shared" si="2"/>
        <v>63</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405.15</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IFERROR(__xludf.DUMMYFUNCTION("""COMPUTED_VALUE"""),2.0)</f>
        <v>2</v>
      </c>
      <c r="AZ9" s="1281">
        <f t="shared" si="8"/>
        <v>0</v>
      </c>
      <c r="BA9" s="1283">
        <f>IFERROR(__xludf.DUMMYFUNCTION("""COMPUTED_VALUE"""),12.583333333333334)</f>
        <v>12.58333333</v>
      </c>
      <c r="BB9" s="1281">
        <f>IFERROR(__xludf.DUMMYFUNCTION("""COMPUTED_VALUE"""),0.0)</f>
        <v>0</v>
      </c>
      <c r="BC9" s="328"/>
      <c r="BD9" s="328"/>
      <c r="BE9" s="1274"/>
      <c r="BF9" s="309"/>
      <c r="BG9" s="1128"/>
      <c r="BH9" s="1128"/>
      <c r="BI9" s="1276"/>
      <c r="BJ9" s="356">
        <f t="shared" si="9"/>
        <v>0</v>
      </c>
      <c r="BK9" s="1277"/>
      <c r="BL9" s="356"/>
      <c r="BM9" s="328"/>
      <c r="BN9" s="328"/>
      <c r="BO9" s="1274"/>
      <c r="BP9" s="309"/>
      <c r="BQ9" s="1128"/>
      <c r="BR9" s="1128"/>
      <c r="BS9" s="1276"/>
      <c r="BT9" s="356">
        <f t="shared" si="10"/>
        <v>0</v>
      </c>
      <c r="BU9" s="1277"/>
      <c r="BV9" s="356"/>
      <c r="BW9" s="351"/>
      <c r="BX9" s="328"/>
      <c r="BY9" s="1274"/>
      <c r="BZ9" s="309"/>
      <c r="CA9" s="1128"/>
      <c r="CB9" s="1128"/>
      <c r="CC9" s="1276"/>
      <c r="CD9" s="356">
        <f t="shared" si="11"/>
        <v>0</v>
      </c>
      <c r="CE9" s="1277"/>
      <c r="CF9" s="356"/>
      <c r="CG9" s="328"/>
      <c r="CH9" s="328"/>
      <c r="CI9" s="1274"/>
      <c r="CJ9" s="309"/>
      <c r="CK9" s="1128"/>
      <c r="CL9" s="1128"/>
      <c r="CM9" s="1276"/>
      <c r="CN9" s="356">
        <f t="shared" si="12"/>
        <v>0</v>
      </c>
      <c r="CO9" s="1277"/>
      <c r="CP9" s="356"/>
      <c r="CQ9" s="328"/>
      <c r="CR9" s="328"/>
      <c r="CS9" s="1274"/>
      <c r="CT9" s="309"/>
      <c r="CU9" s="1128"/>
      <c r="CV9" s="1128"/>
      <c r="CW9" s="1276"/>
      <c r="CX9" s="356">
        <f t="shared" si="13"/>
        <v>0</v>
      </c>
      <c r="CY9" s="1277"/>
      <c r="CZ9" s="356"/>
      <c r="DA9" s="351"/>
      <c r="DB9" s="328"/>
      <c r="DC9" s="1274"/>
      <c r="DD9" s="309"/>
      <c r="DE9" s="1128"/>
      <c r="DF9" s="1128"/>
      <c r="DG9" s="1276"/>
      <c r="DH9" s="356">
        <f t="shared" si="14"/>
        <v>0</v>
      </c>
      <c r="DI9" s="1277"/>
      <c r="DJ9" s="356"/>
      <c r="DK9" s="328"/>
      <c r="DL9" s="328"/>
      <c r="DM9" s="1274"/>
      <c r="DN9" s="309"/>
      <c r="DO9" s="1128"/>
      <c r="DP9" s="1128"/>
      <c r="DQ9" s="1276"/>
      <c r="DR9" s="356">
        <f t="shared" si="15"/>
        <v>0</v>
      </c>
      <c r="DS9" s="1277"/>
      <c r="DT9" s="356"/>
      <c r="DU9" s="328"/>
      <c r="DV9" s="328"/>
      <c r="DW9" s="1274"/>
      <c r="DX9" s="309"/>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440</v>
      </c>
      <c r="D10" s="1267" t="s">
        <v>589</v>
      </c>
      <c r="E10" s="1267" t="s">
        <v>949</v>
      </c>
      <c r="F10" s="1268">
        <f t="shared" si="2"/>
        <v>38</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228.95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IFERROR(__xludf.DUMMYFUNCTION("""COMPUTED_VALUE"""),0.0)</f>
        <v>0</v>
      </c>
      <c r="AZ10" s="1281">
        <f t="shared" si="8"/>
        <v>0</v>
      </c>
      <c r="BA10" s="1283">
        <f>IFERROR(__xludf.DUMMYFUNCTION("""COMPUTED_VALUE"""),0.0)</f>
        <v>0</v>
      </c>
      <c r="BB10" s="1281">
        <f>IFERROR(__xludf.DUMMYFUNCTION("""COMPUTED_VALUE"""),0.0)</f>
        <v>0</v>
      </c>
      <c r="BC10" s="328"/>
      <c r="BD10" s="328"/>
      <c r="BE10" s="1274"/>
      <c r="BF10" s="309"/>
      <c r="BG10" s="1128"/>
      <c r="BH10" s="1128"/>
      <c r="BI10" s="1276"/>
      <c r="BJ10" s="356">
        <f t="shared" si="9"/>
        <v>0</v>
      </c>
      <c r="BK10" s="1277"/>
      <c r="BL10" s="356"/>
      <c r="BM10" s="328"/>
      <c r="BN10" s="328"/>
      <c r="BO10" s="1274"/>
      <c r="BP10" s="309"/>
      <c r="BQ10" s="1128"/>
      <c r="BR10" s="1128"/>
      <c r="BS10" s="1276"/>
      <c r="BT10" s="356">
        <f t="shared" si="10"/>
        <v>0</v>
      </c>
      <c r="BU10" s="1277"/>
      <c r="BV10" s="356"/>
      <c r="BW10" s="351"/>
      <c r="BX10" s="328"/>
      <c r="BY10" s="1274"/>
      <c r="BZ10" s="309"/>
      <c r="CA10" s="1128"/>
      <c r="CB10" s="1128"/>
      <c r="CC10" s="1276"/>
      <c r="CD10" s="356">
        <f t="shared" si="11"/>
        <v>0</v>
      </c>
      <c r="CE10" s="1277"/>
      <c r="CF10" s="356"/>
      <c r="CG10" s="328"/>
      <c r="CH10" s="328"/>
      <c r="CI10" s="1274"/>
      <c r="CJ10" s="309"/>
      <c r="CK10" s="1128"/>
      <c r="CL10" s="1128"/>
      <c r="CM10" s="1276"/>
      <c r="CN10" s="356">
        <f t="shared" si="12"/>
        <v>0</v>
      </c>
      <c r="CO10" s="1277"/>
      <c r="CP10" s="356"/>
      <c r="CQ10" s="328"/>
      <c r="CR10" s="328"/>
      <c r="CS10" s="1274"/>
      <c r="CT10" s="309"/>
      <c r="CU10" s="1128"/>
      <c r="CV10" s="1128"/>
      <c r="CW10" s="1276"/>
      <c r="CX10" s="356">
        <f t="shared" si="13"/>
        <v>0</v>
      </c>
      <c r="CY10" s="1277"/>
      <c r="CZ10" s="356"/>
      <c r="DA10" s="351"/>
      <c r="DB10" s="328"/>
      <c r="DC10" s="1274"/>
      <c r="DD10" s="309"/>
      <c r="DE10" s="1128"/>
      <c r="DF10" s="1128"/>
      <c r="DG10" s="1276"/>
      <c r="DH10" s="356">
        <f t="shared" si="14"/>
        <v>0</v>
      </c>
      <c r="DI10" s="1277"/>
      <c r="DJ10" s="356"/>
      <c r="DK10" s="328"/>
      <c r="DL10" s="328"/>
      <c r="DM10" s="1274"/>
      <c r="DN10" s="309"/>
      <c r="DO10" s="1128"/>
      <c r="DP10" s="1128"/>
      <c r="DQ10" s="1276"/>
      <c r="DR10" s="356">
        <f t="shared" si="15"/>
        <v>0</v>
      </c>
      <c r="DS10" s="1277"/>
      <c r="DT10" s="356"/>
      <c r="DU10" s="328"/>
      <c r="DV10" s="328"/>
      <c r="DW10" s="1274"/>
      <c r="DX10" s="309"/>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1008</v>
      </c>
      <c r="F11" s="1268">
        <f t="shared" si="2"/>
        <v>79</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1386</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IFERROR(__xludf.DUMMYFUNCTION("""COMPUTED_VALUE"""),4.0)</f>
        <v>4</v>
      </c>
      <c r="AZ11" s="1281">
        <f t="shared" si="8"/>
        <v>0</v>
      </c>
      <c r="BA11" s="1283">
        <f>IFERROR(__xludf.DUMMYFUNCTION("""COMPUTED_VALUE"""),7.25)</f>
        <v>7.25</v>
      </c>
      <c r="BB11" s="1281">
        <f>IFERROR(__xludf.DUMMYFUNCTION("""COMPUTED_VALUE"""),64.0)</f>
        <v>64</v>
      </c>
      <c r="BC11" s="328"/>
      <c r="BD11" s="328"/>
      <c r="BE11" s="1274"/>
      <c r="BF11" s="309"/>
      <c r="BG11" s="1128"/>
      <c r="BH11" s="1128"/>
      <c r="BI11" s="1276"/>
      <c r="BJ11" s="356">
        <f t="shared" si="9"/>
        <v>0</v>
      </c>
      <c r="BK11" s="1277"/>
      <c r="BL11" s="356"/>
      <c r="BM11" s="328"/>
      <c r="BN11" s="328"/>
      <c r="BO11" s="1274"/>
      <c r="BP11" s="309"/>
      <c r="BQ11" s="1128"/>
      <c r="BR11" s="1128"/>
      <c r="BS11" s="1276"/>
      <c r="BT11" s="356">
        <f t="shared" si="10"/>
        <v>0</v>
      </c>
      <c r="BU11" s="1277"/>
      <c r="BV11" s="356"/>
      <c r="BW11" s="351"/>
      <c r="BX11" s="328"/>
      <c r="BY11" s="1274"/>
      <c r="BZ11" s="309"/>
      <c r="CA11" s="1128"/>
      <c r="CB11" s="1128"/>
      <c r="CC11" s="1276"/>
      <c r="CD11" s="356">
        <f t="shared" si="11"/>
        <v>0</v>
      </c>
      <c r="CE11" s="1277"/>
      <c r="CF11" s="356"/>
      <c r="CG11" s="328"/>
      <c r="CH11" s="328"/>
      <c r="CI11" s="1274"/>
      <c r="CJ11" s="309"/>
      <c r="CK11" s="1128"/>
      <c r="CL11" s="1128"/>
      <c r="CM11" s="1276"/>
      <c r="CN11" s="356">
        <f t="shared" si="12"/>
        <v>0</v>
      </c>
      <c r="CO11" s="1277"/>
      <c r="CP11" s="356"/>
      <c r="CQ11" s="328"/>
      <c r="CR11" s="328"/>
      <c r="CS11" s="1274"/>
      <c r="CT11" s="309"/>
      <c r="CU11" s="1128"/>
      <c r="CV11" s="1128"/>
      <c r="CW11" s="1276"/>
      <c r="CX11" s="356">
        <f t="shared" si="13"/>
        <v>0</v>
      </c>
      <c r="CY11" s="1277"/>
      <c r="CZ11" s="356"/>
      <c r="DA11" s="351"/>
      <c r="DB11" s="328"/>
      <c r="DC11" s="1274"/>
      <c r="DD11" s="309"/>
      <c r="DE11" s="1128"/>
      <c r="DF11" s="1128"/>
      <c r="DG11" s="1276"/>
      <c r="DH11" s="356">
        <f t="shared" si="14"/>
        <v>0</v>
      </c>
      <c r="DI11" s="1277"/>
      <c r="DJ11" s="356"/>
      <c r="DK11" s="328"/>
      <c r="DL11" s="328"/>
      <c r="DM11" s="1274"/>
      <c r="DN11" s="309"/>
      <c r="DO11" s="1128"/>
      <c r="DP11" s="1128"/>
      <c r="DQ11" s="1276"/>
      <c r="DR11" s="356">
        <f t="shared" si="15"/>
        <v>0</v>
      </c>
      <c r="DS11" s="1277"/>
      <c r="DT11" s="356"/>
      <c r="DU11" s="328"/>
      <c r="DV11" s="328"/>
      <c r="DW11" s="1274"/>
      <c r="DX11" s="309"/>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1008</v>
      </c>
      <c r="F12" s="1268">
        <f t="shared" si="2"/>
        <v>54</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910</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IFERROR(__xludf.DUMMYFUNCTION("""COMPUTED_VALUE"""),3.0)</f>
        <v>3</v>
      </c>
      <c r="AZ12" s="1281">
        <f t="shared" si="8"/>
        <v>0</v>
      </c>
      <c r="BA12" s="1283">
        <f>IFERROR(__xludf.DUMMYFUNCTION("""COMPUTED_VALUE"""),7.25)</f>
        <v>7.25</v>
      </c>
      <c r="BB12" s="1281">
        <f>IFERROR(__xludf.DUMMYFUNCTION("""COMPUTED_VALUE"""),50.0)</f>
        <v>50</v>
      </c>
      <c r="BC12" s="328"/>
      <c r="BD12" s="328"/>
      <c r="BE12" s="1274"/>
      <c r="BF12" s="309"/>
      <c r="BG12" s="1128"/>
      <c r="BH12" s="1128"/>
      <c r="BI12" s="1276"/>
      <c r="BJ12" s="356">
        <f t="shared" si="9"/>
        <v>0</v>
      </c>
      <c r="BK12" s="1277"/>
      <c r="BL12" s="356"/>
      <c r="BM12" s="328"/>
      <c r="BN12" s="328"/>
      <c r="BO12" s="1274"/>
      <c r="BP12" s="309"/>
      <c r="BQ12" s="1128"/>
      <c r="BR12" s="1128"/>
      <c r="BS12" s="1276"/>
      <c r="BT12" s="356">
        <f t="shared" si="10"/>
        <v>0</v>
      </c>
      <c r="BU12" s="1277"/>
      <c r="BV12" s="356"/>
      <c r="BW12" s="351"/>
      <c r="BX12" s="328"/>
      <c r="BY12" s="1274"/>
      <c r="BZ12" s="309"/>
      <c r="CA12" s="1128"/>
      <c r="CB12" s="1128"/>
      <c r="CC12" s="1276"/>
      <c r="CD12" s="356">
        <f t="shared" si="11"/>
        <v>0</v>
      </c>
      <c r="CE12" s="1277"/>
      <c r="CF12" s="356"/>
      <c r="CG12" s="328"/>
      <c r="CH12" s="328"/>
      <c r="CI12" s="1274"/>
      <c r="CJ12" s="309"/>
      <c r="CK12" s="1128"/>
      <c r="CL12" s="1128"/>
      <c r="CM12" s="1276"/>
      <c r="CN12" s="356">
        <f t="shared" si="12"/>
        <v>0</v>
      </c>
      <c r="CO12" s="1277"/>
      <c r="CP12" s="356"/>
      <c r="CQ12" s="328"/>
      <c r="CR12" s="328"/>
      <c r="CS12" s="1274"/>
      <c r="CT12" s="309"/>
      <c r="CU12" s="1128"/>
      <c r="CV12" s="1128"/>
      <c r="CW12" s="1276"/>
      <c r="CX12" s="356">
        <f t="shared" si="13"/>
        <v>0</v>
      </c>
      <c r="CY12" s="1277"/>
      <c r="CZ12" s="356"/>
      <c r="DA12" s="351"/>
      <c r="DB12" s="328"/>
      <c r="DC12" s="1274"/>
      <c r="DD12" s="309"/>
      <c r="DE12" s="1128"/>
      <c r="DF12" s="1128"/>
      <c r="DG12" s="1276"/>
      <c r="DH12" s="356">
        <f t="shared" si="14"/>
        <v>0</v>
      </c>
      <c r="DI12" s="1277"/>
      <c r="DJ12" s="356"/>
      <c r="DK12" s="328"/>
      <c r="DL12" s="328"/>
      <c r="DM12" s="1274"/>
      <c r="DN12" s="309"/>
      <c r="DO12" s="1128"/>
      <c r="DP12" s="1128"/>
      <c r="DQ12" s="1276"/>
      <c r="DR12" s="356">
        <f t="shared" si="15"/>
        <v>0</v>
      </c>
      <c r="DS12" s="1277"/>
      <c r="DT12" s="356"/>
      <c r="DU12" s="328"/>
      <c r="DV12" s="328"/>
      <c r="DW12" s="1274"/>
      <c r="DX12" s="309"/>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437</v>
      </c>
      <c r="D13" s="1267" t="s">
        <v>32</v>
      </c>
      <c r="E13" s="1267" t="s">
        <v>949</v>
      </c>
      <c r="F13" s="1268">
        <f t="shared" si="2"/>
        <v>30</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187.8</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IFERROR(__xludf.DUMMYFUNCTION("""COMPUTED_VALUE"""),0.0)</f>
        <v>0</v>
      </c>
      <c r="AZ13" s="1281">
        <f t="shared" si="8"/>
        <v>0</v>
      </c>
      <c r="BA13" s="1283">
        <f>IFERROR(__xludf.DUMMYFUNCTION("""COMPUTED_VALUE"""),0.0)</f>
        <v>0</v>
      </c>
      <c r="BB13" s="1281">
        <f>IFERROR(__xludf.DUMMYFUNCTION("""COMPUTED_VALUE"""),0.0)</f>
        <v>0</v>
      </c>
      <c r="BC13" s="328"/>
      <c r="BD13" s="328"/>
      <c r="BE13" s="1274"/>
      <c r="BF13" s="309"/>
      <c r="BG13" s="1128"/>
      <c r="BH13" s="1128"/>
      <c r="BI13" s="1276"/>
      <c r="BJ13" s="356">
        <f t="shared" si="9"/>
        <v>0</v>
      </c>
      <c r="BK13" s="1277"/>
      <c r="BL13" s="356"/>
      <c r="BM13" s="328"/>
      <c r="BN13" s="328"/>
      <c r="BO13" s="1274"/>
      <c r="BP13" s="309"/>
      <c r="BQ13" s="1128"/>
      <c r="BR13" s="1128"/>
      <c r="BS13" s="1276"/>
      <c r="BT13" s="356">
        <f t="shared" si="10"/>
        <v>0</v>
      </c>
      <c r="BU13" s="1277"/>
      <c r="BV13" s="356"/>
      <c r="BW13" s="351"/>
      <c r="BX13" s="328"/>
      <c r="BY13" s="1274"/>
      <c r="BZ13" s="309"/>
      <c r="CA13" s="1128"/>
      <c r="CB13" s="1128"/>
      <c r="CC13" s="1276"/>
      <c r="CD13" s="356">
        <f t="shared" si="11"/>
        <v>0</v>
      </c>
      <c r="CE13" s="1277"/>
      <c r="CF13" s="356"/>
      <c r="CG13" s="328"/>
      <c r="CH13" s="328"/>
      <c r="CI13" s="1274"/>
      <c r="CJ13" s="309"/>
      <c r="CK13" s="1128"/>
      <c r="CL13" s="1128"/>
      <c r="CM13" s="1276"/>
      <c r="CN13" s="356">
        <f t="shared" si="12"/>
        <v>0</v>
      </c>
      <c r="CO13" s="1277"/>
      <c r="CP13" s="356"/>
      <c r="CQ13" s="328"/>
      <c r="CR13" s="328"/>
      <c r="CS13" s="1274"/>
      <c r="CT13" s="309"/>
      <c r="CU13" s="1128"/>
      <c r="CV13" s="1128"/>
      <c r="CW13" s="1276"/>
      <c r="CX13" s="356">
        <f t="shared" si="13"/>
        <v>0</v>
      </c>
      <c r="CY13" s="1277"/>
      <c r="CZ13" s="356"/>
      <c r="DA13" s="351"/>
      <c r="DB13" s="328"/>
      <c r="DC13" s="1274"/>
      <c r="DD13" s="309"/>
      <c r="DE13" s="1128"/>
      <c r="DF13" s="1128"/>
      <c r="DG13" s="1276"/>
      <c r="DH13" s="356">
        <f t="shared" si="14"/>
        <v>0</v>
      </c>
      <c r="DI13" s="1277"/>
      <c r="DJ13" s="356"/>
      <c r="DK13" s="328"/>
      <c r="DL13" s="328"/>
      <c r="DM13" s="1274"/>
      <c r="DN13" s="309"/>
      <c r="DO13" s="1128"/>
      <c r="DP13" s="1128"/>
      <c r="DQ13" s="1276"/>
      <c r="DR13" s="356">
        <f t="shared" si="15"/>
        <v>0</v>
      </c>
      <c r="DS13" s="1277"/>
      <c r="DT13" s="356"/>
      <c r="DU13" s="328"/>
      <c r="DV13" s="328"/>
      <c r="DW13" s="1274"/>
      <c r="DX13" s="309"/>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441</v>
      </c>
      <c r="D14" s="1267" t="s">
        <v>589</v>
      </c>
      <c r="E14" s="1267" t="s">
        <v>949</v>
      </c>
      <c r="F14" s="1268">
        <f t="shared" si="2"/>
        <v>29</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170.9</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IFERROR(__xludf.DUMMYFUNCTION("""COMPUTED_VALUE"""),2.0)</f>
        <v>2</v>
      </c>
      <c r="AZ14" s="1281">
        <f t="shared" si="8"/>
        <v>0</v>
      </c>
      <c r="BA14" s="1283">
        <f>IFERROR(__xludf.DUMMYFUNCTION("""COMPUTED_VALUE"""),11.833333333333334)</f>
        <v>11.83333333</v>
      </c>
      <c r="BB14" s="1281">
        <f>IFERROR(__xludf.DUMMYFUNCTION("""COMPUTED_VALUE"""),0.0)</f>
        <v>0</v>
      </c>
      <c r="BC14" s="328"/>
      <c r="BD14" s="328"/>
      <c r="BE14" s="1274"/>
      <c r="BF14" s="309"/>
      <c r="BG14" s="1128"/>
      <c r="BH14" s="1128"/>
      <c r="BI14" s="1276"/>
      <c r="BJ14" s="356">
        <f t="shared" si="9"/>
        <v>0</v>
      </c>
      <c r="BK14" s="1277"/>
      <c r="BL14" s="356"/>
      <c r="BM14" s="328"/>
      <c r="BN14" s="328"/>
      <c r="BO14" s="1274"/>
      <c r="BP14" s="309"/>
      <c r="BQ14" s="1128"/>
      <c r="BR14" s="1128"/>
      <c r="BS14" s="1276"/>
      <c r="BT14" s="356">
        <f t="shared" si="10"/>
        <v>0</v>
      </c>
      <c r="BU14" s="1277"/>
      <c r="BV14" s="356"/>
      <c r="BW14" s="351"/>
      <c r="BX14" s="328"/>
      <c r="BY14" s="1274"/>
      <c r="BZ14" s="309"/>
      <c r="CA14" s="1128"/>
      <c r="CB14" s="1128"/>
      <c r="CC14" s="1276"/>
      <c r="CD14" s="356">
        <f t="shared" si="11"/>
        <v>0</v>
      </c>
      <c r="CE14" s="1277"/>
      <c r="CF14" s="356"/>
      <c r="CG14" s="328"/>
      <c r="CH14" s="328"/>
      <c r="CI14" s="1274"/>
      <c r="CJ14" s="309"/>
      <c r="CK14" s="1128"/>
      <c r="CL14" s="1128"/>
      <c r="CM14" s="1276"/>
      <c r="CN14" s="356">
        <f t="shared" si="12"/>
        <v>0</v>
      </c>
      <c r="CO14" s="1277"/>
      <c r="CP14" s="356"/>
      <c r="CQ14" s="328"/>
      <c r="CR14" s="328"/>
      <c r="CS14" s="1274"/>
      <c r="CT14" s="309"/>
      <c r="CU14" s="1128"/>
      <c r="CV14" s="1128"/>
      <c r="CW14" s="1276"/>
      <c r="CX14" s="356">
        <f t="shared" si="13"/>
        <v>0</v>
      </c>
      <c r="CY14" s="1277"/>
      <c r="CZ14" s="356"/>
      <c r="DA14" s="351"/>
      <c r="DB14" s="328"/>
      <c r="DC14" s="1274"/>
      <c r="DD14" s="309"/>
      <c r="DE14" s="1128"/>
      <c r="DF14" s="1128"/>
      <c r="DG14" s="1276"/>
      <c r="DH14" s="356">
        <f t="shared" si="14"/>
        <v>0</v>
      </c>
      <c r="DI14" s="1277"/>
      <c r="DJ14" s="356"/>
      <c r="DK14" s="328"/>
      <c r="DL14" s="328"/>
      <c r="DM14" s="1274"/>
      <c r="DN14" s="309"/>
      <c r="DO14" s="1128"/>
      <c r="DP14" s="1128"/>
      <c r="DQ14" s="1276"/>
      <c r="DR14" s="356">
        <f t="shared" si="15"/>
        <v>0</v>
      </c>
      <c r="DS14" s="1277"/>
      <c r="DT14" s="356"/>
      <c r="DU14" s="328"/>
      <c r="DV14" s="328"/>
      <c r="DW14" s="1274"/>
      <c r="DX14" s="309"/>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439</v>
      </c>
      <c r="D15" s="1267" t="s">
        <v>32</v>
      </c>
      <c r="E15" s="1267" t="s">
        <v>949</v>
      </c>
      <c r="F15" s="1268">
        <f t="shared" si="2"/>
        <v>27</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171.65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IFERROR(__xludf.DUMMYFUNCTION("""COMPUTED_VALUE"""),1.0)</f>
        <v>1</v>
      </c>
      <c r="AZ15" s="1281">
        <f t="shared" si="8"/>
        <v>0</v>
      </c>
      <c r="BA15" s="1283">
        <f>IFERROR(__xludf.DUMMYFUNCTION("""COMPUTED_VALUE"""),6.0)</f>
        <v>6</v>
      </c>
      <c r="BB15" s="1281">
        <f>IFERROR(__xludf.DUMMYFUNCTION("""COMPUTED_VALUE"""),0.0)</f>
        <v>0</v>
      </c>
      <c r="BC15" s="328"/>
      <c r="BD15" s="328"/>
      <c r="BE15" s="1274"/>
      <c r="BF15" s="309"/>
      <c r="BG15" s="1128"/>
      <c r="BH15" s="1128"/>
      <c r="BI15" s="1276"/>
      <c r="BJ15" s="356">
        <f t="shared" si="9"/>
        <v>0</v>
      </c>
      <c r="BK15" s="1277"/>
      <c r="BL15" s="356"/>
      <c r="BM15" s="328"/>
      <c r="BN15" s="328"/>
      <c r="BO15" s="1274"/>
      <c r="BP15" s="309"/>
      <c r="BQ15" s="1128"/>
      <c r="BR15" s="1128"/>
      <c r="BS15" s="1276"/>
      <c r="BT15" s="356">
        <f t="shared" si="10"/>
        <v>0</v>
      </c>
      <c r="BU15" s="1277"/>
      <c r="BV15" s="356"/>
      <c r="BW15" s="351"/>
      <c r="BX15" s="328"/>
      <c r="BY15" s="1274"/>
      <c r="BZ15" s="309"/>
      <c r="CA15" s="1128"/>
      <c r="CB15" s="1128"/>
      <c r="CC15" s="1276"/>
      <c r="CD15" s="356">
        <f t="shared" si="11"/>
        <v>0</v>
      </c>
      <c r="CE15" s="1277"/>
      <c r="CF15" s="356"/>
      <c r="CG15" s="328"/>
      <c r="CH15" s="328"/>
      <c r="CI15" s="1274"/>
      <c r="CJ15" s="309"/>
      <c r="CK15" s="1128"/>
      <c r="CL15" s="1128"/>
      <c r="CM15" s="1276"/>
      <c r="CN15" s="356">
        <f t="shared" si="12"/>
        <v>0</v>
      </c>
      <c r="CO15" s="1277"/>
      <c r="CP15" s="356"/>
      <c r="CQ15" s="328"/>
      <c r="CR15" s="328"/>
      <c r="CS15" s="1274"/>
      <c r="CT15" s="309"/>
      <c r="CU15" s="1128"/>
      <c r="CV15" s="1128"/>
      <c r="CW15" s="1276"/>
      <c r="CX15" s="356">
        <f t="shared" si="13"/>
        <v>0</v>
      </c>
      <c r="CY15" s="1277"/>
      <c r="CZ15" s="356"/>
      <c r="DA15" s="351"/>
      <c r="DB15" s="328"/>
      <c r="DC15" s="1274"/>
      <c r="DD15" s="309"/>
      <c r="DE15" s="1128"/>
      <c r="DF15" s="1128"/>
      <c r="DG15" s="1276"/>
      <c r="DH15" s="356">
        <f t="shared" si="14"/>
        <v>0</v>
      </c>
      <c r="DI15" s="1277"/>
      <c r="DJ15" s="356"/>
      <c r="DK15" s="328"/>
      <c r="DL15" s="328"/>
      <c r="DM15" s="1274"/>
      <c r="DN15" s="309"/>
      <c r="DO15" s="1128"/>
      <c r="DP15" s="1128"/>
      <c r="DQ15" s="1276"/>
      <c r="DR15" s="356">
        <f t="shared" si="15"/>
        <v>0</v>
      </c>
      <c r="DS15" s="1277"/>
      <c r="DT15" s="356"/>
      <c r="DU15" s="328"/>
      <c r="DV15" s="328"/>
      <c r="DW15" s="1274"/>
      <c r="DX15" s="309"/>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438</v>
      </c>
      <c r="D16" s="1267" t="s">
        <v>32</v>
      </c>
      <c r="E16" s="1267" t="s">
        <v>949</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198.0666667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IFERROR(__xludf.DUMMYFUNCTION("""COMPUTED_VALUE"""),-0.08333333333333333)</f>
        <v>-0.08333333333</v>
      </c>
      <c r="BB16" s="1281">
        <f>IFERROR(__xludf.DUMMYFUNCTION("""COMPUTED_VALUE"""),0.0)</f>
        <v>0</v>
      </c>
      <c r="BC16" s="328"/>
      <c r="BD16" s="328"/>
      <c r="BE16" s="1274"/>
      <c r="BF16" s="309"/>
      <c r="BG16" s="1128"/>
      <c r="BH16" s="1128"/>
      <c r="BI16" s="1276"/>
      <c r="BJ16" s="356">
        <f t="shared" si="9"/>
        <v>0</v>
      </c>
      <c r="BK16" s="1277"/>
      <c r="BL16" s="356"/>
      <c r="BM16" s="328"/>
      <c r="BN16" s="328"/>
      <c r="BO16" s="1274"/>
      <c r="BP16" s="309"/>
      <c r="BQ16" s="1128"/>
      <c r="BR16" s="1128"/>
      <c r="BS16" s="1276"/>
      <c r="BT16" s="356">
        <f t="shared" si="10"/>
        <v>0</v>
      </c>
      <c r="BU16" s="1277"/>
      <c r="BV16" s="356"/>
      <c r="BW16" s="351"/>
      <c r="BX16" s="328"/>
      <c r="BY16" s="1274"/>
      <c r="BZ16" s="309"/>
      <c r="CA16" s="1128"/>
      <c r="CB16" s="1128"/>
      <c r="CC16" s="1276"/>
      <c r="CD16" s="356">
        <f t="shared" si="11"/>
        <v>0</v>
      </c>
      <c r="CE16" s="1277"/>
      <c r="CF16" s="356"/>
      <c r="CG16" s="328"/>
      <c r="CH16" s="328"/>
      <c r="CI16" s="1274"/>
      <c r="CJ16" s="309"/>
      <c r="CK16" s="1128"/>
      <c r="CL16" s="1128"/>
      <c r="CM16" s="1276"/>
      <c r="CN16" s="356">
        <f t="shared" si="12"/>
        <v>0</v>
      </c>
      <c r="CO16" s="1277"/>
      <c r="CP16" s="356"/>
      <c r="CQ16" s="328"/>
      <c r="CR16" s="328"/>
      <c r="CS16" s="1274"/>
      <c r="CT16" s="309"/>
      <c r="CU16" s="1128"/>
      <c r="CV16" s="1128"/>
      <c r="CW16" s="1276"/>
      <c r="CX16" s="356">
        <f t="shared" si="13"/>
        <v>0</v>
      </c>
      <c r="CY16" s="1277"/>
      <c r="CZ16" s="356"/>
      <c r="DA16" s="351"/>
      <c r="DB16" s="328"/>
      <c r="DC16" s="1274"/>
      <c r="DD16" s="309"/>
      <c r="DE16" s="1128"/>
      <c r="DF16" s="1128"/>
      <c r="DG16" s="1276"/>
      <c r="DH16" s="356">
        <f t="shared" si="14"/>
        <v>0</v>
      </c>
      <c r="DI16" s="1277"/>
      <c r="DJ16" s="356"/>
      <c r="DK16" s="328"/>
      <c r="DL16" s="328"/>
      <c r="DM16" s="1274"/>
      <c r="DN16" s="309"/>
      <c r="DO16" s="1128"/>
      <c r="DP16" s="1128"/>
      <c r="DQ16" s="1276"/>
      <c r="DR16" s="356">
        <f t="shared" si="15"/>
        <v>0</v>
      </c>
      <c r="DS16" s="1277"/>
      <c r="DT16" s="356"/>
      <c r="DU16" s="328"/>
      <c r="DV16" s="328"/>
      <c r="DW16" s="1274"/>
      <c r="DX16" s="309"/>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646</v>
      </c>
      <c r="D18" s="1267"/>
      <c r="E18" s="1267" t="s">
        <v>949</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IFERROR(__xludf.DUMMYFUNCTION("""COMPUTED_VALUE"""),371.0)</f>
        <v>371</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1013</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""日別集計!D5:AH5""),""ファイルなし"")"),55875.0)</f>
        <v>55875</v>
      </c>
      <c r="C6" s="85">
        <f>IFERROR(__xludf.DUMMYFUNCTION("""COMPUTED_VALUE"""),63216.666666666664)</f>
        <v>63216.66667</v>
      </c>
      <c r="D6" s="85">
        <f>IFERROR(__xludf.DUMMYFUNCTION("""COMPUTED_VALUE"""),69601.66666666666)</f>
        <v>69601.66667</v>
      </c>
      <c r="E6" s="85">
        <f>IFERROR(__xludf.DUMMYFUNCTION("""COMPUTED_VALUE"""),52280.0)</f>
        <v>52280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1014</v>
      </c>
      <c r="C30" s="374"/>
      <c r="D30" s="374"/>
      <c r="E30" s="374"/>
      <c r="F30" s="127"/>
    </row>
    <row r="31">
      <c r="B31" s="1310" t="s">
        <v>1015</v>
      </c>
      <c r="C31" s="1311" t="s">
        <v>463</v>
      </c>
      <c r="D31" s="1311" t="s">
        <v>464</v>
      </c>
      <c r="E31" s="1311" t="s">
        <v>947</v>
      </c>
      <c r="F31" s="1312" t="s">
        <v>461</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473</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0</v>
      </c>
      <c r="I9" s="631" t="s">
        <v>472</v>
      </c>
      <c r="J9" s="632" t="s">
        <v>472</v>
      </c>
      <c r="K9" s="633" t="s">
        <v>472</v>
      </c>
      <c r="L9" s="633" t="s">
        <v>472</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541</v>
      </c>
      <c r="AZ30" s="705">
        <f>AS46</f>
        <v>0</v>
      </c>
      <c r="BA30" s="718" t="s">
        <v>472</v>
      </c>
      <c r="BB30" s="703">
        <f>SUM(AZ30:AZ36)</f>
        <v>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545</v>
      </c>
      <c r="AZ31" s="705">
        <f t="shared" ref="AZ31:AZ34" si="9">BA31/$G$5*COUNTIFS($E$13:$E$43,"&gt;0")</f>
        <v>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547</v>
      </c>
      <c r="AZ32" s="705">
        <f t="shared" si="9"/>
        <v>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549</v>
      </c>
      <c r="AZ33" s="705">
        <f t="shared" si="9"/>
        <v>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551</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552</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1330">
        <v>1070.0</v>
      </c>
      <c r="H45" s="1330">
        <v>-1070.0</v>
      </c>
      <c r="I45" s="1330">
        <v>200.0</v>
      </c>
      <c r="J45" s="1330"/>
      <c r="K45" s="1330"/>
      <c r="L45" s="1330"/>
      <c r="M45" s="1330"/>
      <c r="N45" s="1330"/>
      <c r="O45" s="1330"/>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1332" t="s">
        <v>1016</v>
      </c>
      <c r="F47" s="1333"/>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1017</v>
      </c>
      <c r="O2" s="431"/>
      <c r="P2" s="432"/>
      <c r="Q2" s="433"/>
      <c r="R2" s="433"/>
      <c r="S2" s="434"/>
      <c r="T2" s="433"/>
      <c r="U2" s="433"/>
      <c r="V2" s="433"/>
      <c r="W2" s="433"/>
      <c r="X2" s="433"/>
      <c r="Y2" s="435"/>
      <c r="Z2" s="406"/>
      <c r="AA2" s="406"/>
      <c r="AB2" s="406"/>
      <c r="AC2" s="406"/>
      <c r="AD2" s="406"/>
      <c r="AE2" s="406"/>
      <c r="AF2" s="436"/>
      <c r="AG2" s="437"/>
      <c r="AH2" s="438"/>
      <c r="AI2" s="439" t="s">
        <v>1018</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46147</v>
      </c>
      <c r="C7" s="510"/>
      <c r="D7" s="426"/>
      <c r="E7" s="511">
        <f>today()+1</f>
        <v>46148</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火</v>
      </c>
      <c r="D8" s="255"/>
      <c r="E8" s="525" t="s">
        <v>426</v>
      </c>
      <c r="F8" s="526" t="str">
        <f>TEXT(E7,"ddd")</f>
        <v>水</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0</v>
      </c>
      <c r="J9" s="527"/>
      <c r="K9" s="534" t="s">
        <v>429</v>
      </c>
      <c r="L9" s="535" t="s">
        <v>430</v>
      </c>
      <c r="M9" s="536" t="s">
        <v>431</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769</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09"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09"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09"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09"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09"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09"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436</v>
      </c>
      <c r="M41" s="536" t="s">
        <v>303</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09"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09"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09"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09"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09"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09"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ollapsed="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hidden="1" outlineLevel="1">
      <c r="A9" s="971"/>
      <c r="B9" s="1027"/>
      <c r="C9" s="1028">
        <f>D5</f>
        <v>46054</v>
      </c>
      <c r="D9" s="1029" t="str">
        <f>TEXT(C9,"ddd")</f>
        <v>日</v>
      </c>
      <c r="E9" s="1030"/>
      <c r="F9" s="1031" t="s">
        <v>650</v>
      </c>
      <c r="G9" s="1032"/>
      <c r="H9" s="1033"/>
      <c r="I9" s="1334">
        <v>0.0</v>
      </c>
      <c r="J9" s="1029"/>
      <c r="K9" s="1029"/>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hidden="1"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hidden="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hidden="1"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hidden="1"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hidden="1"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hidden="1"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hidden="1"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hidden="1"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hidden="1"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775</v>
      </c>
      <c r="W18" s="1025"/>
      <c r="X18" s="1026">
        <v>46357.0</v>
      </c>
      <c r="Y18" s="971"/>
      <c r="Z18" s="971"/>
    </row>
    <row r="19" hidden="1"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hidden="1" outlineLevel="1">
      <c r="A20" s="971"/>
      <c r="B20" s="1051"/>
      <c r="C20" s="1052">
        <f>IF(C9="","",IF(DAY(C9+1)=1,"",C9+1))</f>
        <v>46055</v>
      </c>
      <c r="D20" s="1053" t="str">
        <f>TEXT(C20,"ddd")</f>
        <v>月</v>
      </c>
      <c r="E20" s="1054"/>
      <c r="F20" s="1055" t="s">
        <v>650</v>
      </c>
      <c r="G20" s="1056"/>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778</v>
      </c>
      <c r="W20" s="1025"/>
      <c r="X20" s="1026"/>
      <c r="Y20" s="971"/>
      <c r="Z20" s="971"/>
    </row>
    <row r="21" hidden="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770</v>
      </c>
      <c r="W21" s="1025"/>
      <c r="X21" s="1026"/>
      <c r="Y21" s="971"/>
      <c r="Z21" s="971"/>
    </row>
    <row r="22" hidden="1"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hidden="1"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779</v>
      </c>
      <c r="W23" s="971"/>
      <c r="X23" s="1066"/>
      <c r="Y23" s="971"/>
      <c r="Z23" s="971"/>
    </row>
    <row r="24" hidden="1"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hidden="1"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hidden="1"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hidden="1"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hidden="1"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hidden="1"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idden="1"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hidden="1" outlineLevel="1">
      <c r="A31" s="971"/>
      <c r="B31" s="1070"/>
      <c r="C31" s="1071">
        <f>IF(C20="","",IF(DAY(C20+1)=1,"",C20+1))</f>
        <v>46056</v>
      </c>
      <c r="D31" s="1072" t="str">
        <f>TEXT(C31,"ddd")</f>
        <v>火</v>
      </c>
      <c r="E31" s="1073"/>
      <c r="F31" s="1074" t="s">
        <v>650</v>
      </c>
      <c r="G31" s="1075"/>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hidden="1"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hidden="1"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hidden="1"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hidden="1"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hidden="1"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hidden="1"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hidden="1"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hidden="1"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hidden="1"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idden="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hidden="1" outlineLevel="1">
      <c r="A42" s="971"/>
      <c r="B42" s="1051"/>
      <c r="C42" s="1052">
        <f>IF(C31="","",IF(DAY(C31+1)=1,"",C31+1))</f>
        <v>46057</v>
      </c>
      <c r="D42" s="1053" t="str">
        <f>TEXT(C42,"ddd")</f>
        <v>水</v>
      </c>
      <c r="E42" s="1054"/>
      <c r="F42" s="1083" t="s">
        <v>650</v>
      </c>
      <c r="G42" s="1084"/>
      <c r="H42" s="1085"/>
      <c r="I42" s="1096">
        <v>0.0</v>
      </c>
      <c r="J42" s="1053"/>
      <c r="K42" s="1053"/>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hidden="1"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hidden="1"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hidden="1"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hidden="1"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hidden="1"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hidden="1"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hidden="1"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hidden="1"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hidden="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idden="1"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idden="1" outlineLevel="1">
      <c r="A53" s="971"/>
      <c r="B53" s="1070"/>
      <c r="C53" s="1071">
        <f>IF(C42="","",IF(DAY(C42+1)=1,"",C42+1))</f>
        <v>46058</v>
      </c>
      <c r="D53" s="1072" t="str">
        <f>TEXT(C53,"ddd")</f>
        <v>木</v>
      </c>
      <c r="E53" s="1073"/>
      <c r="F53" s="1074" t="s">
        <v>650</v>
      </c>
      <c r="G53" s="1075"/>
      <c r="H53" s="1076"/>
      <c r="I53" s="1077">
        <v>0.0</v>
      </c>
      <c r="J53" s="1072"/>
      <c r="K53" s="1072"/>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idden="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idden="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idden="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idden="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idden="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idden="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idden="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idden="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idden="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idden="1"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651</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46059</v>
      </c>
      <c r="D65" s="1053" t="str">
        <f>TEXT(C65,"ddd")</f>
        <v>金</v>
      </c>
      <c r="E65" s="1054"/>
      <c r="F65" s="1083" t="s">
        <v>650</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46060</v>
      </c>
      <c r="D76" s="1072" t="str">
        <f>TEXT(C76,"ddd")</f>
        <v>土</v>
      </c>
      <c r="E76" s="1073"/>
      <c r="F76" s="1074" t="s">
        <v>650</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46061</v>
      </c>
      <c r="D87" s="1053" t="str">
        <f>TEXT(C87,"ddd")</f>
        <v>日</v>
      </c>
      <c r="E87" s="1054"/>
      <c r="F87" s="1083" t="s">
        <v>650</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46062</v>
      </c>
      <c r="D98" s="1072" t="str">
        <f>TEXT(C98,"ddd")</f>
        <v>月</v>
      </c>
      <c r="E98" s="1073"/>
      <c r="F98" s="1074" t="s">
        <v>650</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46063</v>
      </c>
      <c r="D109" s="1053" t="str">
        <f>TEXT(C109,"ddd")</f>
        <v>火</v>
      </c>
      <c r="E109" s="1054"/>
      <c r="F109" s="1083" t="s">
        <v>650</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652</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650</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650</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650</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650</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650</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653</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46069</v>
      </c>
      <c r="D177" s="1053" t="str">
        <f>TEXT(C177,"ddd")</f>
        <v>月</v>
      </c>
      <c r="E177" s="1054"/>
      <c r="F177" s="1083" t="s">
        <v>650</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46070</v>
      </c>
      <c r="D188" s="1072" t="str">
        <f>TEXT(C188,"ddd")</f>
        <v>火</v>
      </c>
      <c r="E188" s="1073"/>
      <c r="F188" s="1074" t="s">
        <v>650</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46071</v>
      </c>
      <c r="D199" s="1053" t="str">
        <f>TEXT(C199,"ddd")</f>
        <v>水</v>
      </c>
      <c r="E199" s="1054"/>
      <c r="F199" s="1083" t="s">
        <v>650</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46072</v>
      </c>
      <c r="D210" s="1072" t="str">
        <f>TEXT(C210,"ddd")</f>
        <v>木</v>
      </c>
      <c r="E210" s="1073"/>
      <c r="F210" s="1074" t="s">
        <v>650</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46073</v>
      </c>
      <c r="D221" s="1053" t="str">
        <f>TEXT(C221,"ddd")</f>
        <v>金</v>
      </c>
      <c r="E221" s="1054"/>
      <c r="F221" s="1083" t="s">
        <v>650</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654</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46074</v>
      </c>
      <c r="D233" s="1072" t="str">
        <f>TEXT(C233,"ddd")</f>
        <v>土</v>
      </c>
      <c r="E233" s="1073"/>
      <c r="F233" s="1074" t="s">
        <v>650</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46075</v>
      </c>
      <c r="D244" s="1053" t="str">
        <f>TEXT(C244,"ddd")</f>
        <v>日</v>
      </c>
      <c r="E244" s="1054"/>
      <c r="F244" s="1083" t="s">
        <v>650</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46076</v>
      </c>
      <c r="D255" s="1072" t="str">
        <f>TEXT(C255,"ddd")</f>
        <v>月</v>
      </c>
      <c r="E255" s="1073"/>
      <c r="F255" s="1074" t="s">
        <v>650</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46077</v>
      </c>
      <c r="D266" s="1053" t="str">
        <f>TEXT(C266,"ddd")</f>
        <v>火</v>
      </c>
      <c r="E266" s="1054"/>
      <c r="F266" s="1083" t="s">
        <v>650</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46078</v>
      </c>
      <c r="D277" s="1072" t="str">
        <f>TEXT(C277,"ddd")</f>
        <v>水</v>
      </c>
      <c r="E277" s="1073"/>
      <c r="F277" s="1074" t="s">
        <v>650</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655</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46079</v>
      </c>
      <c r="D289" s="1053" t="str">
        <f>TEXT(C289,"ddd")</f>
        <v>木</v>
      </c>
      <c r="E289" s="1054"/>
      <c r="F289" s="1083" t="s">
        <v>650</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46080</v>
      </c>
      <c r="D300" s="1072" t="str">
        <f>TEXT(C300,"ddd")</f>
        <v>金</v>
      </c>
      <c r="E300" s="1073"/>
      <c r="F300" s="1074" t="s">
        <v>650</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46081</v>
      </c>
      <c r="D311" s="1053" t="str">
        <f>TEXT(C311,"ddd")</f>
        <v>土</v>
      </c>
      <c r="E311" s="1054"/>
      <c r="F311" s="1083" t="s">
        <v>650</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t="str">
        <f>IF(C311="","",IF(DAY(C311+1)=1,"",C311+1))</f>
        <v/>
      </c>
      <c r="D322" s="1072" t="str">
        <f>TEXT(C322,"ddd")</f>
        <v/>
      </c>
      <c r="E322" s="1073"/>
      <c r="F322" s="1074" t="s">
        <v>650</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t="str">
        <f>IF(C322="","",IF(DAY(C322+1)=1,"",C322+1))</f>
        <v/>
      </c>
      <c r="D333" s="1053" t="str">
        <f>TEXT(C333,"ddd")</f>
        <v/>
      </c>
      <c r="E333" s="1054"/>
      <c r="F333" s="1083" t="s">
        <v>650</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t="str">
        <f>IF(C333="","",IF(DAY(C333+1)=1,"",C333+1))</f>
        <v/>
      </c>
      <c r="D344" s="1072" t="str">
        <f>TEXT(C344,"ddd")</f>
        <v/>
      </c>
      <c r="E344" s="1073"/>
      <c r="F344" s="1074" t="s">
        <v>650</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c r="F7" s="808"/>
      <c r="G7" s="809"/>
      <c r="H7" s="807"/>
      <c r="I7" s="808"/>
      <c r="J7" s="809"/>
      <c r="K7" s="810"/>
      <c r="L7" s="811"/>
      <c r="M7" s="812"/>
      <c r="N7" s="813" t="str">
        <f t="shared" ref="N7:P7" si="1">if(E7="","",sum(E7,H7,K7))</f>
        <v/>
      </c>
      <c r="O7" s="813" t="str">
        <f t="shared" si="1"/>
        <v/>
      </c>
      <c r="P7" s="814" t="str">
        <f t="shared" si="1"/>
        <v/>
      </c>
      <c r="Q7" s="815" t="str">
        <f t="shared" ref="Q7:Q37" si="4">if(N7="","",SUM(N7:P7))</f>
        <v/>
      </c>
      <c r="S7" s="816"/>
      <c r="T7" s="816"/>
    </row>
    <row r="8">
      <c r="B8" s="73"/>
      <c r="C8" s="805">
        <f t="shared" ref="C8:C37" si="5">IF(C7="","",IF(DAY(C7+1)=1,"",C7+1))</f>
        <v>46055</v>
      </c>
      <c r="D8" s="806" t="str">
        <f t="shared" si="2"/>
        <v>月</v>
      </c>
      <c r="E8" s="807"/>
      <c r="F8" s="817"/>
      <c r="G8" s="818"/>
      <c r="H8" s="807"/>
      <c r="I8" s="817"/>
      <c r="J8" s="818"/>
      <c r="K8" s="810"/>
      <c r="L8" s="811"/>
      <c r="M8" s="812"/>
      <c r="N8" s="813" t="str">
        <f t="shared" ref="N8:P8" si="3">if(E8="","",sum(E8,H8,K8))</f>
        <v/>
      </c>
      <c r="O8" s="813" t="str">
        <f t="shared" si="3"/>
        <v/>
      </c>
      <c r="P8" s="814" t="str">
        <f t="shared" si="3"/>
        <v/>
      </c>
      <c r="Q8" s="815" t="str">
        <f t="shared" si="4"/>
        <v/>
      </c>
      <c r="S8" s="816"/>
      <c r="T8" s="816"/>
    </row>
    <row r="9">
      <c r="B9" s="73"/>
      <c r="C9" s="805">
        <f t="shared" si="5"/>
        <v>46056</v>
      </c>
      <c r="D9" s="806" t="str">
        <f t="shared" si="2"/>
        <v>火</v>
      </c>
      <c r="E9" s="807"/>
      <c r="F9" s="819"/>
      <c r="G9" s="818"/>
      <c r="H9" s="807"/>
      <c r="I9" s="819"/>
      <c r="J9" s="818"/>
      <c r="K9" s="810"/>
      <c r="L9" s="811"/>
      <c r="M9" s="812"/>
      <c r="N9" s="813" t="str">
        <f t="shared" ref="N9:P9" si="6">if(E9="","",sum(E9,H9,K9))</f>
        <v/>
      </c>
      <c r="O9" s="813" t="str">
        <f t="shared" si="6"/>
        <v/>
      </c>
      <c r="P9" s="814" t="str">
        <f t="shared" si="6"/>
        <v/>
      </c>
      <c r="Q9" s="815" t="str">
        <f t="shared" si="4"/>
        <v/>
      </c>
      <c r="S9" s="816"/>
      <c r="T9" s="816"/>
    </row>
    <row r="10">
      <c r="B10" s="73"/>
      <c r="C10" s="805">
        <f t="shared" si="5"/>
        <v>46057</v>
      </c>
      <c r="D10" s="806" t="str">
        <f t="shared" si="2"/>
        <v>水</v>
      </c>
      <c r="E10" s="807"/>
      <c r="F10" s="819"/>
      <c r="G10" s="818"/>
      <c r="H10" s="807"/>
      <c r="I10" s="819"/>
      <c r="J10" s="818"/>
      <c r="K10" s="810"/>
      <c r="L10" s="811"/>
      <c r="M10" s="812"/>
      <c r="N10" s="813" t="str">
        <f t="shared" ref="N10:P10" si="7">if(E10="","",sum(E10,H10,K10))</f>
        <v/>
      </c>
      <c r="O10" s="813" t="str">
        <f t="shared" si="7"/>
        <v/>
      </c>
      <c r="P10" s="814" t="str">
        <f t="shared" si="7"/>
        <v/>
      </c>
      <c r="Q10" s="815" t="str">
        <f t="shared" si="4"/>
        <v/>
      </c>
      <c r="S10" s="816"/>
      <c r="T10" s="816"/>
    </row>
    <row r="11">
      <c r="B11" s="73"/>
      <c r="C11" s="805">
        <f t="shared" si="5"/>
        <v>46058</v>
      </c>
      <c r="D11" s="806" t="str">
        <f t="shared" si="2"/>
        <v>木</v>
      </c>
      <c r="E11" s="807"/>
      <c r="F11" s="819"/>
      <c r="G11" s="818"/>
      <c r="H11" s="807"/>
      <c r="I11" s="819"/>
      <c r="J11" s="818"/>
      <c r="K11" s="810"/>
      <c r="L11" s="811"/>
      <c r="M11" s="812"/>
      <c r="N11" s="813" t="str">
        <f t="shared" ref="N11:P11" si="8">if(E11="","",sum(E11,H11,K11))</f>
        <v/>
      </c>
      <c r="O11" s="813" t="str">
        <f t="shared" si="8"/>
        <v/>
      </c>
      <c r="P11" s="814" t="str">
        <f t="shared" si="8"/>
        <v/>
      </c>
      <c r="Q11" s="815" t="str">
        <f t="shared" si="4"/>
        <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0</v>
      </c>
      <c r="F38" s="831">
        <f t="shared" si="35"/>
        <v>0</v>
      </c>
      <c r="G38" s="831">
        <f t="shared" si="35"/>
        <v>0</v>
      </c>
      <c r="H38" s="832">
        <f t="shared" si="35"/>
        <v>0</v>
      </c>
      <c r="I38" s="832">
        <f t="shared" si="35"/>
        <v>0</v>
      </c>
      <c r="J38" s="832">
        <f t="shared" si="35"/>
        <v>0</v>
      </c>
      <c r="K38" s="833">
        <f t="shared" si="35"/>
        <v>0</v>
      </c>
      <c r="L38" s="833">
        <f t="shared" si="35"/>
        <v>0</v>
      </c>
      <c r="M38" s="833">
        <f t="shared" si="35"/>
        <v>0</v>
      </c>
      <c r="N38" s="834">
        <f t="shared" si="35"/>
        <v>0</v>
      </c>
      <c r="O38" s="834">
        <f t="shared" si="35"/>
        <v>0</v>
      </c>
      <c r="P38" s="835">
        <f t="shared" si="35"/>
        <v>0</v>
      </c>
      <c r="Q38" s="836">
        <f>SUM(N38:P38)</f>
        <v>0</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1019</v>
      </c>
    </row>
    <row r="3" ht="30.0" customHeight="1">
      <c r="A3" s="1336"/>
      <c r="B3" s="1337" t="s">
        <v>1020</v>
      </c>
      <c r="D3" s="1336"/>
      <c r="E3" s="1338" t="s">
        <v>1021</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1022</v>
      </c>
      <c r="C5" s="1347" t="s">
        <v>1023</v>
      </c>
      <c r="D5" s="1342"/>
      <c r="E5" s="1348" t="s">
        <v>568</v>
      </c>
      <c r="F5" s="1349" t="s">
        <v>569</v>
      </c>
      <c r="G5" s="1350" t="s">
        <v>570</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1019</v>
      </c>
      <c r="C2" s="71"/>
      <c r="D2" s="71"/>
      <c r="E2" s="71"/>
      <c r="F2" s="71"/>
      <c r="G2" s="71"/>
      <c r="H2" s="71"/>
      <c r="I2" s="71"/>
      <c r="J2" s="71"/>
      <c r="K2" s="71"/>
      <c r="L2" s="71"/>
    </row>
    <row r="3" ht="21.0" customHeight="1">
      <c r="A3" s="351"/>
      <c r="B3" s="1368" t="s">
        <v>1024</v>
      </c>
      <c r="C3" s="351"/>
      <c r="D3" s="351"/>
      <c r="E3" s="351"/>
      <c r="F3" s="351"/>
      <c r="G3" s="1369" t="s">
        <v>1025</v>
      </c>
      <c r="H3" s="351"/>
      <c r="I3" s="351"/>
      <c r="J3" s="351"/>
      <c r="K3" s="351"/>
      <c r="L3" s="351"/>
      <c r="M3" s="328"/>
    </row>
    <row r="4" ht="18.0" customHeight="1">
      <c r="A4" s="1370"/>
      <c r="B4" s="1371" t="s">
        <v>1026</v>
      </c>
      <c r="C4" s="1372"/>
      <c r="D4" s="1373"/>
      <c r="E4" s="1370"/>
      <c r="F4" s="1370"/>
      <c r="G4" s="1374">
        <v>46124.0</v>
      </c>
      <c r="H4" s="1375"/>
      <c r="I4" s="1375"/>
      <c r="J4" s="1375"/>
      <c r="K4" s="1375"/>
      <c r="L4" s="1376"/>
      <c r="M4" s="922"/>
    </row>
    <row r="5" ht="15.75" customHeight="1">
      <c r="A5" s="1249"/>
      <c r="B5" s="1377" t="s">
        <v>477</v>
      </c>
      <c r="C5" s="1377" t="s">
        <v>31</v>
      </c>
      <c r="D5" s="1377" t="s">
        <v>1027</v>
      </c>
      <c r="E5" s="1378" t="s">
        <v>1028</v>
      </c>
      <c r="F5" s="351"/>
      <c r="G5" s="1379" t="s">
        <v>1029</v>
      </c>
      <c r="H5" s="1376"/>
      <c r="I5" s="1380" t="s">
        <v>569</v>
      </c>
      <c r="J5" s="1376"/>
      <c r="K5" s="1381" t="s">
        <v>1030</v>
      </c>
      <c r="L5" s="1376"/>
      <c r="M5" s="328"/>
    </row>
    <row r="6" ht="21.75" customHeight="1">
      <c r="A6" s="1382"/>
      <c r="B6" s="1383">
        <v>46122.0</v>
      </c>
      <c r="C6" s="1384" t="s">
        <v>567</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567</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566</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566</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567</v>
      </c>
      <c r="D12" s="1384">
        <v>2417.0</v>
      </c>
      <c r="E12" s="1384" t="str">
        <f t="shared" si="1"/>
        <v>継続</v>
      </c>
      <c r="F12" s="351"/>
      <c r="G12" s="1386"/>
      <c r="H12" s="1386"/>
      <c r="I12" s="1387"/>
      <c r="J12" s="1387"/>
      <c r="K12" s="1388"/>
      <c r="L12" s="1388"/>
      <c r="M12" s="328"/>
    </row>
    <row r="13" ht="21.75" customHeight="1">
      <c r="A13" s="351"/>
      <c r="B13" s="1383">
        <v>46123.0</v>
      </c>
      <c r="C13" s="1384" t="s">
        <v>567</v>
      </c>
      <c r="D13" s="1384">
        <v>2817.0</v>
      </c>
      <c r="E13" s="1384" t="str">
        <f t="shared" si="1"/>
        <v>新規</v>
      </c>
      <c r="F13" s="351"/>
      <c r="G13" s="1386"/>
      <c r="H13" s="1386"/>
      <c r="I13" s="1387"/>
      <c r="J13" s="1387"/>
      <c r="K13" s="1388"/>
      <c r="L13" s="1388"/>
      <c r="M13" s="328"/>
    </row>
    <row r="14" ht="21.75" customHeight="1">
      <c r="A14" s="351"/>
      <c r="B14" s="1383">
        <v>46123.0</v>
      </c>
      <c r="C14" s="1384" t="s">
        <v>566</v>
      </c>
      <c r="D14" s="1384">
        <v>2702.0</v>
      </c>
      <c r="E14" s="1384" t="str">
        <f t="shared" si="1"/>
        <v>継続</v>
      </c>
      <c r="F14" s="351"/>
      <c r="G14" s="1386"/>
      <c r="H14" s="1386"/>
      <c r="I14" s="1387"/>
      <c r="J14" s="1387"/>
      <c r="K14" s="1388"/>
      <c r="L14" s="1388"/>
      <c r="M14" s="328"/>
    </row>
    <row r="15" ht="21.75" customHeight="1">
      <c r="A15" s="351"/>
      <c r="B15" s="1383">
        <v>46123.0</v>
      </c>
      <c r="C15" s="1384" t="s">
        <v>566</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567</v>
      </c>
      <c r="D18" s="1384">
        <v>2417.0</v>
      </c>
      <c r="E18" s="1384" t="str">
        <f t="shared" si="1"/>
        <v>継続</v>
      </c>
      <c r="F18" s="351"/>
      <c r="G18" s="1386"/>
      <c r="H18" s="1386"/>
      <c r="I18" s="1387"/>
      <c r="J18" s="1387"/>
      <c r="K18" s="1388"/>
      <c r="L18" s="1388"/>
      <c r="M18" s="328"/>
    </row>
    <row r="19" ht="21.75" customHeight="1">
      <c r="A19" s="351"/>
      <c r="B19" s="1383">
        <v>46124.0</v>
      </c>
      <c r="C19" s="1384" t="s">
        <v>567</v>
      </c>
      <c r="D19" s="1384">
        <v>2817.0</v>
      </c>
      <c r="E19" s="1384" t="str">
        <f t="shared" si="1"/>
        <v>継続</v>
      </c>
      <c r="F19" s="351"/>
      <c r="G19" s="1386"/>
      <c r="H19" s="1386"/>
      <c r="I19" s="1387"/>
      <c r="J19" s="1387"/>
      <c r="K19" s="1388"/>
      <c r="L19" s="1388"/>
      <c r="M19" s="328"/>
    </row>
    <row r="20" ht="21.75" customHeight="1">
      <c r="A20" s="351"/>
      <c r="B20" s="1383">
        <v>46124.0</v>
      </c>
      <c r="C20" s="1384" t="s">
        <v>566</v>
      </c>
      <c r="D20" s="1384">
        <v>2802.0</v>
      </c>
      <c r="E20" s="1384" t="str">
        <f t="shared" si="1"/>
        <v>継続</v>
      </c>
      <c r="F20" s="351"/>
      <c r="G20" s="1386"/>
      <c r="H20" s="1386"/>
      <c r="I20" s="1387"/>
      <c r="J20" s="1387"/>
      <c r="K20" s="1388"/>
      <c r="L20" s="1388"/>
      <c r="M20" s="328"/>
    </row>
    <row r="21" ht="21.75" customHeight="1">
      <c r="A21" s="351"/>
      <c r="B21" s="1383">
        <v>46124.0</v>
      </c>
      <c r="C21" s="1384" t="s">
        <v>566</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567</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1019</v>
      </c>
      <c r="C2" s="71"/>
      <c r="D2" s="71"/>
      <c r="E2" s="71"/>
      <c r="F2" s="71"/>
      <c r="G2" s="71"/>
      <c r="H2" s="71"/>
    </row>
    <row r="3" ht="21.0" customHeight="1">
      <c r="A3" s="351"/>
      <c r="B3" s="1368"/>
      <c r="C3" s="351"/>
      <c r="D3" s="351"/>
      <c r="E3" s="351"/>
      <c r="F3" s="1391"/>
      <c r="G3" s="351"/>
      <c r="H3" s="351"/>
      <c r="I3" s="328"/>
    </row>
    <row r="4" ht="18.0" customHeight="1">
      <c r="A4" s="1370"/>
      <c r="B4" s="1392" t="s">
        <v>1031</v>
      </c>
      <c r="C4" s="1393"/>
      <c r="D4" s="1370"/>
      <c r="E4" s="1370"/>
      <c r="F4" s="1394" t="s">
        <v>1032</v>
      </c>
      <c r="G4" s="351"/>
      <c r="H4" s="1395">
        <v>46123.0</v>
      </c>
      <c r="I4" s="922"/>
    </row>
    <row r="5" ht="15.75" customHeight="1">
      <c r="A5" s="1249"/>
      <c r="B5" s="1396" t="s">
        <v>477</v>
      </c>
      <c r="C5" s="1396" t="s">
        <v>1027</v>
      </c>
      <c r="D5" s="1378" t="s">
        <v>1028</v>
      </c>
      <c r="E5" s="351"/>
      <c r="F5" s="1397" t="s">
        <v>568</v>
      </c>
      <c r="G5" s="1398" t="s">
        <v>569</v>
      </c>
      <c r="H5" s="1399" t="s">
        <v>570</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1033</v>
      </c>
      <c r="W3" s="1406"/>
    </row>
    <row r="4">
      <c r="A4" s="1414"/>
      <c r="B4" s="1415" t="s">
        <v>430</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1034</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463</v>
      </c>
      <c r="C6" s="1421">
        <f t="shared" ref="C6:N6" si="1">iferror(indirect(C3&amp;"!G8"),"")</f>
        <v>0.7620760534</v>
      </c>
      <c r="D6" s="1421">
        <f t="shared" si="1"/>
        <v>0.7398468322</v>
      </c>
      <c r="E6" s="1421">
        <f t="shared" si="1"/>
        <v>0.7803357314</v>
      </c>
      <c r="F6" s="1421">
        <f t="shared" si="1"/>
        <v>0.7212230216</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0.7508704097</v>
      </c>
      <c r="P6" s="1404"/>
      <c r="Q6" s="1404"/>
      <c r="R6" s="1404"/>
      <c r="S6" s="1404"/>
      <c r="T6" s="1404"/>
      <c r="U6" s="1404"/>
      <c r="V6" s="1413">
        <v>13.0</v>
      </c>
      <c r="W6" s="1406"/>
    </row>
    <row r="7">
      <c r="A7" s="1414"/>
      <c r="B7" s="1420" t="s">
        <v>464</v>
      </c>
      <c r="C7" s="1422">
        <f t="shared" ref="C7:N7" si="2">iferror(indirect(C3&amp;"!H8"),"")</f>
        <v>4310610</v>
      </c>
      <c r="D7" s="1422">
        <f t="shared" si="2"/>
        <v>4546150</v>
      </c>
      <c r="E7" s="1422">
        <f t="shared" si="2"/>
        <v>4615370</v>
      </c>
      <c r="F7" s="1422">
        <f t="shared" si="2"/>
        <v>575817.0968</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14047947.1</v>
      </c>
      <c r="P7" s="1405"/>
      <c r="Q7" s="1404"/>
      <c r="R7" s="1404"/>
      <c r="S7" s="1404"/>
      <c r="T7" s="1404"/>
      <c r="U7" s="1404"/>
      <c r="V7" s="1413">
        <v>4.0</v>
      </c>
      <c r="W7" s="1406"/>
    </row>
    <row r="8">
      <c r="A8" s="1414"/>
      <c r="B8" s="1420" t="s">
        <v>1035</v>
      </c>
      <c r="C8" s="1423">
        <f t="shared" ref="C8:N8" si="3">iferror(indirect(C3&amp;"!AZ20"),"")</f>
        <v>843500</v>
      </c>
      <c r="D8" s="1423">
        <f t="shared" si="3"/>
        <v>832000</v>
      </c>
      <c r="E8" s="1423">
        <f t="shared" si="3"/>
        <v>832000</v>
      </c>
      <c r="F8" s="1423">
        <f t="shared" si="3"/>
        <v>127354.8387</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2634854.839</v>
      </c>
      <c r="P8" s="1405"/>
      <c r="Q8" s="1404"/>
      <c r="R8" s="1404"/>
      <c r="S8" s="1404"/>
      <c r="T8" s="1404"/>
      <c r="U8" s="1404"/>
      <c r="V8" s="1413">
        <v>5.0</v>
      </c>
      <c r="W8" s="1406"/>
    </row>
    <row r="9">
      <c r="A9" s="1414"/>
      <c r="B9" s="1420" t="s">
        <v>944</v>
      </c>
      <c r="C9" s="1423">
        <f t="shared" ref="C9:N9" si="5">iferror(indirect(C3&amp;"!BG23")-indirect(C3&amp;"!BE24"),"")</f>
        <v>2311238.333</v>
      </c>
      <c r="D9" s="1423">
        <f t="shared" si="5"/>
        <v>2439179.667</v>
      </c>
      <c r="E9" s="1423">
        <f t="shared" si="5"/>
        <v>2420672</v>
      </c>
      <c r="F9" s="1423">
        <f t="shared" si="5"/>
        <v>253657.3333</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7424747.333</v>
      </c>
      <c r="P9" s="1404"/>
      <c r="Q9" s="1405"/>
      <c r="R9" s="1404"/>
      <c r="S9" s="1404"/>
      <c r="T9" s="1404"/>
      <c r="U9" s="1404"/>
      <c r="V9" s="1413">
        <v>6.0</v>
      </c>
      <c r="W9" s="1406"/>
    </row>
    <row r="10">
      <c r="A10" s="1414"/>
      <c r="B10" s="1420" t="s">
        <v>1036</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465</v>
      </c>
      <c r="C11" s="1422">
        <f t="shared" ref="C11:N11" si="7">iferror(indirect(C3&amp;"!I8"),"")</f>
        <v>148410.25</v>
      </c>
      <c r="D11" s="1422">
        <f t="shared" si="7"/>
        <v>147777.25</v>
      </c>
      <c r="E11" s="1422">
        <f t="shared" si="7"/>
        <v>152253.25</v>
      </c>
      <c r="F11" s="1422">
        <f t="shared" si="7"/>
        <v>19602.58065</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468043.3306</v>
      </c>
      <c r="P11" s="1404"/>
      <c r="Q11" s="1404"/>
      <c r="R11" s="1404"/>
      <c r="S11" s="1404"/>
      <c r="T11" s="1404"/>
      <c r="U11" s="1404"/>
      <c r="V11" s="1413">
        <v>8.0</v>
      </c>
      <c r="W11" s="1406"/>
    </row>
    <row r="12">
      <c r="A12" s="1414"/>
      <c r="B12" s="1420" t="s">
        <v>466</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469</v>
      </c>
      <c r="C13" s="1422">
        <f t="shared" ref="C13:N13" si="9">iferror(indirect(C3&amp;"!M8"),"")</f>
        <v>1007461.417</v>
      </c>
      <c r="D13" s="1422">
        <f t="shared" si="9"/>
        <v>1127193.083</v>
      </c>
      <c r="E13" s="1422">
        <f t="shared" si="9"/>
        <v>1210444.75</v>
      </c>
      <c r="F13" s="1422">
        <f t="shared" si="9"/>
        <v>175202.3441</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3520301.594</v>
      </c>
      <c r="P13" s="1404"/>
      <c r="Q13" s="1404"/>
      <c r="R13" s="1404"/>
      <c r="S13" s="1404"/>
      <c r="T13" s="1404"/>
      <c r="U13" s="1404"/>
      <c r="V13" s="1413">
        <v>10.0</v>
      </c>
      <c r="W13" s="1406"/>
    </row>
    <row r="14">
      <c r="A14" s="1414"/>
      <c r="B14" s="1420" t="s">
        <v>932</v>
      </c>
      <c r="C14" s="1421">
        <f t="shared" ref="C14:N14" si="10">iferror(indirect(C3&amp;"!E8"),"")</f>
        <v>0.5361743079</v>
      </c>
      <c r="D14" s="1421">
        <f t="shared" si="10"/>
        <v>0.5365374364</v>
      </c>
      <c r="E14" s="1421">
        <f t="shared" si="10"/>
        <v>0.5244805942</v>
      </c>
      <c r="F14" s="1421">
        <f t="shared" si="10"/>
        <v>0.4405171968</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0.528528993</v>
      </c>
      <c r="P14" s="1404"/>
      <c r="Q14" s="1404"/>
      <c r="R14" s="1404"/>
      <c r="S14" s="1404"/>
      <c r="T14" s="1404"/>
      <c r="U14" s="1404"/>
      <c r="V14" s="1413">
        <v>11.0</v>
      </c>
      <c r="W14" s="1406"/>
    </row>
    <row r="15">
      <c r="A15" s="1414"/>
      <c r="B15" s="1420" t="s">
        <v>461</v>
      </c>
      <c r="C15" s="1421">
        <f t="shared" ref="C15:N15" si="11">iferror(indirect(C3&amp;"!C8"),"")</f>
        <v>0.2337166704</v>
      </c>
      <c r="D15" s="1421">
        <f t="shared" si="11"/>
        <v>0.2479445428</v>
      </c>
      <c r="E15" s="1421">
        <f t="shared" si="11"/>
        <v>0.2622638597</v>
      </c>
      <c r="F15" s="1421">
        <f t="shared" si="11"/>
        <v>0.3042673534</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0.2505918886</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1037</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1037</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464</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1035</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944</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1036</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1038</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466</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469</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932</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461</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